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ske\Documents\_My_DOCS-backed_up\_ST-JOHN\Recruit survival modeling\"/>
    </mc:Choice>
  </mc:AlternateContent>
  <xr:revisionPtr revIDLastSave="0" documentId="13_ncr:1_{3F9A7873-E669-443F-8277-AC5D9C8AF10A}" xr6:coauthVersionLast="47" xr6:coauthVersionMax="47" xr10:uidLastSave="{00000000-0000-0000-0000-000000000000}"/>
  <bookViews>
    <workbookView xWindow="-110" yWindow="-110" windowWidth="19420" windowHeight="12420" firstSheet="1" activeTab="1" xr2:uid="{AB4A564B-A081-4C7F-AA01-C5F9F0945C95}"/>
  </bookViews>
  <sheets>
    <sheet name="Growth rates" sheetId="1" r:id="rId1"/>
    <sheet name="Recruit survival model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2" l="1"/>
  <c r="T53" i="2"/>
  <c r="U53" i="2"/>
  <c r="V53" i="2"/>
  <c r="W53" i="2"/>
  <c r="X53" i="2"/>
  <c r="Y53" i="2"/>
  <c r="Z53" i="2"/>
  <c r="AA53" i="2"/>
  <c r="AB53" i="2"/>
  <c r="AC53" i="2"/>
  <c r="AD53" i="2"/>
  <c r="L53" i="2"/>
  <c r="M53" i="2"/>
  <c r="N53" i="2"/>
  <c r="O53" i="2"/>
  <c r="P53" i="2"/>
  <c r="Q53" i="2"/>
  <c r="R53" i="2"/>
  <c r="S53" i="2"/>
  <c r="K49" i="2"/>
  <c r="X100" i="2"/>
  <c r="U96" i="2" s="1"/>
  <c r="U95" i="2" l="1"/>
  <c r="U98" i="2"/>
  <c r="U97" i="2"/>
  <c r="P2" i="2" l="1"/>
  <c r="Y24" i="2" l="1"/>
  <c r="X24" i="2"/>
  <c r="P19" i="2" s="1"/>
  <c r="Y20" i="2"/>
  <c r="X20" i="2"/>
  <c r="Y18" i="2"/>
  <c r="X18" i="2"/>
  <c r="P16" i="2" s="1"/>
  <c r="Y15" i="2"/>
  <c r="X15" i="2"/>
  <c r="Y12" i="2"/>
  <c r="X12" i="2"/>
  <c r="P13" i="2" s="1"/>
  <c r="Y10" i="2"/>
  <c r="X10" i="2"/>
  <c r="P11" i="2" l="1"/>
  <c r="AI10" i="2"/>
  <c r="AE10" i="2"/>
  <c r="AG10" i="2"/>
  <c r="AF10" i="2"/>
  <c r="AH10" i="2"/>
  <c r="AJ10" i="2"/>
  <c r="Y6" i="2"/>
  <c r="X6" i="2"/>
  <c r="P5" i="2"/>
  <c r="P4" i="2"/>
  <c r="P3" i="2"/>
  <c r="Z20" i="2"/>
  <c r="Z10" i="2"/>
  <c r="Z5" i="2"/>
  <c r="Z6" i="2"/>
  <c r="Z18" i="2"/>
  <c r="Z11" i="2"/>
  <c r="Z12" i="2"/>
  <c r="Z23" i="2"/>
  <c r="Z17" i="2"/>
  <c r="Z4" i="2"/>
  <c r="Z24" i="2"/>
  <c r="Z15" i="2"/>
  <c r="AE6" i="2" l="1"/>
  <c r="Z7" i="2" l="1"/>
  <c r="N5" i="2"/>
  <c r="Z8" i="2" l="1"/>
  <c r="Z9" i="2" l="1"/>
  <c r="L29" i="2" l="1"/>
  <c r="N4" i="2" l="1"/>
  <c r="AM15" i="2"/>
  <c r="AH15" i="2"/>
  <c r="AG15" i="2"/>
  <c r="AK15" i="2"/>
  <c r="AF15" i="2"/>
  <c r="AI15" i="2"/>
  <c r="AL15" i="2"/>
  <c r="AE15" i="2"/>
  <c r="AJ15" i="2"/>
  <c r="AC24" i="2"/>
  <c r="AE24" i="2"/>
  <c r="AC20" i="2"/>
  <c r="K29" i="2"/>
  <c r="AF18" i="2"/>
  <c r="AJ18" i="2"/>
  <c r="AG18" i="2"/>
  <c r="AK18" i="2"/>
  <c r="AE18" i="2"/>
  <c r="AH18" i="2"/>
  <c r="AL18" i="2"/>
  <c r="AM18" i="2"/>
  <c r="AI18" i="2"/>
  <c r="AG24" i="2"/>
  <c r="AK24" i="2"/>
  <c r="AO24" i="2"/>
  <c r="AS24" i="2"/>
  <c r="AW24" i="2"/>
  <c r="BA24" i="2"/>
  <c r="BE24" i="2"/>
  <c r="BI24" i="2"/>
  <c r="BM24" i="2"/>
  <c r="BQ24" i="2"/>
  <c r="AH24" i="2"/>
  <c r="AL24" i="2"/>
  <c r="AP24" i="2"/>
  <c r="AT24" i="2"/>
  <c r="AX24" i="2"/>
  <c r="BB24" i="2"/>
  <c r="BF24" i="2"/>
  <c r="BJ24" i="2"/>
  <c r="BN24" i="2"/>
  <c r="BR24" i="2"/>
  <c r="AI24" i="2"/>
  <c r="AM24" i="2"/>
  <c r="AQ24" i="2"/>
  <c r="AU24" i="2"/>
  <c r="AY24" i="2"/>
  <c r="BC24" i="2"/>
  <c r="BG24" i="2"/>
  <c r="BK24" i="2"/>
  <c r="BO24" i="2"/>
  <c r="BS24" i="2"/>
  <c r="AF24" i="2"/>
  <c r="AV24" i="2"/>
  <c r="BL24" i="2"/>
  <c r="AJ24" i="2"/>
  <c r="AZ24" i="2"/>
  <c r="BP24" i="2"/>
  <c r="BH24" i="2"/>
  <c r="AN24" i="2"/>
  <c r="BD24" i="2"/>
  <c r="AR24" i="2"/>
  <c r="Y22" i="2"/>
  <c r="Y16" i="2"/>
  <c r="X16" i="2"/>
  <c r="Y19" i="2"/>
  <c r="X19" i="2"/>
  <c r="Y14" i="2"/>
  <c r="Y7" i="2"/>
  <c r="Y8" i="2"/>
  <c r="Y9" i="2"/>
  <c r="Y21" i="2"/>
  <c r="J29" i="2"/>
  <c r="H29" i="2"/>
  <c r="I29" i="2"/>
  <c r="AC6" i="2"/>
  <c r="Z13" i="2"/>
  <c r="Z14" i="2"/>
  <c r="Z19" i="2"/>
  <c r="Z16" i="2"/>
  <c r="Z22" i="2"/>
  <c r="Z21" i="2"/>
  <c r="Y13" i="2"/>
  <c r="P14" i="2" l="1"/>
  <c r="AD10" i="2"/>
  <c r="AC23" i="2"/>
  <c r="AC5" i="2"/>
  <c r="AD24" i="2"/>
  <c r="AJ16" i="2"/>
  <c r="AF16" i="2"/>
  <c r="AK16" i="2"/>
  <c r="AI16" i="2"/>
  <c r="AE16" i="2"/>
  <c r="AH16" i="2"/>
  <c r="AL16" i="2"/>
  <c r="AG16" i="2"/>
  <c r="AM16" i="2"/>
  <c r="AD15" i="2"/>
  <c r="AF19" i="2"/>
  <c r="AJ19" i="2"/>
  <c r="AE19" i="2"/>
  <c r="AG19" i="2"/>
  <c r="AK19" i="2"/>
  <c r="AH19" i="2"/>
  <c r="AL19" i="2"/>
  <c r="AI19" i="2"/>
  <c r="AM19" i="2"/>
  <c r="AC4" i="2"/>
  <c r="AD16" i="2" l="1"/>
  <c r="AD19" i="2"/>
  <c r="AD18" i="2" s="1"/>
  <c r="G6" i="2"/>
  <c r="U33" i="2" s="1"/>
  <c r="G7" i="2"/>
  <c r="U34" i="2" s="1"/>
  <c r="G8" i="2"/>
  <c r="U35" i="2" s="1"/>
  <c r="G9" i="2"/>
  <c r="U36" i="2" s="1"/>
  <c r="G5" i="2"/>
  <c r="U32" i="2" s="1"/>
  <c r="K4" i="2"/>
  <c r="Y31" i="2" s="1"/>
  <c r="J4" i="2"/>
  <c r="X31" i="2" s="1"/>
  <c r="I4" i="2"/>
  <c r="W31" i="2" s="1"/>
  <c r="H4" i="2"/>
  <c r="V31" i="2" s="1"/>
  <c r="AC15" i="2"/>
  <c r="U31" i="2"/>
  <c r="AC18" i="2"/>
  <c r="AC17" i="2"/>
  <c r="AC12" i="2"/>
  <c r="AC11" i="2"/>
  <c r="AC14" i="2" l="1"/>
  <c r="AC19" i="2"/>
  <c r="AB18" i="2"/>
  <c r="AA18" i="2" s="1"/>
  <c r="AC13" i="2"/>
  <c r="AC22" i="2"/>
  <c r="AC16" i="2"/>
  <c r="AB16" i="2" s="1"/>
  <c r="AA16" i="2" s="1"/>
  <c r="AB17" i="2" l="1"/>
  <c r="AA17" i="2" s="1"/>
  <c r="AC21" i="2"/>
  <c r="AC7" i="2" l="1"/>
  <c r="L11" i="2"/>
  <c r="AC10" i="2" l="1"/>
  <c r="AB10" i="2" s="1"/>
  <c r="K18" i="2"/>
  <c r="AA10" i="2" l="1"/>
  <c r="I5" i="2" s="1"/>
  <c r="AC9" i="2"/>
  <c r="AC8" i="2"/>
  <c r="J49" i="2"/>
  <c r="J81" i="2" l="1"/>
  <c r="J67" i="2"/>
  <c r="J50" i="2"/>
  <c r="W32" i="2" l="1"/>
  <c r="X3" i="1"/>
  <c r="X4" i="1"/>
  <c r="X10" i="1"/>
  <c r="X11" i="1"/>
  <c r="X12" i="1"/>
  <c r="X13" i="1"/>
  <c r="X14" i="1"/>
  <c r="X15" i="1"/>
  <c r="X16" i="1"/>
  <c r="X17" i="1"/>
  <c r="X18" i="1"/>
  <c r="X19" i="1"/>
  <c r="X9" i="1"/>
  <c r="X8" i="1"/>
  <c r="Q12" i="1"/>
  <c r="R12" i="1" s="1"/>
  <c r="W7" i="1" s="1"/>
  <c r="U16" i="1"/>
  <c r="T16" i="1"/>
  <c r="U15" i="1"/>
  <c r="T15" i="1"/>
  <c r="U14" i="1"/>
  <c r="T14" i="1"/>
  <c r="U13" i="1"/>
  <c r="T13" i="1"/>
  <c r="T11" i="1"/>
  <c r="U12" i="1"/>
  <c r="T12" i="1"/>
  <c r="P21" i="1"/>
  <c r="Q21" i="1"/>
  <c r="R21" i="1" s="1"/>
  <c r="P22" i="1"/>
  <c r="Q22" i="1"/>
  <c r="R22" i="1" s="1"/>
  <c r="P23" i="1"/>
  <c r="Q23" i="1"/>
  <c r="R23" i="1" s="1"/>
  <c r="W19" i="1" s="1"/>
  <c r="P24" i="1"/>
  <c r="Q24" i="1"/>
  <c r="R24" i="1" s="1"/>
  <c r="P25" i="1"/>
  <c r="Q25" i="1"/>
  <c r="R25" i="1" s="1"/>
  <c r="P26" i="1"/>
  <c r="Q26" i="1"/>
  <c r="R26" i="1" s="1"/>
  <c r="P27" i="1"/>
  <c r="Q27" i="1"/>
  <c r="R27" i="1"/>
  <c r="P28" i="1"/>
  <c r="Q28" i="1"/>
  <c r="R28" i="1" s="1"/>
  <c r="W8" i="1" s="1"/>
  <c r="P29" i="1"/>
  <c r="Q29" i="1"/>
  <c r="R29" i="1" s="1"/>
  <c r="P30" i="1"/>
  <c r="Q30" i="1"/>
  <c r="R30" i="1"/>
  <c r="P31" i="1"/>
  <c r="Q31" i="1"/>
  <c r="R31" i="1" s="1"/>
  <c r="P32" i="1"/>
  <c r="Q32" i="1"/>
  <c r="R32" i="1" s="1"/>
  <c r="P33" i="1"/>
  <c r="Q33" i="1"/>
  <c r="R33" i="1" s="1"/>
  <c r="P34" i="1"/>
  <c r="Q34" i="1"/>
  <c r="R34" i="1" s="1"/>
  <c r="P35" i="1"/>
  <c r="Q35" i="1"/>
  <c r="R35" i="1" s="1"/>
  <c r="W9" i="1" s="1"/>
  <c r="P36" i="1"/>
  <c r="Q36" i="1"/>
  <c r="R36" i="1" s="1"/>
  <c r="P37" i="1"/>
  <c r="Q37" i="1"/>
  <c r="R37" i="1" s="1"/>
  <c r="P38" i="1"/>
  <c r="Q38" i="1"/>
  <c r="R38" i="1"/>
  <c r="P39" i="1"/>
  <c r="Q39" i="1"/>
  <c r="R39" i="1" s="1"/>
  <c r="P40" i="1"/>
  <c r="Q40" i="1"/>
  <c r="R40" i="1" s="1"/>
  <c r="P41" i="1"/>
  <c r="Q41" i="1"/>
  <c r="R41" i="1" s="1"/>
  <c r="P42" i="1"/>
  <c r="Q42" i="1"/>
  <c r="R42" i="1" s="1"/>
  <c r="P43" i="1"/>
  <c r="Q43" i="1"/>
  <c r="R43" i="1" s="1"/>
  <c r="P44" i="1"/>
  <c r="Q44" i="1"/>
  <c r="R44" i="1" s="1"/>
  <c r="P45" i="1"/>
  <c r="Q45" i="1"/>
  <c r="R45" i="1" s="1"/>
  <c r="P46" i="1"/>
  <c r="Q46" i="1"/>
  <c r="R46" i="1" s="1"/>
  <c r="P47" i="1"/>
  <c r="Q47" i="1"/>
  <c r="R47" i="1" s="1"/>
  <c r="P48" i="1"/>
  <c r="Q48" i="1"/>
  <c r="R48" i="1" s="1"/>
  <c r="P49" i="1"/>
  <c r="Q49" i="1"/>
  <c r="R49" i="1" s="1"/>
  <c r="P50" i="1"/>
  <c r="Q50" i="1"/>
  <c r="R50" i="1"/>
  <c r="P51" i="1"/>
  <c r="Q51" i="1"/>
  <c r="R51" i="1" s="1"/>
  <c r="P52" i="1"/>
  <c r="Q52" i="1"/>
  <c r="R52" i="1" s="1"/>
  <c r="P53" i="1"/>
  <c r="Q53" i="1"/>
  <c r="R53" i="1" s="1"/>
  <c r="P54" i="1"/>
  <c r="Q54" i="1"/>
  <c r="R54" i="1" s="1"/>
  <c r="P55" i="1"/>
  <c r="Q55" i="1"/>
  <c r="R55" i="1" s="1"/>
  <c r="P56" i="1"/>
  <c r="Q56" i="1"/>
  <c r="R56" i="1" s="1"/>
  <c r="P57" i="1"/>
  <c r="Q57" i="1"/>
  <c r="R57" i="1" s="1"/>
  <c r="P58" i="1"/>
  <c r="Q58" i="1"/>
  <c r="R58" i="1" s="1"/>
  <c r="P59" i="1"/>
  <c r="Q59" i="1"/>
  <c r="R59" i="1" s="1"/>
  <c r="P60" i="1"/>
  <c r="Q60" i="1"/>
  <c r="R60" i="1" s="1"/>
  <c r="P61" i="1"/>
  <c r="Q61" i="1"/>
  <c r="R61" i="1" s="1"/>
  <c r="P62" i="1"/>
  <c r="Q62" i="1"/>
  <c r="R62" i="1" s="1"/>
  <c r="P63" i="1"/>
  <c r="Q63" i="1"/>
  <c r="R63" i="1" s="1"/>
  <c r="P64" i="1"/>
  <c r="Q64" i="1"/>
  <c r="R64" i="1" s="1"/>
  <c r="P65" i="1"/>
  <c r="Q65" i="1"/>
  <c r="R65" i="1" s="1"/>
  <c r="P66" i="1"/>
  <c r="Q66" i="1"/>
  <c r="R66" i="1" s="1"/>
  <c r="P67" i="1"/>
  <c r="Q67" i="1"/>
  <c r="R67" i="1" s="1"/>
  <c r="P68" i="1"/>
  <c r="Q68" i="1"/>
  <c r="R68" i="1" s="1"/>
  <c r="P69" i="1"/>
  <c r="Q69" i="1"/>
  <c r="R69" i="1" s="1"/>
  <c r="P70" i="1"/>
  <c r="Q70" i="1"/>
  <c r="R70" i="1" s="1"/>
  <c r="P71" i="1"/>
  <c r="Q71" i="1"/>
  <c r="R71" i="1" s="1"/>
  <c r="P72" i="1"/>
  <c r="Q72" i="1"/>
  <c r="R72" i="1" s="1"/>
  <c r="P73" i="1"/>
  <c r="Q73" i="1"/>
  <c r="R73" i="1" s="1"/>
  <c r="P74" i="1"/>
  <c r="Q74" i="1"/>
  <c r="R74" i="1"/>
  <c r="P75" i="1"/>
  <c r="Q75" i="1"/>
  <c r="R75" i="1" s="1"/>
  <c r="P76" i="1"/>
  <c r="Q76" i="1"/>
  <c r="R76" i="1" s="1"/>
  <c r="P77" i="1"/>
  <c r="Q77" i="1"/>
  <c r="R77" i="1" s="1"/>
  <c r="P78" i="1"/>
  <c r="Q78" i="1"/>
  <c r="R78" i="1" s="1"/>
  <c r="P79" i="1"/>
  <c r="Q79" i="1"/>
  <c r="R79" i="1" s="1"/>
  <c r="P80" i="1"/>
  <c r="Q80" i="1"/>
  <c r="R80" i="1" s="1"/>
  <c r="P81" i="1"/>
  <c r="Q81" i="1"/>
  <c r="R81" i="1"/>
  <c r="P82" i="1"/>
  <c r="Q82" i="1"/>
  <c r="R82" i="1"/>
  <c r="P83" i="1"/>
  <c r="Q83" i="1"/>
  <c r="R83" i="1" s="1"/>
  <c r="U11" i="1"/>
  <c r="V4" i="1"/>
  <c r="U4" i="1"/>
  <c r="T4" i="1"/>
  <c r="U3" i="1"/>
  <c r="V3" i="1"/>
  <c r="T3" i="1"/>
  <c r="T10" i="1"/>
  <c r="U10" i="1"/>
  <c r="U9" i="1"/>
  <c r="T9" i="1"/>
  <c r="U8" i="1"/>
  <c r="T8" i="1"/>
  <c r="U19" i="1"/>
  <c r="T19" i="1"/>
  <c r="U18" i="1"/>
  <c r="T18" i="1"/>
  <c r="U17" i="1"/>
  <c r="T17" i="1"/>
  <c r="X6" i="1"/>
  <c r="X7" i="1"/>
  <c r="U7" i="1"/>
  <c r="T7" i="1"/>
  <c r="U6" i="1"/>
  <c r="T6" i="1"/>
  <c r="Q3" i="1"/>
  <c r="R3" i="1" s="1"/>
  <c r="W5" i="1" s="1"/>
  <c r="P4" i="1"/>
  <c r="P5" i="1"/>
  <c r="P6" i="1"/>
  <c r="V6" i="1" s="1"/>
  <c r="P7" i="1"/>
  <c r="P8" i="1"/>
  <c r="P9" i="1"/>
  <c r="V7" i="1" s="1"/>
  <c r="P10" i="1"/>
  <c r="P11" i="1"/>
  <c r="P12" i="1"/>
  <c r="P13" i="1"/>
  <c r="P14" i="1"/>
  <c r="P15" i="1"/>
  <c r="V17" i="1" s="1"/>
  <c r="P16" i="1"/>
  <c r="P17" i="1"/>
  <c r="P18" i="1"/>
  <c r="P19" i="1"/>
  <c r="P20" i="1"/>
  <c r="P3" i="1"/>
  <c r="V5" i="1" s="1"/>
  <c r="Q4" i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3" i="1"/>
  <c r="R13" i="1" s="1"/>
  <c r="Q14" i="1"/>
  <c r="R14" i="1" s="1"/>
  <c r="Q15" i="1"/>
  <c r="R15" i="1" s="1"/>
  <c r="W17" i="1" s="1"/>
  <c r="Q16" i="1"/>
  <c r="R16" i="1" s="1"/>
  <c r="Q17" i="1"/>
  <c r="R17" i="1" s="1"/>
  <c r="Q18" i="1"/>
  <c r="R18" i="1" s="1"/>
  <c r="Q19" i="1"/>
  <c r="R19" i="1" s="1"/>
  <c r="Q20" i="1"/>
  <c r="R20" i="1" s="1"/>
  <c r="X5" i="1"/>
  <c r="U5" i="1"/>
  <c r="T5" i="1"/>
  <c r="W16" i="1" l="1"/>
  <c r="W10" i="1"/>
  <c r="W18" i="1"/>
  <c r="W14" i="1"/>
  <c r="W12" i="1"/>
  <c r="W11" i="1"/>
  <c r="W6" i="1"/>
  <c r="W15" i="1"/>
  <c r="W13" i="1"/>
  <c r="V18" i="1"/>
  <c r="V14" i="1"/>
  <c r="V9" i="1"/>
  <c r="V15" i="1"/>
  <c r="V12" i="1"/>
  <c r="V8" i="1"/>
  <c r="V19" i="1"/>
  <c r="V16" i="1"/>
  <c r="V13" i="1"/>
  <c r="V11" i="1"/>
  <c r="V10" i="1"/>
  <c r="J6" i="2" l="1"/>
  <c r="AB15" i="2"/>
  <c r="AA15" i="2" s="1"/>
  <c r="J5" i="2" s="1"/>
  <c r="X32" i="2" l="1"/>
  <c r="X33" i="2"/>
  <c r="J8" i="2"/>
  <c r="AB19" i="2"/>
  <c r="AA19" i="2" s="1"/>
  <c r="J9" i="2" s="1"/>
  <c r="J7" i="2"/>
  <c r="X34" i="2" l="1"/>
  <c r="X36" i="2"/>
  <c r="J11" i="2"/>
  <c r="X38" i="2" s="1"/>
  <c r="X35" i="2"/>
  <c r="AB24" i="2"/>
  <c r="AA24" i="2" s="1"/>
  <c r="K9" i="2" s="1"/>
  <c r="Y36" i="2" l="1"/>
  <c r="X22" i="2" l="1"/>
  <c r="P17" i="2" s="1"/>
  <c r="AK20" i="2"/>
  <c r="BA20" i="2"/>
  <c r="BQ20" i="2"/>
  <c r="AT20" i="2"/>
  <c r="BJ20" i="2"/>
  <c r="AI20" i="2"/>
  <c r="AY20" i="2"/>
  <c r="BO20" i="2"/>
  <c r="AZ20" i="2"/>
  <c r="BP20" i="2"/>
  <c r="AF20" i="2"/>
  <c r="AO20" i="2"/>
  <c r="BE20" i="2"/>
  <c r="AH20" i="2"/>
  <c r="AX20" i="2"/>
  <c r="BN20" i="2"/>
  <c r="AM20" i="2"/>
  <c r="BC20" i="2"/>
  <c r="BS20" i="2"/>
  <c r="AR20" i="2"/>
  <c r="AV20" i="2"/>
  <c r="X21" i="2"/>
  <c r="AJ20" i="2"/>
  <c r="AS20" i="2"/>
  <c r="BI20" i="2"/>
  <c r="AL20" i="2"/>
  <c r="BB20" i="2"/>
  <c r="BR20" i="2"/>
  <c r="AQ20" i="2"/>
  <c r="BG20" i="2"/>
  <c r="AN20" i="2"/>
  <c r="BH20" i="2"/>
  <c r="AG20" i="2"/>
  <c r="AW20" i="2"/>
  <c r="BM20" i="2"/>
  <c r="AP20" i="2"/>
  <c r="BF20" i="2"/>
  <c r="AE20" i="2"/>
  <c r="AU20" i="2"/>
  <c r="BK20" i="2"/>
  <c r="BD20" i="2"/>
  <c r="BL20" i="2"/>
  <c r="AG6" i="2"/>
  <c r="AF6" i="2"/>
  <c r="X7" i="2"/>
  <c r="X9" i="2"/>
  <c r="P10" i="2" s="1"/>
  <c r="X8" i="2"/>
  <c r="AG12" i="2"/>
  <c r="AI12" i="2"/>
  <c r="AE12" i="2"/>
  <c r="AF12" i="2"/>
  <c r="AH12" i="2"/>
  <c r="X13" i="2"/>
  <c r="AJ12" i="2"/>
  <c r="X14" i="2"/>
  <c r="AD20" i="2" l="1"/>
  <c r="AB20" i="2" s="1"/>
  <c r="AA20" i="2" s="1"/>
  <c r="K5" i="2" s="1"/>
  <c r="AS21" i="2"/>
  <c r="BI21" i="2"/>
  <c r="AH21" i="2"/>
  <c r="AX21" i="2"/>
  <c r="BN21" i="2"/>
  <c r="AQ21" i="2"/>
  <c r="BK21" i="2"/>
  <c r="AR21" i="2"/>
  <c r="AM21" i="2"/>
  <c r="BL21" i="2"/>
  <c r="AN21" i="2"/>
  <c r="AZ21" i="2"/>
  <c r="AV21" i="2"/>
  <c r="BA21" i="2"/>
  <c r="AP21" i="2"/>
  <c r="AI21" i="2"/>
  <c r="BD21" i="2"/>
  <c r="AO21" i="2"/>
  <c r="AT21" i="2"/>
  <c r="AF21" i="2"/>
  <c r="AJ21" i="2"/>
  <c r="BS21" i="2"/>
  <c r="AG21" i="2"/>
  <c r="AW21" i="2"/>
  <c r="BM21" i="2"/>
  <c r="AL21" i="2"/>
  <c r="BB21" i="2"/>
  <c r="BR21" i="2"/>
  <c r="AY21" i="2"/>
  <c r="AU21" i="2"/>
  <c r="AK21" i="2"/>
  <c r="BQ21" i="2"/>
  <c r="BF21" i="2"/>
  <c r="BG21" i="2"/>
  <c r="BH21" i="2"/>
  <c r="BC21" i="2"/>
  <c r="BE21" i="2"/>
  <c r="AE21" i="2"/>
  <c r="BJ21" i="2"/>
  <c r="BO21" i="2"/>
  <c r="BP21" i="2"/>
  <c r="AO22" i="2"/>
  <c r="BR22" i="2"/>
  <c r="BI22" i="2"/>
  <c r="AV22" i="2"/>
  <c r="AQ22" i="2"/>
  <c r="BA22" i="2"/>
  <c r="BH22" i="2"/>
  <c r="BF22" i="2"/>
  <c r="AG22" i="2"/>
  <c r="AR22" i="2"/>
  <c r="AX22" i="2"/>
  <c r="BK22" i="2"/>
  <c r="AZ22" i="2"/>
  <c r="AT22" i="2"/>
  <c r="BM22" i="2"/>
  <c r="AE22" i="2"/>
  <c r="BE22" i="2"/>
  <c r="BB22" i="2"/>
  <c r="AU22" i="2"/>
  <c r="AI22" i="2"/>
  <c r="BN22" i="2"/>
  <c r="AN22" i="2"/>
  <c r="AS22" i="2"/>
  <c r="AF22" i="2"/>
  <c r="BP22" i="2"/>
  <c r="BJ22" i="2"/>
  <c r="AK22" i="2"/>
  <c r="BD22" i="2"/>
  <c r="AP22" i="2"/>
  <c r="AH22" i="2"/>
  <c r="BG22" i="2"/>
  <c r="AL22" i="2"/>
  <c r="AJ22" i="2"/>
  <c r="BL22" i="2"/>
  <c r="BO22" i="2"/>
  <c r="AY22" i="2"/>
  <c r="BC22" i="2"/>
  <c r="BQ22" i="2"/>
  <c r="BS22" i="2"/>
  <c r="AW22" i="2"/>
  <c r="AM22" i="2"/>
  <c r="AJ13" i="2"/>
  <c r="AH13" i="2"/>
  <c r="AE13" i="2"/>
  <c r="AG13" i="2"/>
  <c r="AI13" i="2"/>
  <c r="AF13" i="2"/>
  <c r="AE9" i="2"/>
  <c r="AF9" i="2"/>
  <c r="AG9" i="2"/>
  <c r="AE8" i="2"/>
  <c r="AF8" i="2"/>
  <c r="AG8" i="2"/>
  <c r="AH14" i="2"/>
  <c r="AJ14" i="2"/>
  <c r="AE14" i="2"/>
  <c r="AI14" i="2"/>
  <c r="AG14" i="2"/>
  <c r="AF14" i="2"/>
  <c r="AF7" i="2"/>
  <c r="AG7" i="2"/>
  <c r="AE7" i="2"/>
  <c r="AD9" i="2" l="1"/>
  <c r="AB9" i="2"/>
  <c r="AA9" i="2" s="1"/>
  <c r="H9" i="2" s="1"/>
  <c r="AD21" i="2"/>
  <c r="Y32" i="2"/>
  <c r="AD14" i="2"/>
  <c r="V36" i="2" l="1"/>
  <c r="AD22" i="2"/>
  <c r="AB21" i="2"/>
  <c r="AA21" i="2" s="1"/>
  <c r="K6" i="2" s="1"/>
  <c r="AD8" i="2"/>
  <c r="AD13" i="2"/>
  <c r="AB14" i="2"/>
  <c r="AA14" i="2" s="1"/>
  <c r="I9" i="2" s="1"/>
  <c r="Y33" i="2" l="1"/>
  <c r="AB22" i="2"/>
  <c r="AA22" i="2" s="1"/>
  <c r="K7" i="2" s="1"/>
  <c r="AB23" i="2"/>
  <c r="AA23" i="2" s="1"/>
  <c r="K8" i="2" s="1"/>
  <c r="AB8" i="2"/>
  <c r="AA8" i="2" s="1"/>
  <c r="H8" i="2" s="1"/>
  <c r="AD7" i="2"/>
  <c r="AD12" i="2"/>
  <c r="AB13" i="2"/>
  <c r="AA13" i="2" s="1"/>
  <c r="I8" i="2" s="1"/>
  <c r="W36" i="2"/>
  <c r="Y35" i="2" l="1"/>
  <c r="Y34" i="2"/>
  <c r="K11" i="2"/>
  <c r="Y38" i="2" s="1"/>
  <c r="AD6" i="2"/>
  <c r="AB5" i="2" s="1"/>
  <c r="AB7" i="2"/>
  <c r="AA7" i="2" s="1"/>
  <c r="H7" i="2" s="1"/>
  <c r="V35" i="2"/>
  <c r="W35" i="2"/>
  <c r="AB12" i="2"/>
  <c r="AA12" i="2" s="1"/>
  <c r="I7" i="2" s="1"/>
  <c r="AB11" i="2"/>
  <c r="AA11" i="2" s="1"/>
  <c r="I6" i="2" s="1"/>
  <c r="AA5" i="2" l="1"/>
  <c r="H5" i="2" s="1"/>
  <c r="V34" i="2"/>
  <c r="AB6" i="2"/>
  <c r="W34" i="2"/>
  <c r="W33" i="2"/>
  <c r="I11" i="2"/>
  <c r="W38" i="2" s="1"/>
  <c r="AA6" i="2" l="1"/>
  <c r="H6" i="2" s="1"/>
  <c r="K17" i="2" s="1"/>
  <c r="K44" i="2" a="1"/>
  <c r="K47" i="2" s="1"/>
  <c r="H11" i="2"/>
  <c r="V38" i="2" s="1"/>
  <c r="V32" i="2"/>
  <c r="V33" i="2"/>
  <c r="K61" i="2" a="1"/>
  <c r="K44" i="2" l="1"/>
  <c r="K46" i="2"/>
  <c r="K45" i="2"/>
  <c r="K48" i="2"/>
  <c r="K62" i="2"/>
  <c r="K82" i="2" s="1"/>
  <c r="K65" i="2"/>
  <c r="K61" i="2"/>
  <c r="K81" i="2" s="1"/>
  <c r="K63" i="2"/>
  <c r="K83" i="2" s="1"/>
  <c r="K64" i="2"/>
  <c r="K84" i="2" s="1"/>
  <c r="K85" i="2" l="1"/>
  <c r="L61" i="2" s="1" a="1"/>
  <c r="K68" i="2"/>
  <c r="K51" i="2"/>
  <c r="K55" i="2"/>
  <c r="K57" i="2"/>
  <c r="L44" i="2" a="1"/>
  <c r="L44" i="2" s="1"/>
  <c r="K50" i="2"/>
  <c r="K67" i="2"/>
  <c r="K58" i="2" l="1"/>
  <c r="K56" i="2"/>
  <c r="L46" i="2"/>
  <c r="L47" i="2"/>
  <c r="L45" i="2"/>
  <c r="L48" i="2"/>
  <c r="L63" i="2"/>
  <c r="L83" i="2" s="1"/>
  <c r="L61" i="2"/>
  <c r="L65" i="2"/>
  <c r="L64" i="2"/>
  <c r="L84" i="2" s="1"/>
  <c r="L62" i="2"/>
  <c r="L82" i="2" s="1"/>
  <c r="L85" i="2" l="1"/>
  <c r="L68" i="2"/>
  <c r="L51" i="2"/>
  <c r="L55" i="2"/>
  <c r="L50" i="2"/>
  <c r="L49" i="2"/>
  <c r="L57" i="2" s="1"/>
  <c r="M44" i="2" a="1"/>
  <c r="M44" i="2" s="1"/>
  <c r="L67" i="2"/>
  <c r="L81" i="2"/>
  <c r="M61" i="2" l="1" a="1"/>
  <c r="M62" i="2" s="1"/>
  <c r="M82" i="2" s="1"/>
  <c r="M45" i="2"/>
  <c r="M46" i="2"/>
  <c r="M47" i="2"/>
  <c r="L56" i="2"/>
  <c r="L58" i="2"/>
  <c r="M48" i="2"/>
  <c r="M61" i="2" l="1"/>
  <c r="M81" i="2" s="1"/>
  <c r="M63" i="2"/>
  <c r="M83" i="2" s="1"/>
  <c r="M65" i="2"/>
  <c r="M64" i="2"/>
  <c r="M84" i="2" s="1"/>
  <c r="M85" i="2"/>
  <c r="M68" i="2"/>
  <c r="M49" i="2"/>
  <c r="M57" i="2" s="1"/>
  <c r="M51" i="2"/>
  <c r="M55" i="2"/>
  <c r="M50" i="2"/>
  <c r="N44" i="2" a="1"/>
  <c r="N45" i="2" s="1"/>
  <c r="M67" i="2" l="1"/>
  <c r="N61" i="2" a="1"/>
  <c r="N65" i="2" s="1"/>
  <c r="N46" i="2"/>
  <c r="N44" i="2"/>
  <c r="N48" i="2"/>
  <c r="N51" i="2" s="1"/>
  <c r="M56" i="2"/>
  <c r="M58" i="2"/>
  <c r="N47" i="2"/>
  <c r="N61" i="2" l="1"/>
  <c r="N81" i="2" s="1"/>
  <c r="N64" i="2"/>
  <c r="N84" i="2" s="1"/>
  <c r="N62" i="2"/>
  <c r="N82" i="2" s="1"/>
  <c r="N63" i="2"/>
  <c r="N83" i="2" s="1"/>
  <c r="O44" i="2" a="1"/>
  <c r="O47" i="2" s="1"/>
  <c r="N85" i="2"/>
  <c r="N68" i="2"/>
  <c r="N55" i="2"/>
  <c r="N56" i="2" s="1"/>
  <c r="N50" i="2"/>
  <c r="N49" i="2"/>
  <c r="N57" i="2" s="1"/>
  <c r="O61" i="2" l="1" a="1"/>
  <c r="O62" i="2" s="1"/>
  <c r="O82" i="2" s="1"/>
  <c r="N67" i="2"/>
  <c r="O48" i="2"/>
  <c r="O51" i="2" s="1"/>
  <c r="O44" i="2"/>
  <c r="O46" i="2"/>
  <c r="O45" i="2"/>
  <c r="N58" i="2"/>
  <c r="O64" i="2" l="1"/>
  <c r="O84" i="2" s="1"/>
  <c r="O65" i="2"/>
  <c r="O68" i="2" s="1"/>
  <c r="O61" i="2"/>
  <c r="O81" i="2" s="1"/>
  <c r="O63" i="2"/>
  <c r="O83" i="2" s="1"/>
  <c r="O49" i="2"/>
  <c r="O57" i="2" s="1"/>
  <c r="P44" i="2" a="1"/>
  <c r="P44" i="2" s="1"/>
  <c r="O50" i="2"/>
  <c r="O55" i="2"/>
  <c r="O56" i="2" s="1"/>
  <c r="O85" i="2" l="1"/>
  <c r="P61" i="2" a="1"/>
  <c r="P64" i="2" s="1"/>
  <c r="P84" i="2" s="1"/>
  <c r="O67" i="2"/>
  <c r="O58" i="2"/>
  <c r="P46" i="2"/>
  <c r="P48" i="2"/>
  <c r="P51" i="2" s="1"/>
  <c r="P47" i="2"/>
  <c r="P45" i="2"/>
  <c r="P63" i="2" l="1"/>
  <c r="P83" i="2" s="1"/>
  <c r="P61" i="2"/>
  <c r="P65" i="2"/>
  <c r="P62" i="2"/>
  <c r="P82" i="2" s="1"/>
  <c r="Q44" i="2" a="1"/>
  <c r="Q44" i="2" s="1"/>
  <c r="P55" i="2"/>
  <c r="P49" i="2"/>
  <c r="P57" i="2" s="1"/>
  <c r="P50" i="2"/>
  <c r="P85" i="2"/>
  <c r="P68" i="2"/>
  <c r="P81" i="2"/>
  <c r="P67" i="2" l="1"/>
  <c r="Q45" i="2"/>
  <c r="Q47" i="2"/>
  <c r="Q46" i="2"/>
  <c r="Q48" i="2"/>
  <c r="Q51" i="2" s="1"/>
  <c r="Q61" i="2" a="1"/>
  <c r="Q64" i="2" s="1"/>
  <c r="Q84" i="2" s="1"/>
  <c r="P58" i="2"/>
  <c r="P56" i="2"/>
  <c r="R44" i="2" a="1"/>
  <c r="Q55" i="2" l="1"/>
  <c r="Q50" i="2"/>
  <c r="Q49" i="2"/>
  <c r="Q57" i="2" s="1"/>
  <c r="Q65" i="2"/>
  <c r="Q68" i="2" s="1"/>
  <c r="Q61" i="2"/>
  <c r="Q81" i="2" s="1"/>
  <c r="Q62" i="2"/>
  <c r="Q82" i="2" s="1"/>
  <c r="Q63" i="2"/>
  <c r="Q83" i="2" s="1"/>
  <c r="Q56" i="2"/>
  <c r="R48" i="2"/>
  <c r="R46" i="2"/>
  <c r="AF54" i="2" s="1"/>
  <c r="R47" i="2"/>
  <c r="AF55" i="2" s="1"/>
  <c r="R45" i="2"/>
  <c r="AF53" i="2" s="1"/>
  <c r="R44" i="2"/>
  <c r="AF52" i="2" s="1"/>
  <c r="Q58" i="2" l="1"/>
  <c r="Q85" i="2"/>
  <c r="R61" i="2" s="1" a="1"/>
  <c r="R61" i="2" s="1"/>
  <c r="Q67" i="2"/>
  <c r="R49" i="2"/>
  <c r="R57" i="2" s="1"/>
  <c r="S44" i="2" a="1"/>
  <c r="R50" i="2"/>
  <c r="R55" i="2"/>
  <c r="R51" i="2"/>
  <c r="R63" i="2" l="1"/>
  <c r="R83" i="2" s="1"/>
  <c r="R65" i="2"/>
  <c r="R68" i="2" s="1"/>
  <c r="R62" i="2"/>
  <c r="R82" i="2" s="1"/>
  <c r="R64" i="2"/>
  <c r="R84" i="2" s="1"/>
  <c r="R85" i="2"/>
  <c r="R81" i="2"/>
  <c r="S45" i="2"/>
  <c r="AG53" i="2" s="1"/>
  <c r="S46" i="2"/>
  <c r="AG54" i="2" s="1"/>
  <c r="S47" i="2"/>
  <c r="AG55" i="2" s="1"/>
  <c r="S48" i="2"/>
  <c r="S44" i="2"/>
  <c r="AG52" i="2" s="1"/>
  <c r="R58" i="2"/>
  <c r="R56" i="2"/>
  <c r="R67" i="2" l="1"/>
  <c r="S61" i="2" a="1"/>
  <c r="S65" i="2" s="1"/>
  <c r="S55" i="2"/>
  <c r="S51" i="2"/>
  <c r="S50" i="2"/>
  <c r="T44" i="2" a="1"/>
  <c r="S49" i="2"/>
  <c r="S57" i="2" s="1"/>
  <c r="S63" i="2" l="1"/>
  <c r="S83" i="2" s="1"/>
  <c r="S62" i="2"/>
  <c r="S82" i="2" s="1"/>
  <c r="S61" i="2"/>
  <c r="S81" i="2" s="1"/>
  <c r="S64" i="2"/>
  <c r="S84" i="2" s="1"/>
  <c r="S85" i="2"/>
  <c r="S68" i="2"/>
  <c r="S58" i="2"/>
  <c r="S56" i="2"/>
  <c r="T46" i="2"/>
  <c r="AH54" i="2" s="1"/>
  <c r="T45" i="2"/>
  <c r="AH53" i="2" s="1"/>
  <c r="T47" i="2"/>
  <c r="T48" i="2"/>
  <c r="T44" i="2"/>
  <c r="AH52" i="2" s="1"/>
  <c r="T61" i="2" l="1" a="1"/>
  <c r="T63" i="2" s="1"/>
  <c r="Y97" i="2" s="1"/>
  <c r="S67" i="2"/>
  <c r="T49" i="2"/>
  <c r="T57" i="2" s="1"/>
  <c r="AF57" i="2" s="1"/>
  <c r="R41" i="2"/>
  <c r="Q41" i="2"/>
  <c r="AH55" i="2"/>
  <c r="T50" i="2"/>
  <c r="U44" i="2" a="1"/>
  <c r="T51" i="2"/>
  <c r="C17" i="2"/>
  <c r="T55" i="2"/>
  <c r="AA97" i="2" l="1"/>
  <c r="T64" i="2"/>
  <c r="Y98" i="2" s="1"/>
  <c r="T65" i="2"/>
  <c r="T61" i="2"/>
  <c r="T62" i="2"/>
  <c r="T85" i="2"/>
  <c r="T68" i="2"/>
  <c r="AH57" i="2"/>
  <c r="T84" i="2"/>
  <c r="T83" i="2"/>
  <c r="U45" i="2"/>
  <c r="U48" i="2"/>
  <c r="U46" i="2"/>
  <c r="U47" i="2"/>
  <c r="U44" i="2"/>
  <c r="T56" i="2"/>
  <c r="T58" i="2"/>
  <c r="AA98" i="2" l="1"/>
  <c r="T82" i="2"/>
  <c r="Y96" i="2"/>
  <c r="T81" i="2"/>
  <c r="Y95" i="2"/>
  <c r="J73" i="2"/>
  <c r="T67" i="2"/>
  <c r="AD70" i="2" s="1"/>
  <c r="J75" i="2"/>
  <c r="J76" i="2"/>
  <c r="J74" i="2"/>
  <c r="U61" i="2" a="1"/>
  <c r="U51" i="2"/>
  <c r="U55" i="2"/>
  <c r="U49" i="2"/>
  <c r="U57" i="2" s="1"/>
  <c r="AG57" i="2" s="1"/>
  <c r="U50" i="2"/>
  <c r="V44" i="2" a="1"/>
  <c r="Y100" i="2" l="1"/>
  <c r="AA95" i="2"/>
  <c r="AA96" i="2"/>
  <c r="V96" i="2"/>
  <c r="U64" i="2"/>
  <c r="U63" i="2"/>
  <c r="U61" i="2"/>
  <c r="U81" i="2" s="1"/>
  <c r="U62" i="2"/>
  <c r="U65" i="2"/>
  <c r="U56" i="2"/>
  <c r="U58" i="2"/>
  <c r="V48" i="2"/>
  <c r="V44" i="2"/>
  <c r="V47" i="2"/>
  <c r="V46" i="2"/>
  <c r="V45" i="2"/>
  <c r="V95" i="2" l="1"/>
  <c r="AA100" i="2"/>
  <c r="V97" i="2"/>
  <c r="V98" i="2"/>
  <c r="U85" i="2"/>
  <c r="U68" i="2"/>
  <c r="U67" i="2"/>
  <c r="U83" i="2"/>
  <c r="U82" i="2"/>
  <c r="U84" i="2"/>
  <c r="V55" i="2"/>
  <c r="V51" i="2"/>
  <c r="W44" i="2" a="1"/>
  <c r="V49" i="2"/>
  <c r="V57" i="2" s="1"/>
  <c r="V50" i="2"/>
  <c r="X105" i="2" l="1"/>
  <c r="AB105" i="2" s="1"/>
  <c r="X104" i="2"/>
  <c r="AB104" i="2" s="1"/>
  <c r="Y103" i="2"/>
  <c r="AC103" i="2" s="1"/>
  <c r="X103" i="2"/>
  <c r="AB103" i="2" s="1"/>
  <c r="Y104" i="2"/>
  <c r="AC104" i="2" s="1"/>
  <c r="X102" i="2"/>
  <c r="AB102" i="2" s="1"/>
  <c r="AB107" i="2" s="1"/>
  <c r="Y105" i="2"/>
  <c r="AC105" i="2" s="1"/>
  <c r="Y102" i="2"/>
  <c r="AC102" i="2" s="1"/>
  <c r="V61" i="2" a="1"/>
  <c r="W44" i="2"/>
  <c r="W48" i="2"/>
  <c r="W45" i="2"/>
  <c r="W46" i="2"/>
  <c r="W47" i="2"/>
  <c r="V56" i="2"/>
  <c r="V58" i="2"/>
  <c r="AC107" i="2" l="1"/>
  <c r="AD107" i="2"/>
  <c r="AD109" i="2" s="1"/>
  <c r="V65" i="2"/>
  <c r="V61" i="2"/>
  <c r="V62" i="2"/>
  <c r="V64" i="2"/>
  <c r="V63" i="2"/>
  <c r="X44" i="2" a="1"/>
  <c r="W49" i="2"/>
  <c r="W57" i="2" s="1"/>
  <c r="W50" i="2"/>
  <c r="W51" i="2"/>
  <c r="W55" i="2"/>
  <c r="V85" i="2" l="1"/>
  <c r="V68" i="2"/>
  <c r="V82" i="2"/>
  <c r="K74" i="2"/>
  <c r="V84" i="2"/>
  <c r="K76" i="2"/>
  <c r="V67" i="2"/>
  <c r="V81" i="2"/>
  <c r="K73" i="2"/>
  <c r="V83" i="2"/>
  <c r="K75" i="2"/>
  <c r="X46" i="2"/>
  <c r="X44" i="2"/>
  <c r="X47" i="2"/>
  <c r="X45" i="2"/>
  <c r="X48" i="2"/>
  <c r="W58" i="2"/>
  <c r="W56" i="2"/>
  <c r="W61" i="2" l="1" a="1"/>
  <c r="W65" i="2" s="1"/>
  <c r="X49" i="2"/>
  <c r="X57" i="2" s="1"/>
  <c r="Y44" i="2" a="1"/>
  <c r="X50" i="2"/>
  <c r="X55" i="2"/>
  <c r="X51" i="2"/>
  <c r="W85" i="2" l="1"/>
  <c r="W68" i="2"/>
  <c r="W61" i="2"/>
  <c r="W81" i="2" s="1"/>
  <c r="W63" i="2"/>
  <c r="W83" i="2" s="1"/>
  <c r="W62" i="2"/>
  <c r="W82" i="2" s="1"/>
  <c r="W64" i="2"/>
  <c r="W84" i="2" s="1"/>
  <c r="Y48" i="2"/>
  <c r="Y44" i="2"/>
  <c r="Y45" i="2"/>
  <c r="Y46" i="2"/>
  <c r="Y47" i="2"/>
  <c r="X56" i="2"/>
  <c r="X58" i="2"/>
  <c r="X61" i="2" l="1" a="1"/>
  <c r="X65" i="2" s="1"/>
  <c r="W67" i="2"/>
  <c r="Y51" i="2"/>
  <c r="Y55" i="2"/>
  <c r="Y50" i="2"/>
  <c r="Y49" i="2"/>
  <c r="Y57" i="2" s="1"/>
  <c r="Z44" i="2" a="1"/>
  <c r="X85" i="2" l="1"/>
  <c r="X68" i="2"/>
  <c r="X64" i="2"/>
  <c r="X62" i="2"/>
  <c r="X61" i="2"/>
  <c r="X63" i="2"/>
  <c r="Z45" i="2"/>
  <c r="Z47" i="2"/>
  <c r="Z44" i="2"/>
  <c r="Z46" i="2"/>
  <c r="Z48" i="2"/>
  <c r="Y56" i="2"/>
  <c r="Y58" i="2"/>
  <c r="X84" i="2" l="1"/>
  <c r="L76" i="2"/>
  <c r="X83" i="2"/>
  <c r="L75" i="2"/>
  <c r="X81" i="2"/>
  <c r="L73" i="2"/>
  <c r="X82" i="2"/>
  <c r="L74" i="2"/>
  <c r="X67" i="2"/>
  <c r="Z55" i="2"/>
  <c r="Z51" i="2"/>
  <c r="Z50" i="2"/>
  <c r="Z49" i="2"/>
  <c r="Z57" i="2" s="1"/>
  <c r="AA44" i="2" a="1"/>
  <c r="Y61" i="2" l="1" a="1"/>
  <c r="Y64" i="2" s="1"/>
  <c r="AA46" i="2"/>
  <c r="AA44" i="2"/>
  <c r="AA45" i="2"/>
  <c r="AA47" i="2"/>
  <c r="AA48" i="2"/>
  <c r="Z56" i="2"/>
  <c r="Z58" i="2"/>
  <c r="Y63" i="2"/>
  <c r="Y62" i="2"/>
  <c r="Y61" i="2"/>
  <c r="Y81" i="2" s="1"/>
  <c r="Y65" i="2" l="1"/>
  <c r="Y85" i="2" s="1"/>
  <c r="Y82" i="2"/>
  <c r="Y83" i="2"/>
  <c r="Y84" i="2"/>
  <c r="AA50" i="2"/>
  <c r="AA49" i="2"/>
  <c r="AA57" i="2" s="1"/>
  <c r="AB44" i="2" a="1"/>
  <c r="Y67" i="2"/>
  <c r="AA51" i="2"/>
  <c r="AA55" i="2"/>
  <c r="Y68" i="2" l="1"/>
  <c r="Z61" i="2" a="1"/>
  <c r="Z63" i="2" s="1"/>
  <c r="AB44" i="2"/>
  <c r="AB45" i="2"/>
  <c r="AB46" i="2"/>
  <c r="AB47" i="2"/>
  <c r="AB48" i="2"/>
  <c r="AA56" i="2"/>
  <c r="AA58" i="2"/>
  <c r="Z83" i="2" l="1"/>
  <c r="Z62" i="2"/>
  <c r="Z61" i="2"/>
  <c r="Z64" i="2"/>
  <c r="Z65" i="2"/>
  <c r="AB55" i="2"/>
  <c r="AB51" i="2"/>
  <c r="AB50" i="2"/>
  <c r="AB49" i="2"/>
  <c r="AB57" i="2" s="1"/>
  <c r="AC44" i="2" a="1"/>
  <c r="Z85" i="2" l="1"/>
  <c r="Z68" i="2"/>
  <c r="M75" i="2"/>
  <c r="Z82" i="2"/>
  <c r="M74" i="2"/>
  <c r="Z84" i="2"/>
  <c r="M76" i="2"/>
  <c r="Z81" i="2"/>
  <c r="M73" i="2"/>
  <c r="Z67" i="2"/>
  <c r="AC48" i="2"/>
  <c r="AC45" i="2"/>
  <c r="AC46" i="2"/>
  <c r="AC47" i="2"/>
  <c r="AC44" i="2"/>
  <c r="AB58" i="2"/>
  <c r="AB56" i="2"/>
  <c r="AA61" i="2" l="1" a="1"/>
  <c r="AA63" i="2" s="1"/>
  <c r="AA83" i="2" s="1"/>
  <c r="AC50" i="2"/>
  <c r="AD44" i="2" a="1"/>
  <c r="AC49" i="2"/>
  <c r="AC57" i="2" s="1"/>
  <c r="AC51" i="2"/>
  <c r="AC55" i="2"/>
  <c r="AA64" i="2" l="1"/>
  <c r="AA84" i="2" s="1"/>
  <c r="AA65" i="2"/>
  <c r="AA68" i="2" s="1"/>
  <c r="AA61" i="2"/>
  <c r="AA81" i="2" s="1"/>
  <c r="AA62" i="2"/>
  <c r="AA82" i="2" s="1"/>
  <c r="AA85" i="2"/>
  <c r="AB61" i="2" s="1" a="1"/>
  <c r="AB62" i="2" s="1"/>
  <c r="AC56" i="2"/>
  <c r="AC58" i="2"/>
  <c r="AD44" i="2"/>
  <c r="AD45" i="2"/>
  <c r="AD47" i="2"/>
  <c r="AD46" i="2"/>
  <c r="AD48" i="2"/>
  <c r="AA67" i="2" l="1"/>
  <c r="AB82" i="2"/>
  <c r="AB65" i="2"/>
  <c r="AB64" i="2"/>
  <c r="AB67" i="2" s="1"/>
  <c r="AB61" i="2"/>
  <c r="AB63" i="2"/>
  <c r="AD55" i="2"/>
  <c r="AD51" i="2"/>
  <c r="AD50" i="2"/>
  <c r="AD49" i="2"/>
  <c r="AD57" i="2" s="1"/>
  <c r="AH58" i="2" s="1"/>
  <c r="AB81" i="2"/>
  <c r="AB85" i="2" l="1"/>
  <c r="AB68" i="2"/>
  <c r="AB83" i="2"/>
  <c r="N75" i="2"/>
  <c r="N73" i="2"/>
  <c r="AB84" i="2"/>
  <c r="N76" i="2"/>
  <c r="N74" i="2"/>
  <c r="AD58" i="2"/>
  <c r="AD56" i="2"/>
  <c r="AF61" i="2" s="1"/>
  <c r="AF60" i="2"/>
  <c r="AC61" i="2" l="1" a="1"/>
  <c r="AC62" i="2" s="1"/>
  <c r="AC82" i="2" s="1"/>
  <c r="C18" i="2"/>
  <c r="AC65" i="2" l="1"/>
  <c r="AC85" i="2" s="1"/>
  <c r="AC61" i="2"/>
  <c r="AC81" i="2" s="1"/>
  <c r="AC63" i="2"/>
  <c r="AC83" i="2" s="1"/>
  <c r="AC64" i="2"/>
  <c r="AC84" i="2" s="1"/>
  <c r="AC68" i="2" l="1"/>
  <c r="AD61" i="2" a="1"/>
  <c r="AD62" i="2" s="1"/>
  <c r="AD82" i="2" s="1"/>
  <c r="AC67" i="2"/>
  <c r="AD65" i="2" l="1"/>
  <c r="AD85" i="2" s="1"/>
  <c r="AD61" i="2"/>
  <c r="AD81" i="2" s="1"/>
  <c r="AD63" i="2"/>
  <c r="AD64" i="2"/>
  <c r="O76" i="2" s="1"/>
  <c r="AD83" i="2"/>
  <c r="AD84" i="2"/>
  <c r="O75" i="2" l="1"/>
  <c r="O73" i="2"/>
  <c r="AD68" i="2"/>
  <c r="AD67" i="2"/>
  <c r="O74" i="2"/>
</calcChain>
</file>

<file path=xl/sharedStrings.xml><?xml version="1.0" encoding="utf-8"?>
<sst xmlns="http://schemas.openxmlformats.org/spreadsheetml/2006/main" count="470" uniqueCount="90">
  <si>
    <t>mean</t>
  </si>
  <si>
    <t>SD</t>
  </si>
  <si>
    <t>&lt; 0.6</t>
  </si>
  <si>
    <t>0.6-1.1</t>
  </si>
  <si>
    <t>1.2-2</t>
  </si>
  <si>
    <t>2.1-5</t>
  </si>
  <si>
    <t>&gt; 5</t>
  </si>
  <si>
    <t>NA</t>
  </si>
  <si>
    <t>growth</t>
  </si>
  <si>
    <t>negative</t>
  </si>
  <si>
    <t>1 pol</t>
  </si>
  <si>
    <t>positive</t>
  </si>
  <si>
    <t>no-growth</t>
  </si>
  <si>
    <t>sizeclass</t>
  </si>
  <si>
    <t>&lt; 0.6</t>
  </si>
  <si>
    <t>0.6 - 1</t>
  </si>
  <si>
    <t>1.1 - 2</t>
  </si>
  <si>
    <t>2.1 - 5</t>
  </si>
  <si>
    <t/>
  </si>
  <si>
    <t>&gt;5</t>
  </si>
  <si>
    <t>Mean Growth</t>
  </si>
  <si>
    <t>N</t>
  </si>
  <si>
    <t>Steady State Recruitment</t>
  </si>
  <si>
    <t>recruits</t>
  </si>
  <si>
    <t>all</t>
  </si>
  <si>
    <t>Number graduating</t>
  </si>
  <si>
    <t>Increase in &gt;5 cm</t>
  </si>
  <si>
    <t>Weighted increase</t>
  </si>
  <si>
    <t>Proportion of available that grew to &gt;5cm in the time interval</t>
  </si>
  <si>
    <t>=average age to grow to 5 cm</t>
  </si>
  <si>
    <t>proportion in growth class</t>
  </si>
  <si>
    <t>proportion at size escape after 5 y</t>
  </si>
  <si>
    <t>modal year survival without negative grwoth</t>
  </si>
  <si>
    <t>0.6 - 1.1</t>
  </si>
  <si>
    <t>1.2 - 2.0</t>
  </si>
  <si>
    <t>2.1 - 5.0</t>
  </si>
  <si>
    <t>1.2 - 2</t>
  </si>
  <si>
    <t>Survival (per 6 months)</t>
  </si>
  <si>
    <t>Month</t>
  </si>
  <si>
    <t>Summary data by Month</t>
  </si>
  <si>
    <t>Summary data by size class and month</t>
  </si>
  <si>
    <t>Summary data by size class</t>
  </si>
  <si>
    <t>growth (pos, 0, neg)</t>
  </si>
  <si>
    <t>P[change class]</t>
  </si>
  <si>
    <t># of 0.1 cm intervals</t>
  </si>
  <si>
    <t>delta 5 cm</t>
  </si>
  <si>
    <t>final size class</t>
  </si>
  <si>
    <t>initial size class</t>
  </si>
  <si>
    <t>bottom of source interval</t>
  </si>
  <si>
    <t>proportion changing</t>
  </si>
  <si>
    <t>change x survival</t>
  </si>
  <si>
    <t>Empiriical Matrix</t>
  </si>
  <si>
    <t>survival</t>
  </si>
  <si>
    <t>suvival</t>
  </si>
  <si>
    <t>Std Dev</t>
  </si>
  <si>
    <t>destination interval</t>
  </si>
  <si>
    <t>Number alive</t>
  </si>
  <si>
    <t>Weighted age of recruits</t>
  </si>
  <si>
    <t>average age of recruits at 5 y</t>
  </si>
  <si>
    <t>average age of recruits at 10 y</t>
  </si>
  <si>
    <t>0.3 - 0.5 cm</t>
  </si>
  <si>
    <t>0.6 - 1.1 cm</t>
  </si>
  <si>
    <t>average age of recruits in the class</t>
  </si>
  <si>
    <t>1.2 - 2 cm</t>
  </si>
  <si>
    <t>2- 5 cm</t>
  </si>
  <si>
    <t>settlement</t>
  </si>
  <si>
    <t>plus 6 months</t>
  </si>
  <si>
    <t>plus 1 yr</t>
  </si>
  <si>
    <t>5 yr</t>
  </si>
  <si>
    <t>6 yr</t>
  </si>
  <si>
    <t>7 yr</t>
  </si>
  <si>
    <t>8 yr</t>
  </si>
  <si>
    <t>9 yr</t>
  </si>
  <si>
    <t>10 yr</t>
  </si>
  <si>
    <t>SIZE CLASS DISTRIBUTION</t>
  </si>
  <si>
    <t>Steady State Recruitment (100 new recruits added to preceding size class 1)</t>
  </si>
  <si>
    <t>5y</t>
  </si>
  <si>
    <t>0.3 -0.5</t>
  </si>
  <si>
    <t>Growth rates</t>
  </si>
  <si>
    <t>at</t>
  </si>
  <si>
    <t>0.3 - 0.5</t>
  </si>
  <si>
    <t>Grootpan 2016</t>
  </si>
  <si>
    <t>expected</t>
  </si>
  <si>
    <t>(o-e)/e^2</t>
  </si>
  <si>
    <t xml:space="preserve">chi-square </t>
  </si>
  <si>
    <t>model prediction</t>
  </si>
  <si>
    <t>model</t>
  </si>
  <si>
    <t>grootpan</t>
  </si>
  <si>
    <t>Average sixe</t>
  </si>
  <si>
    <t>Comparison of model predictions to abundances of recruits at Grootpan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</si>
</sst>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7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2" fontId="0" fillId="0" borderId="0" xfId="0" applyNumberFormat="1" applyFill="1" applyAlignment="1">
      <alignment wrapText="1"/>
    </xf>
    <xf numFmtId="165" fontId="1" fillId="0" borderId="0" xfId="0" applyNumberFormat="1" applyFont="1" applyFill="1" applyAlignment="1">
      <alignment wrapText="1"/>
    </xf>
    <xf numFmtId="165" fontId="0" fillId="0" borderId="0" xfId="0" applyNumberFormat="1" applyFill="1" applyAlignment="1">
      <alignment wrapText="1"/>
    </xf>
    <xf numFmtId="0" fontId="0" fillId="0" borderId="0" xfId="0" applyFill="1"/>
    <xf numFmtId="2" fontId="0" fillId="0" borderId="0" xfId="0" applyNumberFormat="1" applyFill="1"/>
    <xf numFmtId="165" fontId="1" fillId="0" borderId="0" xfId="0" applyNumberFormat="1" applyFont="1" applyFill="1"/>
    <xf numFmtId="165" fontId="0" fillId="0" borderId="0" xfId="0" applyNumberFormat="1" applyFill="1"/>
    <xf numFmtId="0" fontId="2" fillId="0" borderId="0" xfId="0" applyFont="1" applyFill="1"/>
    <xf numFmtId="2" fontId="2" fillId="0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0" borderId="0" xfId="0" applyFill="1" applyAlignment="1">
      <alignment horizontal="right"/>
    </xf>
    <xf numFmtId="165" fontId="0" fillId="0" borderId="0" xfId="0" applyNumberFormat="1" applyFont="1" applyFill="1"/>
    <xf numFmtId="0" fontId="0" fillId="0" borderId="0" xfId="0" applyFill="1" applyAlignment="1">
      <alignment horizontal="center"/>
    </xf>
    <xf numFmtId="165" fontId="0" fillId="0" borderId="0" xfId="0" quotePrefix="1" applyNumberFormat="1" applyFill="1"/>
    <xf numFmtId="2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3" fillId="0" borderId="0" xfId="0" applyFont="1" applyFill="1" applyAlignment="1">
      <alignment horizontal="left"/>
    </xf>
    <xf numFmtId="9" fontId="0" fillId="0" borderId="0" xfId="0" applyNumberFormat="1" applyFill="1"/>
    <xf numFmtId="167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_Grow_l_20201119_Plexauri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"/>
      <sheetName val="Sheet1"/>
      <sheetName val="by interval"/>
      <sheetName val="Growth rates"/>
      <sheetName val="2016_Grow_l_20200210"/>
      <sheetName val="Sheet2"/>
      <sheetName val="distribution-fitting"/>
      <sheetName val="Sheet3"/>
      <sheetName val="Growth resampling"/>
      <sheetName val="size-freq dist"/>
      <sheetName val="metadata"/>
    </sheetNames>
    <sheetDataSet>
      <sheetData sheetId="0">
        <row r="18">
          <cell r="Z18">
            <v>0.58599999999999997</v>
          </cell>
        </row>
        <row r="19">
          <cell r="Z19">
            <v>0.622</v>
          </cell>
        </row>
        <row r="20">
          <cell r="Z20">
            <v>0.67600000000000005</v>
          </cell>
        </row>
        <row r="21">
          <cell r="Z21">
            <v>0.79</v>
          </cell>
        </row>
      </sheetData>
      <sheetData sheetId="1"/>
      <sheetData sheetId="2"/>
      <sheetData sheetId="3">
        <row r="63">
          <cell r="B63" t="str">
            <v>Count of growth_rate2</v>
          </cell>
        </row>
      </sheetData>
      <sheetData sheetId="4"/>
      <sheetData sheetId="5"/>
      <sheetData sheetId="6">
        <row r="71">
          <cell r="BA71">
            <v>-2.4667835520430499</v>
          </cell>
        </row>
        <row r="72">
          <cell r="BA72">
            <v>0.87787358008140515</v>
          </cell>
        </row>
        <row r="96">
          <cell r="AZ96">
            <v>-0.59093121850972441</v>
          </cell>
          <cell r="BF96">
            <v>-1.090277668597029</v>
          </cell>
        </row>
        <row r="97">
          <cell r="AZ97">
            <v>0.77531180611813133</v>
          </cell>
          <cell r="BF97">
            <v>0.51405520801273286</v>
          </cell>
        </row>
        <row r="134">
          <cell r="AZ134">
            <v>-0.14302421391504958</v>
          </cell>
          <cell r="BF134">
            <v>-0.76877651007782855</v>
          </cell>
        </row>
        <row r="135">
          <cell r="AZ135">
            <v>0.68486196329920612</v>
          </cell>
          <cell r="BF135">
            <v>0.60381567238075018</v>
          </cell>
        </row>
        <row r="176">
          <cell r="AZ176">
            <v>0.12903419656514165</v>
          </cell>
          <cell r="BF176">
            <v>0.27907614104378831</v>
          </cell>
        </row>
        <row r="177">
          <cell r="AZ177">
            <v>0.63502610351963429</v>
          </cell>
          <cell r="BF177">
            <v>0.64114747968642372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996A5-6CFB-4DC9-8446-C53561268355}">
  <sheetPr codeName="Sheet1"/>
  <dimension ref="A1:X83"/>
  <sheetViews>
    <sheetView workbookViewId="0"/>
  </sheetViews>
  <sheetFormatPr defaultRowHeight="14.5" x14ac:dyDescent="0.35"/>
  <cols>
    <col min="1" max="1" width="8.81640625" style="1"/>
    <col min="2" max="2" width="12.453125" style="1" bestFit="1" customWidth="1"/>
    <col min="3" max="6" width="8.81640625" style="1"/>
    <col min="16" max="18" width="3.7265625" customWidth="1"/>
    <col min="23" max="23" width="9.1796875" style="2"/>
  </cols>
  <sheetData>
    <row r="1" spans="1:24" x14ac:dyDescent="0.35">
      <c r="A1" s="3" t="s">
        <v>39</v>
      </c>
      <c r="K1" t="s">
        <v>40</v>
      </c>
      <c r="T1" t="s">
        <v>41</v>
      </c>
    </row>
    <row r="2" spans="1:24" s="4" customFormat="1" x14ac:dyDescent="0.35">
      <c r="A2" s="4" t="s">
        <v>38</v>
      </c>
      <c r="B2" s="4" t="s">
        <v>13</v>
      </c>
      <c r="C2" s="4" t="s">
        <v>0</v>
      </c>
      <c r="D2" s="4" t="s">
        <v>1</v>
      </c>
      <c r="E2" s="4" t="s">
        <v>21</v>
      </c>
      <c r="F2" s="4" t="s">
        <v>42</v>
      </c>
      <c r="J2" s="4" t="s">
        <v>38</v>
      </c>
      <c r="K2" s="4" t="s">
        <v>13</v>
      </c>
      <c r="L2" s="4" t="s">
        <v>0</v>
      </c>
      <c r="M2" s="4" t="s">
        <v>1</v>
      </c>
      <c r="N2" s="4" t="s">
        <v>21</v>
      </c>
      <c r="O2" s="4" t="s">
        <v>8</v>
      </c>
      <c r="T2" s="4" t="s">
        <v>13</v>
      </c>
      <c r="U2" s="4" t="s">
        <v>0</v>
      </c>
      <c r="V2" s="4" t="s">
        <v>1</v>
      </c>
      <c r="W2" s="4" t="s">
        <v>21</v>
      </c>
      <c r="X2" s="4" t="s">
        <v>42</v>
      </c>
    </row>
    <row r="3" spans="1:24" x14ac:dyDescent="0.35">
      <c r="A3" s="1">
        <v>6</v>
      </c>
      <c r="B3" s="1" t="s">
        <v>10</v>
      </c>
      <c r="C3" s="1">
        <v>0.02</v>
      </c>
      <c r="D3" s="1" t="s">
        <v>7</v>
      </c>
      <c r="E3" s="1">
        <v>1</v>
      </c>
      <c r="F3" s="1" t="s">
        <v>11</v>
      </c>
      <c r="J3" s="1">
        <v>6</v>
      </c>
      <c r="K3" s="1" t="s">
        <v>2</v>
      </c>
      <c r="L3" s="1">
        <v>-2.5000000000000001E-2</v>
      </c>
      <c r="M3" s="1">
        <v>5.7735026918962597E-3</v>
      </c>
      <c r="N3" s="1">
        <v>4</v>
      </c>
      <c r="O3" s="1" t="s">
        <v>9</v>
      </c>
      <c r="P3" s="1">
        <f>L3*N3</f>
        <v>-0.1</v>
      </c>
      <c r="Q3">
        <f>M3*N3</f>
        <v>2.3094010767585039E-2</v>
      </c>
      <c r="R3" s="1">
        <f>Q3*M3</f>
        <v>1.3333333333333342E-4</v>
      </c>
      <c r="T3" t="str">
        <f t="shared" ref="T3:V4" si="0">K45</f>
        <v>1 pol</v>
      </c>
      <c r="U3">
        <f t="shared" si="0"/>
        <v>0</v>
      </c>
      <c r="V3">
        <f t="shared" si="0"/>
        <v>0</v>
      </c>
      <c r="W3">
        <v>0</v>
      </c>
      <c r="X3">
        <f>N45</f>
        <v>1</v>
      </c>
    </row>
    <row r="4" spans="1:24" x14ac:dyDescent="0.35">
      <c r="A4" s="1">
        <v>6</v>
      </c>
      <c r="B4" s="1" t="s">
        <v>2</v>
      </c>
      <c r="C4" s="1">
        <v>-2.5000000000000001E-2</v>
      </c>
      <c r="D4" s="1">
        <v>5.7735026918962597E-3</v>
      </c>
      <c r="E4" s="1">
        <v>4</v>
      </c>
      <c r="F4" s="1" t="s">
        <v>9</v>
      </c>
      <c r="J4" s="1">
        <v>11</v>
      </c>
      <c r="K4" s="1" t="s">
        <v>2</v>
      </c>
      <c r="L4" s="1">
        <v>-2.4545454500000001E-2</v>
      </c>
      <c r="M4" s="1">
        <v>2.18560278464121E-2</v>
      </c>
      <c r="N4" s="1">
        <v>2</v>
      </c>
      <c r="O4" s="1" t="s">
        <v>9</v>
      </c>
      <c r="P4" s="1">
        <f t="shared" ref="P4:P20" si="1">L4*N4</f>
        <v>-4.9090909000000002E-2</v>
      </c>
      <c r="Q4">
        <f t="shared" ref="Q4:Q20" si="2">M4*N4</f>
        <v>4.37120556928242E-2</v>
      </c>
      <c r="R4" s="1">
        <f t="shared" ref="R4:R20" si="3">Q4*M4</f>
        <v>9.5537190644628229E-4</v>
      </c>
      <c r="T4" t="str">
        <f t="shared" si="0"/>
        <v>1 pol</v>
      </c>
      <c r="U4">
        <f t="shared" si="0"/>
        <v>0.02</v>
      </c>
      <c r="V4">
        <f t="shared" si="0"/>
        <v>0</v>
      </c>
      <c r="W4">
        <v>0</v>
      </c>
      <c r="X4">
        <f>N46</f>
        <v>1</v>
      </c>
    </row>
    <row r="5" spans="1:24" x14ac:dyDescent="0.35">
      <c r="A5" s="1">
        <v>6</v>
      </c>
      <c r="B5" s="1" t="s">
        <v>2</v>
      </c>
      <c r="C5" s="1">
        <v>0.114411764705882</v>
      </c>
      <c r="D5" s="1">
        <v>0.116363880068818</v>
      </c>
      <c r="E5" s="1">
        <v>34</v>
      </c>
      <c r="F5" s="1" t="s">
        <v>11</v>
      </c>
      <c r="J5" s="1">
        <v>23</v>
      </c>
      <c r="K5" s="1" t="s">
        <v>2</v>
      </c>
      <c r="L5" s="1">
        <v>-3.3333333E-2</v>
      </c>
      <c r="M5" s="1">
        <v>0</v>
      </c>
      <c r="N5" s="1">
        <v>1</v>
      </c>
      <c r="O5" s="1" t="s">
        <v>9</v>
      </c>
      <c r="P5" s="1">
        <f t="shared" si="1"/>
        <v>-3.3333333E-2</v>
      </c>
      <c r="Q5">
        <f t="shared" si="2"/>
        <v>0</v>
      </c>
      <c r="R5" s="1">
        <f t="shared" si="3"/>
        <v>0</v>
      </c>
      <c r="T5" t="str">
        <f>K5</f>
        <v>&lt; 0.6</v>
      </c>
      <c r="U5" t="str">
        <f>O5</f>
        <v>negative</v>
      </c>
      <c r="V5">
        <f>SUM(P3:P5)/SUM(N3:N5)</f>
        <v>-2.6060605999999997E-2</v>
      </c>
      <c r="W5" s="2">
        <f>SQRT(SUM(R3:R5)/SUM(N3:N5))</f>
        <v>1.2471139481559675E-2</v>
      </c>
      <c r="X5">
        <f>N5+N4+N3</f>
        <v>7</v>
      </c>
    </row>
    <row r="6" spans="1:24" x14ac:dyDescent="0.35">
      <c r="A6" s="1">
        <v>6</v>
      </c>
      <c r="B6" s="1" t="s">
        <v>2</v>
      </c>
      <c r="C6" s="1">
        <v>0</v>
      </c>
      <c r="D6" s="1">
        <v>0</v>
      </c>
      <c r="E6" s="1">
        <v>11</v>
      </c>
      <c r="F6" s="1" t="s">
        <v>12</v>
      </c>
      <c r="J6" s="1">
        <v>6</v>
      </c>
      <c r="K6" s="1" t="s">
        <v>2</v>
      </c>
      <c r="L6" s="1">
        <v>0</v>
      </c>
      <c r="M6" s="1">
        <v>0</v>
      </c>
      <c r="N6" s="1">
        <v>11</v>
      </c>
      <c r="O6" s="1" t="s">
        <v>12</v>
      </c>
      <c r="P6" s="1">
        <f t="shared" si="1"/>
        <v>0</v>
      </c>
      <c r="Q6">
        <f t="shared" si="2"/>
        <v>0</v>
      </c>
      <c r="R6" s="1">
        <f t="shared" si="3"/>
        <v>0</v>
      </c>
      <c r="T6" t="str">
        <f>K8</f>
        <v>&lt; 0.6</v>
      </c>
      <c r="U6" t="str">
        <f>O8</f>
        <v>no-growth</v>
      </c>
      <c r="V6">
        <f>SUM(P6:P8)/SUM(N6:N8)</f>
        <v>0</v>
      </c>
      <c r="W6" s="2">
        <f>SQRT(SUM(R6:R8)/SUM(N6:N8))</f>
        <v>0</v>
      </c>
      <c r="X6">
        <f>SUM(O6:O8)</f>
        <v>0</v>
      </c>
    </row>
    <row r="7" spans="1:24" x14ac:dyDescent="0.35">
      <c r="A7" s="1">
        <v>6</v>
      </c>
      <c r="B7" s="1" t="s">
        <v>3</v>
      </c>
      <c r="C7" s="1">
        <v>-5.0999999999999997E-2</v>
      </c>
      <c r="D7" s="1">
        <v>3.2812599206199201E-2</v>
      </c>
      <c r="E7" s="1">
        <v>10</v>
      </c>
      <c r="F7" s="1" t="s">
        <v>9</v>
      </c>
      <c r="J7" s="1">
        <v>11</v>
      </c>
      <c r="K7" s="1" t="s">
        <v>2</v>
      </c>
      <c r="L7" s="1">
        <v>0</v>
      </c>
      <c r="M7" s="1">
        <v>0</v>
      </c>
      <c r="N7" s="1">
        <v>4</v>
      </c>
      <c r="O7" s="1" t="s">
        <v>12</v>
      </c>
      <c r="P7" s="1">
        <f t="shared" si="1"/>
        <v>0</v>
      </c>
      <c r="Q7">
        <f t="shared" si="2"/>
        <v>0</v>
      </c>
      <c r="R7" s="1">
        <f t="shared" si="3"/>
        <v>0</v>
      </c>
      <c r="T7" t="str">
        <f>K14</f>
        <v>&lt; 0.6</v>
      </c>
      <c r="U7" t="str">
        <f>O14</f>
        <v>positive</v>
      </c>
      <c r="V7">
        <f>SUM(P9:P14)/SUM(N9:N14)</f>
        <v>0.12140857730508442</v>
      </c>
      <c r="W7" s="2">
        <f>SQRT(SUM(R12:R14)/SUM(N12:N14))</f>
        <v>8.2876991343410908E-2</v>
      </c>
      <c r="X7">
        <f>SUM(N9:N14)</f>
        <v>59</v>
      </c>
    </row>
    <row r="8" spans="1:24" x14ac:dyDescent="0.35">
      <c r="A8" s="1">
        <v>6</v>
      </c>
      <c r="B8" s="1" t="s">
        <v>3</v>
      </c>
      <c r="C8" s="1">
        <v>0.11823529411764699</v>
      </c>
      <c r="D8" s="1">
        <v>0.114468079290563</v>
      </c>
      <c r="E8" s="1">
        <v>17</v>
      </c>
      <c r="F8" s="1" t="s">
        <v>11</v>
      </c>
      <c r="J8" s="1">
        <v>15</v>
      </c>
      <c r="K8" s="1" t="s">
        <v>2</v>
      </c>
      <c r="L8" s="1">
        <v>0</v>
      </c>
      <c r="M8" s="1">
        <v>0</v>
      </c>
      <c r="N8" s="1">
        <v>4</v>
      </c>
      <c r="O8" s="1" t="s">
        <v>12</v>
      </c>
      <c r="P8" s="1">
        <f t="shared" si="1"/>
        <v>0</v>
      </c>
      <c r="Q8">
        <f t="shared" si="2"/>
        <v>0</v>
      </c>
      <c r="R8" s="1">
        <f t="shared" si="3"/>
        <v>0</v>
      </c>
      <c r="T8" t="str">
        <f>K30</f>
        <v>0.6-1.1</v>
      </c>
      <c r="U8" t="str">
        <f>O30</f>
        <v>negative</v>
      </c>
      <c r="V8">
        <f>SUM(P28:P30)/SUM(N28:N30)</f>
        <v>-8.3703703777777777E-2</v>
      </c>
      <c r="W8" s="2">
        <f>SQRT(SUM(R28:R30)/SUM(N28:N30))</f>
        <v>4.3349356012133175E-2</v>
      </c>
      <c r="X8">
        <f>SUM(N28:N30)</f>
        <v>9</v>
      </c>
    </row>
    <row r="9" spans="1:24" x14ac:dyDescent="0.35">
      <c r="A9" s="1">
        <v>6</v>
      </c>
      <c r="B9" s="1" t="s">
        <v>3</v>
      </c>
      <c r="C9" s="1">
        <v>0</v>
      </c>
      <c r="D9" s="1">
        <v>0</v>
      </c>
      <c r="E9" s="1">
        <v>8</v>
      </c>
      <c r="F9" s="1" t="s">
        <v>12</v>
      </c>
      <c r="J9" s="1">
        <v>6</v>
      </c>
      <c r="K9" s="1" t="s">
        <v>2</v>
      </c>
      <c r="L9" s="1">
        <v>0.114411764705882</v>
      </c>
      <c r="M9" s="1">
        <v>0.116363880068818</v>
      </c>
      <c r="N9" s="1">
        <v>34</v>
      </c>
      <c r="O9" s="1" t="s">
        <v>11</v>
      </c>
      <c r="P9" s="1">
        <f t="shared" si="1"/>
        <v>3.8899999999999881</v>
      </c>
      <c r="Q9">
        <f t="shared" si="2"/>
        <v>3.9563719223398119</v>
      </c>
      <c r="R9" s="1">
        <f t="shared" si="3"/>
        <v>0.46037878787878878</v>
      </c>
      <c r="T9" t="str">
        <f>K37</f>
        <v>0.6-1.1</v>
      </c>
      <c r="U9" t="str">
        <f>O37</f>
        <v>no-growth</v>
      </c>
      <c r="V9">
        <f>SUM(P35:P37)/SUM(N35:N37)</f>
        <v>0</v>
      </c>
      <c r="W9" s="2">
        <f>SQRT(SUM(R35:R37)/SUM(N35:N37))</f>
        <v>0</v>
      </c>
      <c r="X9">
        <f>SUM(N35:N37)</f>
        <v>3</v>
      </c>
    </row>
    <row r="10" spans="1:24" x14ac:dyDescent="0.35">
      <c r="A10" s="1">
        <v>6</v>
      </c>
      <c r="B10" s="1" t="s">
        <v>4</v>
      </c>
      <c r="C10" s="1">
        <v>-9.2142857142857207E-2</v>
      </c>
      <c r="D10" s="1">
        <v>5.4937526956825002E-2</v>
      </c>
      <c r="E10" s="1">
        <v>14</v>
      </c>
      <c r="F10" s="1" t="s">
        <v>9</v>
      </c>
      <c r="J10" s="1">
        <v>11</v>
      </c>
      <c r="K10" s="1" t="s">
        <v>2</v>
      </c>
      <c r="L10" s="1">
        <v>0.151151515133333</v>
      </c>
      <c r="M10" s="1">
        <v>0.18076561128490401</v>
      </c>
      <c r="N10" s="1">
        <v>15</v>
      </c>
      <c r="O10" s="1" t="s">
        <v>11</v>
      </c>
      <c r="P10" s="1">
        <f t="shared" si="1"/>
        <v>2.267272726999995</v>
      </c>
      <c r="Q10">
        <f t="shared" si="2"/>
        <v>2.7114841692735601</v>
      </c>
      <c r="R10" s="1">
        <f t="shared" si="3"/>
        <v>0.49014309334807521</v>
      </c>
      <c r="T10" t="str">
        <f>K44</f>
        <v>0.6-1.1</v>
      </c>
      <c r="U10" t="str">
        <f>O44</f>
        <v>positive</v>
      </c>
      <c r="V10">
        <f>SUM(P38:P44)/SUM(N38:N44)</f>
        <v>0.1276694214909089</v>
      </c>
      <c r="W10" s="2">
        <f>SQRT(SUM(R38:R44)/SUM(N38:N44))</f>
        <v>0.10723748943007387</v>
      </c>
      <c r="X10">
        <f>SUM(N42:N44)</f>
        <v>6</v>
      </c>
    </row>
    <row r="11" spans="1:24" x14ac:dyDescent="0.35">
      <c r="A11" s="1">
        <v>6</v>
      </c>
      <c r="B11" s="1" t="s">
        <v>4</v>
      </c>
      <c r="C11" s="1">
        <v>0.184074074074074</v>
      </c>
      <c r="D11" s="1">
        <v>0.12816033405492999</v>
      </c>
      <c r="E11" s="1">
        <v>27</v>
      </c>
      <c r="F11" s="1" t="s">
        <v>11</v>
      </c>
      <c r="J11" s="1">
        <v>15</v>
      </c>
      <c r="K11" s="1" t="s">
        <v>2</v>
      </c>
      <c r="L11" s="1">
        <v>0.1</v>
      </c>
      <c r="M11" s="1">
        <v>0</v>
      </c>
      <c r="N11" s="1">
        <v>1</v>
      </c>
      <c r="O11" s="1" t="s">
        <v>11</v>
      </c>
      <c r="P11" s="1">
        <f t="shared" si="1"/>
        <v>0.1</v>
      </c>
      <c r="Q11">
        <f t="shared" si="2"/>
        <v>0</v>
      </c>
      <c r="R11" s="1">
        <f t="shared" si="3"/>
        <v>0</v>
      </c>
      <c r="T11" t="str">
        <f>K53</f>
        <v>1.2-2</v>
      </c>
      <c r="U11" t="str">
        <f>O53</f>
        <v>negative</v>
      </c>
      <c r="V11">
        <f>SUM(P47:P53)/SUM(N47:N53)</f>
        <v>-9.92479674878049E-2</v>
      </c>
      <c r="W11" s="2">
        <f>SQRT(SUM(R47:R53)/SUM(N47:N53))</f>
        <v>7.2535763257335406E-2</v>
      </c>
      <c r="X11">
        <f>SUM(N51:N53)</f>
        <v>5</v>
      </c>
    </row>
    <row r="12" spans="1:24" x14ac:dyDescent="0.35">
      <c r="A12" s="1">
        <v>6</v>
      </c>
      <c r="B12" s="1" t="s">
        <v>4</v>
      </c>
      <c r="C12" s="1">
        <v>0</v>
      </c>
      <c r="D12" s="1">
        <v>0</v>
      </c>
      <c r="E12" s="1">
        <v>4</v>
      </c>
      <c r="F12" s="1" t="s">
        <v>12</v>
      </c>
      <c r="J12" s="1">
        <v>20</v>
      </c>
      <c r="K12" s="1" t="s">
        <v>2</v>
      </c>
      <c r="L12" s="1">
        <v>0.09</v>
      </c>
      <c r="M12" s="1">
        <v>5.0332229568471699E-2</v>
      </c>
      <c r="N12" s="1">
        <v>4</v>
      </c>
      <c r="O12" s="1" t="s">
        <v>11</v>
      </c>
      <c r="P12" s="1">
        <f t="shared" si="1"/>
        <v>0.36</v>
      </c>
      <c r="Q12">
        <f>M12*N12</f>
        <v>0.2013289182738868</v>
      </c>
      <c r="R12" s="1">
        <f>Q12*M12</f>
        <v>1.0133333333333347E-2</v>
      </c>
      <c r="T12" t="str">
        <f>K57</f>
        <v>1.2-2</v>
      </c>
      <c r="U12" t="str">
        <f>O57</f>
        <v>no-growth</v>
      </c>
      <c r="V12">
        <f>SUM(P54:P57)/SUM(N54:N57)</f>
        <v>0</v>
      </c>
      <c r="W12" s="2">
        <f>SQRT(SUM(R51:R57)/SUM(N51:N57))</f>
        <v>2.502172968684897E-2</v>
      </c>
      <c r="X12">
        <f>SUM(N55:N57)</f>
        <v>14</v>
      </c>
    </row>
    <row r="13" spans="1:24" x14ac:dyDescent="0.35">
      <c r="A13" s="1">
        <v>6</v>
      </c>
      <c r="B13" s="1" t="s">
        <v>5</v>
      </c>
      <c r="C13" s="1">
        <v>-0.31333333333333302</v>
      </c>
      <c r="D13" s="1">
        <v>0.14023789311975099</v>
      </c>
      <c r="E13" s="1">
        <v>6</v>
      </c>
      <c r="F13" s="1" t="s">
        <v>9</v>
      </c>
      <c r="J13" s="1">
        <v>23</v>
      </c>
      <c r="K13" s="1" t="s">
        <v>2</v>
      </c>
      <c r="L13" s="1">
        <v>0.14861111133333299</v>
      </c>
      <c r="M13" s="1">
        <v>0.128041696221568</v>
      </c>
      <c r="N13" s="1">
        <v>3</v>
      </c>
      <c r="O13" s="1" t="s">
        <v>11</v>
      </c>
      <c r="P13" s="1">
        <f t="shared" si="1"/>
        <v>0.44583333399999897</v>
      </c>
      <c r="Q13">
        <f t="shared" si="2"/>
        <v>0.38412508866470396</v>
      </c>
      <c r="R13" s="1">
        <f t="shared" si="3"/>
        <v>4.91840279138889E-2</v>
      </c>
      <c r="T13" t="str">
        <f>K64</f>
        <v>1.2-2</v>
      </c>
      <c r="U13" t="str">
        <f>O64</f>
        <v>positive</v>
      </c>
      <c r="V13">
        <f>SUM(P58:P64)/SUM(N58:N64)</f>
        <v>0.1738347763174603</v>
      </c>
      <c r="W13" s="2">
        <f>SQRT(SUM(R58:R64)/SUM(N58:N64))</f>
        <v>0.13952855421375307</v>
      </c>
      <c r="X13">
        <f>SUM(N62:N64)</f>
        <v>12</v>
      </c>
    </row>
    <row r="14" spans="1:24" x14ac:dyDescent="0.35">
      <c r="A14" s="1">
        <v>6</v>
      </c>
      <c r="B14" s="1" t="s">
        <v>5</v>
      </c>
      <c r="C14" s="1">
        <v>0.223888888888889</v>
      </c>
      <c r="D14" s="1">
        <v>0.19962137363132601</v>
      </c>
      <c r="E14" s="1">
        <v>18</v>
      </c>
      <c r="F14" s="1" t="s">
        <v>11</v>
      </c>
      <c r="J14" s="1">
        <v>31</v>
      </c>
      <c r="K14" s="1" t="s">
        <v>2</v>
      </c>
      <c r="L14" s="1">
        <v>0.05</v>
      </c>
      <c r="M14" s="1">
        <v>3.5355339059327397E-2</v>
      </c>
      <c r="N14" s="1">
        <v>2</v>
      </c>
      <c r="O14" s="1" t="s">
        <v>11</v>
      </c>
      <c r="P14" s="1">
        <f t="shared" si="1"/>
        <v>0.1</v>
      </c>
      <c r="Q14">
        <f t="shared" si="2"/>
        <v>7.0710678118654793E-2</v>
      </c>
      <c r="R14" s="1">
        <f t="shared" si="3"/>
        <v>2.5000000000000031E-3</v>
      </c>
      <c r="T14" t="str">
        <f>K71</f>
        <v>2.1-5</v>
      </c>
      <c r="U14" t="str">
        <f>O71</f>
        <v>negative</v>
      </c>
      <c r="V14">
        <f>SUM(P65:P71)/SUM(N65:N71)</f>
        <v>-0.28164238539583308</v>
      </c>
      <c r="W14" s="2">
        <f>SQRT(SUM(R65:R71)/SUM(N65:N71))</f>
        <v>0.19710266055507134</v>
      </c>
      <c r="X14">
        <f>SUM(N69:N71)</f>
        <v>13</v>
      </c>
    </row>
    <row r="15" spans="1:24" x14ac:dyDescent="0.35">
      <c r="A15" s="1">
        <v>6</v>
      </c>
      <c r="B15" s="1" t="s">
        <v>5</v>
      </c>
      <c r="C15" s="1">
        <v>0</v>
      </c>
      <c r="D15" s="1">
        <v>0</v>
      </c>
      <c r="E15" s="1">
        <v>2</v>
      </c>
      <c r="F15" s="1" t="s">
        <v>12</v>
      </c>
      <c r="J15" s="1">
        <v>15</v>
      </c>
      <c r="K15" s="1" t="s">
        <v>6</v>
      </c>
      <c r="L15" s="1">
        <v>-1.325</v>
      </c>
      <c r="M15" s="1">
        <v>0</v>
      </c>
      <c r="N15" s="1">
        <v>1</v>
      </c>
      <c r="O15" s="1" t="s">
        <v>9</v>
      </c>
      <c r="P15" s="1">
        <f t="shared" si="1"/>
        <v>-1.325</v>
      </c>
      <c r="Q15">
        <f t="shared" si="2"/>
        <v>0</v>
      </c>
      <c r="R15" s="1">
        <f t="shared" si="3"/>
        <v>0</v>
      </c>
      <c r="T15" t="str">
        <f>K76</f>
        <v>2.1-5</v>
      </c>
      <c r="U15" t="str">
        <f>O76</f>
        <v>no-growth</v>
      </c>
      <c r="V15">
        <f>SUM(P72:P76)/SUM(N72:N76)</f>
        <v>0</v>
      </c>
      <c r="W15" s="2">
        <f>SQRT(SUM(R72:R76)/SUM(N72:N76))</f>
        <v>0</v>
      </c>
      <c r="X15">
        <f>SUM(N74:N76)</f>
        <v>10</v>
      </c>
    </row>
    <row r="16" spans="1:24" x14ac:dyDescent="0.35">
      <c r="A16" s="1">
        <v>11</v>
      </c>
      <c r="B16" s="1" t="s">
        <v>10</v>
      </c>
      <c r="C16" s="1">
        <v>0</v>
      </c>
      <c r="D16" s="1" t="s">
        <v>7</v>
      </c>
      <c r="E16" s="1">
        <v>1</v>
      </c>
      <c r="F16" s="1" t="s">
        <v>12</v>
      </c>
      <c r="J16" s="1">
        <v>20</v>
      </c>
      <c r="K16" s="1" t="s">
        <v>6</v>
      </c>
      <c r="L16" s="1">
        <v>-0.60666666666666702</v>
      </c>
      <c r="M16" s="1">
        <v>0.351188458428425</v>
      </c>
      <c r="N16" s="1">
        <v>3</v>
      </c>
      <c r="O16" s="1" t="s">
        <v>9</v>
      </c>
      <c r="P16" s="1">
        <f t="shared" si="1"/>
        <v>-1.8200000000000012</v>
      </c>
      <c r="Q16">
        <f t="shared" si="2"/>
        <v>1.0535653752852749</v>
      </c>
      <c r="R16" s="1">
        <f t="shared" si="3"/>
        <v>0.37000000000000077</v>
      </c>
      <c r="T16" t="str">
        <f>K83</f>
        <v>2.1-5</v>
      </c>
      <c r="U16" t="str">
        <f>O83</f>
        <v>positive</v>
      </c>
      <c r="V16">
        <f>SUM(P77:P83)/SUM(N77:N83)</f>
        <v>0.22575246547692301</v>
      </c>
      <c r="W16" s="2">
        <f>SQRT(SUM(R77:R83)/SUM(N77:N83))</f>
        <v>0.16495446525049173</v>
      </c>
      <c r="X16">
        <f>SUM(N81:N83)</f>
        <v>20</v>
      </c>
    </row>
    <row r="17" spans="1:24" x14ac:dyDescent="0.35">
      <c r="A17" s="1">
        <v>11</v>
      </c>
      <c r="B17" s="1" t="s">
        <v>2</v>
      </c>
      <c r="C17" s="1">
        <v>-2.4545454500000001E-2</v>
      </c>
      <c r="D17" s="1">
        <v>2.18560278464121E-2</v>
      </c>
      <c r="E17" s="1">
        <v>2</v>
      </c>
      <c r="F17" s="1" t="s">
        <v>9</v>
      </c>
      <c r="J17" s="1">
        <v>23</v>
      </c>
      <c r="K17" s="1" t="s">
        <v>6</v>
      </c>
      <c r="L17" s="1">
        <v>-1.432352941</v>
      </c>
      <c r="M17" s="1">
        <v>1.6513023069028601</v>
      </c>
      <c r="N17" s="1">
        <v>2</v>
      </c>
      <c r="O17" s="1" t="s">
        <v>9</v>
      </c>
      <c r="P17" s="1">
        <f t="shared" si="1"/>
        <v>-2.864705882</v>
      </c>
      <c r="Q17">
        <f t="shared" si="2"/>
        <v>3.3026046138057201</v>
      </c>
      <c r="R17" s="1">
        <f t="shared" si="3"/>
        <v>5.4535986175654152</v>
      </c>
      <c r="T17" t="str">
        <f>K17</f>
        <v>&gt; 5</v>
      </c>
      <c r="U17" t="str">
        <f>O17</f>
        <v>negative</v>
      </c>
      <c r="V17">
        <f>SUM(P15:P17)/SUM(N15:N17)</f>
        <v>-1.0016176470000002</v>
      </c>
      <c r="W17" s="2">
        <f>SQRT(SUM(R15:R17)/SUM(N15:N17))</f>
        <v>0.98519022000537337</v>
      </c>
      <c r="X17">
        <f>SUM(N15:N17)</f>
        <v>6</v>
      </c>
    </row>
    <row r="18" spans="1:24" x14ac:dyDescent="0.35">
      <c r="A18" s="1">
        <v>11</v>
      </c>
      <c r="B18" s="1" t="s">
        <v>2</v>
      </c>
      <c r="C18" s="1">
        <v>0.151151515133333</v>
      </c>
      <c r="D18" s="1">
        <v>0.18076561128490401</v>
      </c>
      <c r="E18" s="1">
        <v>15</v>
      </c>
      <c r="F18" s="1" t="s">
        <v>11</v>
      </c>
      <c r="J18" s="1">
        <v>15</v>
      </c>
      <c r="K18" s="1" t="s">
        <v>6</v>
      </c>
      <c r="L18" s="1">
        <v>0</v>
      </c>
      <c r="M18" s="1">
        <v>0</v>
      </c>
      <c r="N18" s="1">
        <v>2</v>
      </c>
      <c r="O18" s="1" t="s">
        <v>12</v>
      </c>
      <c r="P18" s="1">
        <f t="shared" si="1"/>
        <v>0</v>
      </c>
      <c r="Q18">
        <f t="shared" si="2"/>
        <v>0</v>
      </c>
      <c r="R18" s="1">
        <f t="shared" si="3"/>
        <v>0</v>
      </c>
      <c r="T18" t="str">
        <f>K19</f>
        <v>&gt; 5</v>
      </c>
      <c r="U18" t="str">
        <f>O19</f>
        <v>no-growth</v>
      </c>
      <c r="V18">
        <f>SUM(P17:P19)/SUM(N17:N19)</f>
        <v>-0.57294117639999997</v>
      </c>
      <c r="W18" s="2">
        <f>SQRT(SUM(R17:R19)/SUM(N17:N19))</f>
        <v>1.0443752790606846</v>
      </c>
      <c r="X18">
        <f>SUM(N17:N19)</f>
        <v>5</v>
      </c>
    </row>
    <row r="19" spans="1:24" x14ac:dyDescent="0.35">
      <c r="A19" s="1">
        <v>11</v>
      </c>
      <c r="B19" s="1" t="s">
        <v>2</v>
      </c>
      <c r="C19" s="1">
        <v>0</v>
      </c>
      <c r="D19" s="1">
        <v>0</v>
      </c>
      <c r="E19" s="1">
        <v>4</v>
      </c>
      <c r="F19" s="1" t="s">
        <v>12</v>
      </c>
      <c r="J19" s="1">
        <v>20</v>
      </c>
      <c r="K19" s="1" t="s">
        <v>6</v>
      </c>
      <c r="L19" s="1">
        <v>0</v>
      </c>
      <c r="M19" s="1">
        <v>0</v>
      </c>
      <c r="N19" s="1">
        <v>1</v>
      </c>
      <c r="O19" s="1" t="s">
        <v>12</v>
      </c>
      <c r="P19" s="1">
        <f t="shared" si="1"/>
        <v>0</v>
      </c>
      <c r="Q19">
        <f t="shared" si="2"/>
        <v>0</v>
      </c>
      <c r="R19" s="1">
        <f t="shared" si="3"/>
        <v>0</v>
      </c>
      <c r="T19" t="str">
        <f>K25</f>
        <v>&gt; 5</v>
      </c>
      <c r="U19" t="str">
        <f>O25</f>
        <v>positive</v>
      </c>
      <c r="V19">
        <f>SUM(P23:P25)/SUM(N23:N25)</f>
        <v>0.68583333325000007</v>
      </c>
      <c r="W19" s="2">
        <f>SQRT(SUM(R23:R25)/SUM(N23:N25))</f>
        <v>0.68000000000000027</v>
      </c>
      <c r="X19">
        <f>SUM(N23:N25)</f>
        <v>4</v>
      </c>
    </row>
    <row r="20" spans="1:24" x14ac:dyDescent="0.35">
      <c r="A20" s="1">
        <v>11</v>
      </c>
      <c r="B20" s="1" t="s">
        <v>3</v>
      </c>
      <c r="C20" s="1">
        <v>-5.5909090874999998E-2</v>
      </c>
      <c r="D20" s="1">
        <v>2.3420593655799699E-2</v>
      </c>
      <c r="E20" s="1">
        <v>8</v>
      </c>
      <c r="F20" s="1" t="s">
        <v>9</v>
      </c>
      <c r="J20" s="1">
        <v>11</v>
      </c>
      <c r="K20" s="1" t="s">
        <v>6</v>
      </c>
      <c r="L20" s="1">
        <v>0.12</v>
      </c>
      <c r="M20" s="1">
        <v>0</v>
      </c>
      <c r="N20" s="1">
        <v>1</v>
      </c>
      <c r="O20" s="1" t="s">
        <v>11</v>
      </c>
      <c r="P20" s="1">
        <f t="shared" si="1"/>
        <v>0.12</v>
      </c>
      <c r="Q20">
        <f t="shared" si="2"/>
        <v>0</v>
      </c>
      <c r="R20" s="1">
        <f t="shared" si="3"/>
        <v>0</v>
      </c>
    </row>
    <row r="21" spans="1:24" x14ac:dyDescent="0.35">
      <c r="A21" s="1">
        <v>11</v>
      </c>
      <c r="B21" s="1" t="s">
        <v>3</v>
      </c>
      <c r="C21" s="1">
        <v>0.110075757583333</v>
      </c>
      <c r="D21" s="1">
        <v>0.111559653796794</v>
      </c>
      <c r="E21" s="1">
        <v>24</v>
      </c>
      <c r="F21" s="1" t="s">
        <v>11</v>
      </c>
      <c r="J21" s="1">
        <v>15</v>
      </c>
      <c r="K21" s="1" t="s">
        <v>6</v>
      </c>
      <c r="L21" s="1">
        <v>0.375</v>
      </c>
      <c r="M21" s="1">
        <v>0</v>
      </c>
      <c r="N21" s="1">
        <v>1</v>
      </c>
      <c r="O21" s="1" t="s">
        <v>11</v>
      </c>
      <c r="P21" s="1">
        <f t="shared" ref="P21:P83" si="4">L21*N21</f>
        <v>0.375</v>
      </c>
      <c r="Q21">
        <f t="shared" ref="Q21:Q83" si="5">M21*N21</f>
        <v>0</v>
      </c>
      <c r="R21" s="1">
        <f t="shared" ref="R21:R83" si="6">Q21*M21</f>
        <v>0</v>
      </c>
    </row>
    <row r="22" spans="1:24" x14ac:dyDescent="0.35">
      <c r="A22" s="1">
        <v>11</v>
      </c>
      <c r="B22" s="1" t="s">
        <v>3</v>
      </c>
      <c r="C22" s="1">
        <v>0</v>
      </c>
      <c r="D22" s="1">
        <v>0</v>
      </c>
      <c r="E22" s="1">
        <v>11</v>
      </c>
      <c r="F22" s="1" t="s">
        <v>12</v>
      </c>
      <c r="J22" s="1">
        <v>20</v>
      </c>
      <c r="K22" s="1" t="s">
        <v>6</v>
      </c>
      <c r="L22" s="1">
        <v>0.16</v>
      </c>
      <c r="M22" s="1">
        <v>0</v>
      </c>
      <c r="N22" s="1">
        <v>1</v>
      </c>
      <c r="O22" s="1" t="s">
        <v>11</v>
      </c>
      <c r="P22" s="1">
        <f t="shared" si="4"/>
        <v>0.16</v>
      </c>
      <c r="Q22">
        <f t="shared" si="5"/>
        <v>0</v>
      </c>
      <c r="R22" s="1">
        <f t="shared" si="6"/>
        <v>0</v>
      </c>
    </row>
    <row r="23" spans="1:24" x14ac:dyDescent="0.35">
      <c r="A23" s="1">
        <v>11</v>
      </c>
      <c r="B23" s="1" t="s">
        <v>4</v>
      </c>
      <c r="C23" s="1">
        <v>-8.8750000062500001E-2</v>
      </c>
      <c r="D23" s="1">
        <v>5.6806544251693E-2</v>
      </c>
      <c r="E23" s="1">
        <v>16</v>
      </c>
      <c r="F23" s="1" t="s">
        <v>9</v>
      </c>
      <c r="J23" s="1">
        <v>23</v>
      </c>
      <c r="K23" s="1" t="s">
        <v>6</v>
      </c>
      <c r="L23" s="1">
        <v>0.133333333</v>
      </c>
      <c r="M23" s="1">
        <v>0</v>
      </c>
      <c r="N23" s="1">
        <v>1</v>
      </c>
      <c r="O23" s="1" t="s">
        <v>11</v>
      </c>
      <c r="P23" s="1">
        <f t="shared" si="4"/>
        <v>0.133333333</v>
      </c>
      <c r="Q23">
        <f t="shared" si="5"/>
        <v>0</v>
      </c>
      <c r="R23" s="1">
        <f t="shared" si="6"/>
        <v>0</v>
      </c>
    </row>
    <row r="24" spans="1:24" x14ac:dyDescent="0.35">
      <c r="A24" s="1">
        <v>11</v>
      </c>
      <c r="B24" s="1" t="s">
        <v>4</v>
      </c>
      <c r="C24" s="1">
        <v>0.12685314684615401</v>
      </c>
      <c r="D24" s="1">
        <v>0.117027353977624</v>
      </c>
      <c r="E24" s="1">
        <v>13</v>
      </c>
      <c r="F24" s="1" t="s">
        <v>11</v>
      </c>
      <c r="J24" s="1">
        <v>31</v>
      </c>
      <c r="K24" s="1" t="s">
        <v>6</v>
      </c>
      <c r="L24" s="1">
        <v>0.45</v>
      </c>
      <c r="M24" s="1">
        <v>0</v>
      </c>
      <c r="N24" s="1">
        <v>1</v>
      </c>
      <c r="O24" s="1" t="s">
        <v>11</v>
      </c>
      <c r="P24" s="1">
        <f t="shared" si="4"/>
        <v>0.45</v>
      </c>
      <c r="Q24">
        <f t="shared" si="5"/>
        <v>0</v>
      </c>
      <c r="R24" s="1">
        <f t="shared" si="6"/>
        <v>0</v>
      </c>
    </row>
    <row r="25" spans="1:24" x14ac:dyDescent="0.35">
      <c r="A25" s="1">
        <v>11</v>
      </c>
      <c r="B25" s="1" t="s">
        <v>4</v>
      </c>
      <c r="C25" s="1">
        <v>0</v>
      </c>
      <c r="D25" s="1">
        <v>0</v>
      </c>
      <c r="E25" s="1">
        <v>2</v>
      </c>
      <c r="F25" s="1" t="s">
        <v>12</v>
      </c>
      <c r="J25" s="1">
        <v>36</v>
      </c>
      <c r="K25" s="1" t="s">
        <v>6</v>
      </c>
      <c r="L25" s="1">
        <v>1.08</v>
      </c>
      <c r="M25" s="1">
        <v>0.961665222413705</v>
      </c>
      <c r="N25" s="1">
        <v>2</v>
      </c>
      <c r="O25" s="1" t="s">
        <v>11</v>
      </c>
      <c r="P25" s="1">
        <f t="shared" si="4"/>
        <v>2.16</v>
      </c>
      <c r="Q25">
        <f t="shared" si="5"/>
        <v>1.92333044482741</v>
      </c>
      <c r="R25" s="1">
        <f t="shared" si="6"/>
        <v>1.8496000000000015</v>
      </c>
    </row>
    <row r="26" spans="1:24" x14ac:dyDescent="0.35">
      <c r="A26" s="1">
        <v>11</v>
      </c>
      <c r="B26" s="1" t="s">
        <v>5</v>
      </c>
      <c r="C26" s="1">
        <v>-0.245939393933333</v>
      </c>
      <c r="D26" s="1">
        <v>0.12782157478764999</v>
      </c>
      <c r="E26" s="1">
        <v>15</v>
      </c>
      <c r="F26" s="1" t="s">
        <v>9</v>
      </c>
      <c r="J26" s="1">
        <v>6</v>
      </c>
      <c r="K26" s="1" t="s">
        <v>3</v>
      </c>
      <c r="L26" s="1">
        <v>-5.0999999999999997E-2</v>
      </c>
      <c r="M26" s="1">
        <v>3.2812599206199201E-2</v>
      </c>
      <c r="N26" s="1">
        <v>10</v>
      </c>
      <c r="O26" s="1" t="s">
        <v>9</v>
      </c>
      <c r="P26" s="1">
        <f t="shared" si="4"/>
        <v>-0.51</v>
      </c>
      <c r="Q26">
        <f t="shared" si="5"/>
        <v>0.328125992061992</v>
      </c>
      <c r="R26" s="1">
        <f t="shared" si="6"/>
        <v>1.0766666666666645E-2</v>
      </c>
    </row>
    <row r="27" spans="1:24" x14ac:dyDescent="0.35">
      <c r="A27" s="1">
        <v>11</v>
      </c>
      <c r="B27" s="1" t="s">
        <v>5</v>
      </c>
      <c r="C27" s="1">
        <v>0.23400000000000001</v>
      </c>
      <c r="D27" s="1">
        <v>0.13550684581657799</v>
      </c>
      <c r="E27" s="1">
        <v>20</v>
      </c>
      <c r="F27" s="1" t="s">
        <v>11</v>
      </c>
      <c r="J27" s="1">
        <v>11</v>
      </c>
      <c r="K27" s="1" t="s">
        <v>3</v>
      </c>
      <c r="L27" s="1">
        <v>-5.5909090874999998E-2</v>
      </c>
      <c r="M27" s="1">
        <v>2.3420593655799699E-2</v>
      </c>
      <c r="N27" s="1">
        <v>8</v>
      </c>
      <c r="O27" s="1" t="s">
        <v>9</v>
      </c>
      <c r="P27" s="1">
        <f t="shared" si="4"/>
        <v>-0.44727272699999998</v>
      </c>
      <c r="Q27">
        <f t="shared" si="5"/>
        <v>0.18736474924639759</v>
      </c>
      <c r="R27" s="1">
        <f t="shared" si="6"/>
        <v>4.3881936575206806E-3</v>
      </c>
    </row>
    <row r="28" spans="1:24" x14ac:dyDescent="0.35">
      <c r="A28" s="1">
        <v>11</v>
      </c>
      <c r="B28" s="1" t="s">
        <v>5</v>
      </c>
      <c r="C28" s="1">
        <v>0</v>
      </c>
      <c r="D28" s="1">
        <v>0</v>
      </c>
      <c r="E28" s="1">
        <v>3</v>
      </c>
      <c r="F28" s="1" t="s">
        <v>12</v>
      </c>
      <c r="J28" s="1">
        <v>15</v>
      </c>
      <c r="K28" s="1" t="s">
        <v>3</v>
      </c>
      <c r="L28" s="1">
        <v>-0.08</v>
      </c>
      <c r="M28" s="1">
        <v>3.2596012026013199E-2</v>
      </c>
      <c r="N28" s="1">
        <v>5</v>
      </c>
      <c r="O28" s="1" t="s">
        <v>9</v>
      </c>
      <c r="P28" s="1">
        <f t="shared" si="4"/>
        <v>-0.4</v>
      </c>
      <c r="Q28">
        <f t="shared" si="5"/>
        <v>0.162980060130066</v>
      </c>
      <c r="R28" s="1">
        <f t="shared" si="6"/>
        <v>5.3124999999999856E-3</v>
      </c>
    </row>
    <row r="29" spans="1:24" x14ac:dyDescent="0.35">
      <c r="A29" s="1">
        <v>11</v>
      </c>
      <c r="B29" s="1" t="s">
        <v>6</v>
      </c>
      <c r="C29" s="1">
        <v>0.12</v>
      </c>
      <c r="D29" s="1" t="s">
        <v>7</v>
      </c>
      <c r="E29" s="1">
        <v>1</v>
      </c>
      <c r="F29" s="1" t="s">
        <v>11</v>
      </c>
      <c r="J29" s="1">
        <v>20</v>
      </c>
      <c r="K29" s="1" t="s">
        <v>3</v>
      </c>
      <c r="L29" s="1">
        <v>-0.06</v>
      </c>
      <c r="M29" s="1">
        <v>2.8284271247461901E-2</v>
      </c>
      <c r="N29" s="1">
        <v>2</v>
      </c>
      <c r="O29" s="1" t="s">
        <v>9</v>
      </c>
      <c r="P29" s="1">
        <f t="shared" si="4"/>
        <v>-0.12</v>
      </c>
      <c r="Q29">
        <f t="shared" si="5"/>
        <v>5.6568542494923803E-2</v>
      </c>
      <c r="R29" s="1">
        <f t="shared" si="6"/>
        <v>1.6000000000000001E-3</v>
      </c>
    </row>
    <row r="30" spans="1:24" x14ac:dyDescent="0.35">
      <c r="A30" s="1">
        <v>15</v>
      </c>
      <c r="B30" s="1" t="s">
        <v>2</v>
      </c>
      <c r="C30" s="1">
        <v>0.1</v>
      </c>
      <c r="D30" s="1" t="s">
        <v>7</v>
      </c>
      <c r="E30" s="1">
        <v>1</v>
      </c>
      <c r="F30" s="1" t="s">
        <v>11</v>
      </c>
      <c r="J30" s="1">
        <v>23</v>
      </c>
      <c r="K30" s="1" t="s">
        <v>3</v>
      </c>
      <c r="L30" s="1">
        <v>-0.116666667</v>
      </c>
      <c r="M30" s="1">
        <v>7.0710678118654793E-2</v>
      </c>
      <c r="N30" s="1">
        <v>2</v>
      </c>
      <c r="O30" s="1" t="s">
        <v>9</v>
      </c>
      <c r="P30" s="1">
        <f t="shared" si="4"/>
        <v>-0.233333334</v>
      </c>
      <c r="Q30">
        <f t="shared" si="5"/>
        <v>0.14142135623730959</v>
      </c>
      <c r="R30" s="1">
        <f t="shared" si="6"/>
        <v>1.0000000000000012E-2</v>
      </c>
    </row>
    <row r="31" spans="1:24" x14ac:dyDescent="0.35">
      <c r="A31" s="1">
        <v>15</v>
      </c>
      <c r="B31" s="1" t="s">
        <v>2</v>
      </c>
      <c r="C31" s="1">
        <v>0</v>
      </c>
      <c r="D31" s="1">
        <v>0</v>
      </c>
      <c r="E31" s="1">
        <v>4</v>
      </c>
      <c r="F31" s="1" t="s">
        <v>12</v>
      </c>
      <c r="J31" s="1">
        <v>6</v>
      </c>
      <c r="K31" s="1" t="s">
        <v>3</v>
      </c>
      <c r="L31" s="1">
        <v>0</v>
      </c>
      <c r="M31" s="1">
        <v>0</v>
      </c>
      <c r="N31" s="1">
        <v>8</v>
      </c>
      <c r="O31" s="1" t="s">
        <v>12</v>
      </c>
      <c r="P31" s="1">
        <f t="shared" si="4"/>
        <v>0</v>
      </c>
      <c r="Q31">
        <f t="shared" si="5"/>
        <v>0</v>
      </c>
      <c r="R31" s="1">
        <f t="shared" si="6"/>
        <v>0</v>
      </c>
    </row>
    <row r="32" spans="1:24" x14ac:dyDescent="0.35">
      <c r="A32" s="1">
        <v>15</v>
      </c>
      <c r="B32" s="1" t="s">
        <v>3</v>
      </c>
      <c r="C32" s="1">
        <v>-0.08</v>
      </c>
      <c r="D32" s="1">
        <v>3.2596012026013199E-2</v>
      </c>
      <c r="E32" s="1">
        <v>5</v>
      </c>
      <c r="F32" s="1" t="s">
        <v>9</v>
      </c>
      <c r="J32" s="1">
        <v>11</v>
      </c>
      <c r="K32" s="1" t="s">
        <v>3</v>
      </c>
      <c r="L32" s="1">
        <v>0</v>
      </c>
      <c r="M32" s="1">
        <v>0</v>
      </c>
      <c r="N32" s="1">
        <v>11</v>
      </c>
      <c r="O32" s="1" t="s">
        <v>12</v>
      </c>
      <c r="P32" s="1">
        <f t="shared" si="4"/>
        <v>0</v>
      </c>
      <c r="Q32">
        <f t="shared" si="5"/>
        <v>0</v>
      </c>
      <c r="R32" s="1">
        <f t="shared" si="6"/>
        <v>0</v>
      </c>
    </row>
    <row r="33" spans="1:18" x14ac:dyDescent="0.35">
      <c r="A33" s="1">
        <v>15</v>
      </c>
      <c r="B33" s="1" t="s">
        <v>3</v>
      </c>
      <c r="C33" s="1">
        <v>0.28125</v>
      </c>
      <c r="D33" s="1">
        <v>0.123110722522451</v>
      </c>
      <c r="E33" s="1">
        <v>4</v>
      </c>
      <c r="F33" s="1" t="s">
        <v>11</v>
      </c>
      <c r="J33" s="1">
        <v>15</v>
      </c>
      <c r="K33" s="1" t="s">
        <v>3</v>
      </c>
      <c r="L33" s="1">
        <v>0</v>
      </c>
      <c r="M33" s="1">
        <v>0</v>
      </c>
      <c r="N33" s="1">
        <v>12</v>
      </c>
      <c r="O33" s="1" t="s">
        <v>12</v>
      </c>
      <c r="P33" s="1">
        <f t="shared" si="4"/>
        <v>0</v>
      </c>
      <c r="Q33">
        <f t="shared" si="5"/>
        <v>0</v>
      </c>
      <c r="R33" s="1">
        <f t="shared" si="6"/>
        <v>0</v>
      </c>
    </row>
    <row r="34" spans="1:18" x14ac:dyDescent="0.35">
      <c r="A34" s="1">
        <v>15</v>
      </c>
      <c r="B34" s="1" t="s">
        <v>3</v>
      </c>
      <c r="C34" s="1">
        <v>0</v>
      </c>
      <c r="D34" s="1">
        <v>0</v>
      </c>
      <c r="E34" s="1">
        <v>12</v>
      </c>
      <c r="F34" s="1" t="s">
        <v>12</v>
      </c>
      <c r="J34" s="1">
        <v>20</v>
      </c>
      <c r="K34" s="1" t="s">
        <v>3</v>
      </c>
      <c r="L34" s="1">
        <v>0</v>
      </c>
      <c r="M34" s="1">
        <v>0</v>
      </c>
      <c r="N34" s="1">
        <v>2</v>
      </c>
      <c r="O34" s="1" t="s">
        <v>12</v>
      </c>
      <c r="P34" s="1">
        <f t="shared" si="4"/>
        <v>0</v>
      </c>
      <c r="Q34">
        <f t="shared" si="5"/>
        <v>0</v>
      </c>
      <c r="R34" s="1">
        <f t="shared" si="6"/>
        <v>0</v>
      </c>
    </row>
    <row r="35" spans="1:18" x14ac:dyDescent="0.35">
      <c r="A35" s="1">
        <v>15</v>
      </c>
      <c r="B35" s="1" t="s">
        <v>4</v>
      </c>
      <c r="C35" s="1">
        <v>-0.05</v>
      </c>
      <c r="D35" s="1">
        <v>3.5355339059327397E-2</v>
      </c>
      <c r="E35" s="1">
        <v>2</v>
      </c>
      <c r="F35" s="1" t="s">
        <v>9</v>
      </c>
      <c r="J35" s="1">
        <v>23</v>
      </c>
      <c r="K35" s="1" t="s">
        <v>3</v>
      </c>
      <c r="L35" s="1">
        <v>0</v>
      </c>
      <c r="M35" s="1">
        <v>0</v>
      </c>
      <c r="N35" s="1">
        <v>1</v>
      </c>
      <c r="O35" s="1" t="s">
        <v>12</v>
      </c>
      <c r="P35" s="1">
        <f t="shared" si="4"/>
        <v>0</v>
      </c>
      <c r="Q35">
        <f t="shared" si="5"/>
        <v>0</v>
      </c>
      <c r="R35" s="1">
        <f t="shared" si="6"/>
        <v>0</v>
      </c>
    </row>
    <row r="36" spans="1:18" x14ac:dyDescent="0.35">
      <c r="A36" s="1">
        <v>15</v>
      </c>
      <c r="B36" s="1" t="s">
        <v>4</v>
      </c>
      <c r="C36" s="1">
        <v>0.15416666666666701</v>
      </c>
      <c r="D36" s="1">
        <v>9.6716940949694394E-2</v>
      </c>
      <c r="E36" s="1">
        <v>6</v>
      </c>
      <c r="F36" s="1" t="s">
        <v>11</v>
      </c>
      <c r="J36" s="1">
        <v>31</v>
      </c>
      <c r="K36" s="1" t="s">
        <v>3</v>
      </c>
      <c r="L36" s="1">
        <v>0</v>
      </c>
      <c r="M36" s="1">
        <v>0</v>
      </c>
      <c r="N36" s="1">
        <v>1</v>
      </c>
      <c r="O36" s="1" t="s">
        <v>12</v>
      </c>
      <c r="P36" s="1">
        <f t="shared" si="4"/>
        <v>0</v>
      </c>
      <c r="Q36">
        <f t="shared" si="5"/>
        <v>0</v>
      </c>
      <c r="R36" s="1">
        <f t="shared" si="6"/>
        <v>0</v>
      </c>
    </row>
    <row r="37" spans="1:18" x14ac:dyDescent="0.35">
      <c r="A37" s="1">
        <v>15</v>
      </c>
      <c r="B37" s="1" t="s">
        <v>4</v>
      </c>
      <c r="C37" s="1">
        <v>0</v>
      </c>
      <c r="D37" s="1">
        <v>0</v>
      </c>
      <c r="E37" s="1">
        <v>10</v>
      </c>
      <c r="F37" s="1" t="s">
        <v>12</v>
      </c>
      <c r="J37" s="1">
        <v>36</v>
      </c>
      <c r="K37" s="1" t="s">
        <v>3</v>
      </c>
      <c r="L37" s="1">
        <v>0</v>
      </c>
      <c r="M37" s="1">
        <v>0</v>
      </c>
      <c r="N37" s="1">
        <v>1</v>
      </c>
      <c r="O37" s="1" t="s">
        <v>12</v>
      </c>
      <c r="P37" s="1">
        <f t="shared" si="4"/>
        <v>0</v>
      </c>
      <c r="Q37">
        <f t="shared" si="5"/>
        <v>0</v>
      </c>
      <c r="R37" s="1">
        <f t="shared" si="6"/>
        <v>0</v>
      </c>
    </row>
    <row r="38" spans="1:18" x14ac:dyDescent="0.35">
      <c r="A38" s="1">
        <v>15</v>
      </c>
      <c r="B38" s="1" t="s">
        <v>5</v>
      </c>
      <c r="C38" s="1">
        <v>-0.39583333333333298</v>
      </c>
      <c r="D38" s="1">
        <v>0.227715099777478</v>
      </c>
      <c r="E38" s="1">
        <v>6</v>
      </c>
      <c r="F38" s="1" t="s">
        <v>9</v>
      </c>
      <c r="J38" s="1">
        <v>6</v>
      </c>
      <c r="K38" s="1" t="s">
        <v>3</v>
      </c>
      <c r="L38" s="1">
        <v>0.11823529411764699</v>
      </c>
      <c r="M38" s="1">
        <v>0.114468079290563</v>
      </c>
      <c r="N38" s="1">
        <v>17</v>
      </c>
      <c r="O38" s="1" t="s">
        <v>11</v>
      </c>
      <c r="P38" s="1">
        <f t="shared" si="4"/>
        <v>2.0099999999999989</v>
      </c>
      <c r="Q38">
        <f t="shared" si="5"/>
        <v>1.9459573479395711</v>
      </c>
      <c r="R38" s="1">
        <f t="shared" si="6"/>
        <v>0.22275000000000053</v>
      </c>
    </row>
    <row r="39" spans="1:18" x14ac:dyDescent="0.35">
      <c r="A39" s="1">
        <v>15</v>
      </c>
      <c r="B39" s="1" t="s">
        <v>5</v>
      </c>
      <c r="C39" s="1">
        <v>0.36249999999999999</v>
      </c>
      <c r="D39" s="1">
        <v>0.171391365010026</v>
      </c>
      <c r="E39" s="1">
        <v>4</v>
      </c>
      <c r="F39" s="1" t="s">
        <v>11</v>
      </c>
      <c r="J39" s="1">
        <v>11</v>
      </c>
      <c r="K39" s="1" t="s">
        <v>3</v>
      </c>
      <c r="L39" s="1">
        <v>0.110075757583333</v>
      </c>
      <c r="M39" s="1">
        <v>0.111559653796794</v>
      </c>
      <c r="N39" s="1">
        <v>24</v>
      </c>
      <c r="O39" s="1" t="s">
        <v>11</v>
      </c>
      <c r="P39" s="1">
        <f t="shared" si="4"/>
        <v>2.6418181819999922</v>
      </c>
      <c r="Q39">
        <f t="shared" si="5"/>
        <v>2.677431691123056</v>
      </c>
      <c r="R39" s="1">
        <f t="shared" si="6"/>
        <v>0.29869335252625284</v>
      </c>
    </row>
    <row r="40" spans="1:18" x14ac:dyDescent="0.35">
      <c r="A40" s="1">
        <v>15</v>
      </c>
      <c r="B40" s="1" t="s">
        <v>5</v>
      </c>
      <c r="C40" s="1">
        <v>0</v>
      </c>
      <c r="D40" s="1">
        <v>0</v>
      </c>
      <c r="E40" s="1">
        <v>8</v>
      </c>
      <c r="F40" s="1" t="s">
        <v>12</v>
      </c>
      <c r="J40" s="1">
        <v>15</v>
      </c>
      <c r="K40" s="1" t="s">
        <v>3</v>
      </c>
      <c r="L40" s="1">
        <v>0.28125</v>
      </c>
      <c r="M40" s="1">
        <v>0.123110722522451</v>
      </c>
      <c r="N40" s="1">
        <v>4</v>
      </c>
      <c r="O40" s="1" t="s">
        <v>11</v>
      </c>
      <c r="P40" s="1">
        <f t="shared" si="4"/>
        <v>1.125</v>
      </c>
      <c r="Q40">
        <f t="shared" si="5"/>
        <v>0.49244289008980402</v>
      </c>
      <c r="R40" s="1">
        <f t="shared" si="6"/>
        <v>6.06249999999997E-2</v>
      </c>
    </row>
    <row r="41" spans="1:18" x14ac:dyDescent="0.35">
      <c r="A41" s="1">
        <v>15</v>
      </c>
      <c r="B41" s="1" t="s">
        <v>6</v>
      </c>
      <c r="C41" s="1">
        <v>-1.325</v>
      </c>
      <c r="D41" s="1" t="s">
        <v>7</v>
      </c>
      <c r="E41" s="1">
        <v>1</v>
      </c>
      <c r="F41" s="1" t="s">
        <v>9</v>
      </c>
      <c r="J41" s="1">
        <v>20</v>
      </c>
      <c r="K41" s="1" t="s">
        <v>3</v>
      </c>
      <c r="L41" s="1">
        <v>0.15</v>
      </c>
      <c r="M41" s="1">
        <v>8.8694231304333807E-2</v>
      </c>
      <c r="N41" s="1">
        <v>4</v>
      </c>
      <c r="O41" s="1" t="s">
        <v>11</v>
      </c>
      <c r="P41" s="1">
        <f t="shared" si="4"/>
        <v>0.6</v>
      </c>
      <c r="Q41">
        <f t="shared" si="5"/>
        <v>0.35477692521733523</v>
      </c>
      <c r="R41" s="1">
        <f t="shared" si="6"/>
        <v>3.1466666666666671E-2</v>
      </c>
    </row>
    <row r="42" spans="1:18" x14ac:dyDescent="0.35">
      <c r="A42" s="1">
        <v>15</v>
      </c>
      <c r="B42" s="1" t="s">
        <v>6</v>
      </c>
      <c r="C42" s="1">
        <v>0.375</v>
      </c>
      <c r="D42" s="1" t="s">
        <v>7</v>
      </c>
      <c r="E42" s="1">
        <v>1</v>
      </c>
      <c r="F42" s="1" t="s">
        <v>11</v>
      </c>
      <c r="J42" s="1">
        <v>23</v>
      </c>
      <c r="K42" s="1" t="s">
        <v>3</v>
      </c>
      <c r="L42" s="1">
        <v>0.1</v>
      </c>
      <c r="M42" s="1">
        <v>6.6666666999999999E-2</v>
      </c>
      <c r="N42" s="1">
        <v>3</v>
      </c>
      <c r="O42" s="1" t="s">
        <v>11</v>
      </c>
      <c r="P42" s="1">
        <f t="shared" si="4"/>
        <v>0.30000000000000004</v>
      </c>
      <c r="Q42">
        <f t="shared" si="5"/>
        <v>0.20000000099999998</v>
      </c>
      <c r="R42" s="1">
        <f t="shared" si="6"/>
        <v>1.3333333466666666E-2</v>
      </c>
    </row>
    <row r="43" spans="1:18" x14ac:dyDescent="0.35">
      <c r="A43" s="1">
        <v>15</v>
      </c>
      <c r="B43" s="1" t="s">
        <v>6</v>
      </c>
      <c r="C43" s="1">
        <v>0</v>
      </c>
      <c r="D43" s="1">
        <v>0</v>
      </c>
      <c r="E43" s="1">
        <v>2</v>
      </c>
      <c r="F43" s="1" t="s">
        <v>12</v>
      </c>
      <c r="J43" s="1">
        <v>31</v>
      </c>
      <c r="K43" s="1" t="s">
        <v>3</v>
      </c>
      <c r="L43" s="1">
        <v>6.25E-2</v>
      </c>
      <c r="M43" s="1">
        <v>5.3033008588991098E-2</v>
      </c>
      <c r="N43" s="1">
        <v>2</v>
      </c>
      <c r="O43" s="1" t="s">
        <v>11</v>
      </c>
      <c r="P43" s="1">
        <f t="shared" si="4"/>
        <v>0.125</v>
      </c>
      <c r="Q43">
        <f t="shared" si="5"/>
        <v>0.1060660171779822</v>
      </c>
      <c r="R43" s="1">
        <f t="shared" si="6"/>
        <v>5.6250000000000076E-3</v>
      </c>
    </row>
    <row r="44" spans="1:18" x14ac:dyDescent="0.35">
      <c r="A44" s="1">
        <v>20</v>
      </c>
      <c r="B44" s="1" t="s">
        <v>2</v>
      </c>
      <c r="C44" s="1">
        <v>0.09</v>
      </c>
      <c r="D44" s="1">
        <v>5.0332229568471699E-2</v>
      </c>
      <c r="E44" s="1">
        <v>4</v>
      </c>
      <c r="F44" s="1" t="s">
        <v>11</v>
      </c>
      <c r="J44" s="1">
        <v>36</v>
      </c>
      <c r="K44" s="1" t="s">
        <v>3</v>
      </c>
      <c r="L44" s="1">
        <v>0.22</v>
      </c>
      <c r="M44" s="1">
        <v>0</v>
      </c>
      <c r="N44" s="1">
        <v>1</v>
      </c>
      <c r="O44" s="1" t="s">
        <v>11</v>
      </c>
      <c r="P44" s="1">
        <f t="shared" si="4"/>
        <v>0.22</v>
      </c>
      <c r="Q44">
        <f t="shared" si="5"/>
        <v>0</v>
      </c>
      <c r="R44" s="1">
        <f t="shared" si="6"/>
        <v>0</v>
      </c>
    </row>
    <row r="45" spans="1:18" x14ac:dyDescent="0.35">
      <c r="A45" s="1">
        <v>20</v>
      </c>
      <c r="B45" s="1" t="s">
        <v>3</v>
      </c>
      <c r="C45" s="1">
        <v>-0.06</v>
      </c>
      <c r="D45" s="1">
        <v>2.8284271247461901E-2</v>
      </c>
      <c r="E45" s="1">
        <v>2</v>
      </c>
      <c r="F45" s="1" t="s">
        <v>9</v>
      </c>
      <c r="J45" s="1">
        <v>11</v>
      </c>
      <c r="K45" s="1" t="s">
        <v>10</v>
      </c>
      <c r="L45" s="1">
        <v>0</v>
      </c>
      <c r="M45" s="1">
        <v>0</v>
      </c>
      <c r="N45" s="1">
        <v>1</v>
      </c>
      <c r="O45" s="1" t="s">
        <v>12</v>
      </c>
      <c r="P45" s="1">
        <f t="shared" si="4"/>
        <v>0</v>
      </c>
      <c r="Q45">
        <f t="shared" si="5"/>
        <v>0</v>
      </c>
      <c r="R45" s="1">
        <f t="shared" si="6"/>
        <v>0</v>
      </c>
    </row>
    <row r="46" spans="1:18" x14ac:dyDescent="0.35">
      <c r="A46" s="1">
        <v>20</v>
      </c>
      <c r="B46" s="1" t="s">
        <v>3</v>
      </c>
      <c r="C46" s="1">
        <v>0.15</v>
      </c>
      <c r="D46" s="1">
        <v>8.8694231304333807E-2</v>
      </c>
      <c r="E46" s="1">
        <v>4</v>
      </c>
      <c r="F46" s="1" t="s">
        <v>11</v>
      </c>
      <c r="J46" s="1">
        <v>6</v>
      </c>
      <c r="K46" s="1" t="s">
        <v>10</v>
      </c>
      <c r="L46" s="1">
        <v>0.02</v>
      </c>
      <c r="M46" s="1">
        <v>0</v>
      </c>
      <c r="N46" s="1">
        <v>1</v>
      </c>
      <c r="O46" s="1" t="s">
        <v>11</v>
      </c>
      <c r="P46" s="1">
        <f t="shared" si="4"/>
        <v>0.02</v>
      </c>
      <c r="Q46">
        <f t="shared" si="5"/>
        <v>0</v>
      </c>
      <c r="R46" s="1">
        <f t="shared" si="6"/>
        <v>0</v>
      </c>
    </row>
    <row r="47" spans="1:18" x14ac:dyDescent="0.35">
      <c r="A47" s="1">
        <v>20</v>
      </c>
      <c r="B47" s="1" t="s">
        <v>3</v>
      </c>
      <c r="C47" s="1">
        <v>0</v>
      </c>
      <c r="D47" s="1">
        <v>0</v>
      </c>
      <c r="E47" s="1">
        <v>2</v>
      </c>
      <c r="F47" s="1" t="s">
        <v>12</v>
      </c>
      <c r="J47" s="1">
        <v>6</v>
      </c>
      <c r="K47" s="1" t="s">
        <v>4</v>
      </c>
      <c r="L47" s="1">
        <v>-9.2142857142857207E-2</v>
      </c>
      <c r="M47" s="1">
        <v>5.4937526956825002E-2</v>
      </c>
      <c r="N47" s="1">
        <v>14</v>
      </c>
      <c r="O47" s="1" t="s">
        <v>9</v>
      </c>
      <c r="P47" s="1">
        <f t="shared" si="4"/>
        <v>-1.2900000000000009</v>
      </c>
      <c r="Q47">
        <f t="shared" si="5"/>
        <v>0.76912537739554998</v>
      </c>
      <c r="R47" s="1">
        <f t="shared" si="6"/>
        <v>4.2253846153846232E-2</v>
      </c>
    </row>
    <row r="48" spans="1:18" x14ac:dyDescent="0.35">
      <c r="A48" s="1">
        <v>20</v>
      </c>
      <c r="B48" s="1" t="s">
        <v>4</v>
      </c>
      <c r="C48" s="1">
        <v>-0.14499999999999999</v>
      </c>
      <c r="D48" s="1">
        <v>0.16196707484341799</v>
      </c>
      <c r="E48" s="1">
        <v>4</v>
      </c>
      <c r="F48" s="1" t="s">
        <v>9</v>
      </c>
      <c r="J48" s="1">
        <v>11</v>
      </c>
      <c r="K48" s="1" t="s">
        <v>4</v>
      </c>
      <c r="L48" s="1">
        <v>-8.8750000062500001E-2</v>
      </c>
      <c r="M48" s="1">
        <v>5.6806544251693E-2</v>
      </c>
      <c r="N48" s="1">
        <v>16</v>
      </c>
      <c r="O48" s="1" t="s">
        <v>9</v>
      </c>
      <c r="P48" s="1">
        <f t="shared" si="4"/>
        <v>-1.420000001</v>
      </c>
      <c r="Q48">
        <f t="shared" si="5"/>
        <v>0.908904708027088</v>
      </c>
      <c r="R48" s="1">
        <f t="shared" si="6"/>
        <v>5.1631735517112878E-2</v>
      </c>
    </row>
    <row r="49" spans="1:18" x14ac:dyDescent="0.35">
      <c r="A49" s="1">
        <v>20</v>
      </c>
      <c r="B49" s="1" t="s">
        <v>4</v>
      </c>
      <c r="C49" s="1">
        <v>0.156</v>
      </c>
      <c r="D49" s="1">
        <v>0.140996453856117</v>
      </c>
      <c r="E49" s="1">
        <v>5</v>
      </c>
      <c r="F49" s="1" t="s">
        <v>11</v>
      </c>
      <c r="J49" s="1">
        <v>15</v>
      </c>
      <c r="K49" s="1" t="s">
        <v>4</v>
      </c>
      <c r="L49" s="1">
        <v>-0.05</v>
      </c>
      <c r="M49" s="1">
        <v>3.5355339059327397E-2</v>
      </c>
      <c r="N49" s="1">
        <v>2</v>
      </c>
      <c r="O49" s="1" t="s">
        <v>9</v>
      </c>
      <c r="P49" s="1">
        <f t="shared" si="4"/>
        <v>-0.1</v>
      </c>
      <c r="Q49">
        <f t="shared" si="5"/>
        <v>7.0710678118654793E-2</v>
      </c>
      <c r="R49" s="1">
        <f t="shared" si="6"/>
        <v>2.5000000000000031E-3</v>
      </c>
    </row>
    <row r="50" spans="1:18" x14ac:dyDescent="0.35">
      <c r="A50" s="1">
        <v>20</v>
      </c>
      <c r="B50" s="1" t="s">
        <v>4</v>
      </c>
      <c r="C50" s="1">
        <v>0</v>
      </c>
      <c r="D50" s="1">
        <v>0</v>
      </c>
      <c r="E50" s="1">
        <v>2</v>
      </c>
      <c r="F50" s="1" t="s">
        <v>12</v>
      </c>
      <c r="J50" s="1">
        <v>20</v>
      </c>
      <c r="K50" s="1" t="s">
        <v>4</v>
      </c>
      <c r="L50" s="1">
        <v>-0.14499999999999999</v>
      </c>
      <c r="M50" s="1">
        <v>0.16196707484341799</v>
      </c>
      <c r="N50" s="1">
        <v>4</v>
      </c>
      <c r="O50" s="1" t="s">
        <v>9</v>
      </c>
      <c r="P50" s="1">
        <f t="shared" si="4"/>
        <v>-0.57999999999999996</v>
      </c>
      <c r="Q50">
        <f t="shared" si="5"/>
        <v>0.64786829937367196</v>
      </c>
      <c r="R50" s="1">
        <f t="shared" si="6"/>
        <v>0.10493333333333346</v>
      </c>
    </row>
    <row r="51" spans="1:18" x14ac:dyDescent="0.35">
      <c r="A51" s="1">
        <v>20</v>
      </c>
      <c r="B51" s="1" t="s">
        <v>5</v>
      </c>
      <c r="C51" s="1">
        <v>-0.28499999999999998</v>
      </c>
      <c r="D51" s="1">
        <v>0.232194499750286</v>
      </c>
      <c r="E51" s="1">
        <v>8</v>
      </c>
      <c r="F51" s="1" t="s">
        <v>9</v>
      </c>
      <c r="J51" s="1">
        <v>23</v>
      </c>
      <c r="K51" s="1" t="s">
        <v>4</v>
      </c>
      <c r="L51" s="1">
        <v>-0.233333333</v>
      </c>
      <c r="M51" s="1">
        <v>0</v>
      </c>
      <c r="N51" s="1">
        <v>2</v>
      </c>
      <c r="O51" s="1" t="s">
        <v>9</v>
      </c>
      <c r="P51" s="1">
        <f t="shared" si="4"/>
        <v>-0.46666666600000001</v>
      </c>
      <c r="Q51">
        <f t="shared" si="5"/>
        <v>0</v>
      </c>
      <c r="R51" s="1">
        <f t="shared" si="6"/>
        <v>0</v>
      </c>
    </row>
    <row r="52" spans="1:18" x14ac:dyDescent="0.35">
      <c r="A52" s="1">
        <v>20</v>
      </c>
      <c r="B52" s="1" t="s">
        <v>5</v>
      </c>
      <c r="C52" s="1">
        <v>0.233333333333333</v>
      </c>
      <c r="D52" s="1">
        <v>9.8657657246324901E-2</v>
      </c>
      <c r="E52" s="1">
        <v>3</v>
      </c>
      <c r="F52" s="1" t="s">
        <v>11</v>
      </c>
      <c r="J52" s="1">
        <v>31</v>
      </c>
      <c r="K52" s="1" t="s">
        <v>4</v>
      </c>
      <c r="L52" s="1">
        <v>-1.2500000000000001E-2</v>
      </c>
      <c r="M52" s="1">
        <v>0</v>
      </c>
      <c r="N52" s="1">
        <v>1</v>
      </c>
      <c r="O52" s="1" t="s">
        <v>9</v>
      </c>
      <c r="P52" s="1">
        <f t="shared" si="4"/>
        <v>-1.2500000000000001E-2</v>
      </c>
      <c r="Q52">
        <f t="shared" si="5"/>
        <v>0</v>
      </c>
      <c r="R52" s="1">
        <f t="shared" si="6"/>
        <v>0</v>
      </c>
    </row>
    <row r="53" spans="1:18" x14ac:dyDescent="0.35">
      <c r="A53" s="1">
        <v>20</v>
      </c>
      <c r="B53" s="1" t="s">
        <v>5</v>
      </c>
      <c r="C53" s="1">
        <v>0</v>
      </c>
      <c r="D53" s="1" t="s">
        <v>7</v>
      </c>
      <c r="E53" s="1">
        <v>1</v>
      </c>
      <c r="F53" s="1" t="s">
        <v>12</v>
      </c>
      <c r="J53" s="1">
        <v>36</v>
      </c>
      <c r="K53" s="1" t="s">
        <v>4</v>
      </c>
      <c r="L53" s="1">
        <v>-0.1</v>
      </c>
      <c r="M53" s="1">
        <v>8.4852813742385694E-2</v>
      </c>
      <c r="N53" s="1">
        <v>2</v>
      </c>
      <c r="O53" s="1" t="s">
        <v>9</v>
      </c>
      <c r="P53" s="1">
        <f t="shared" si="4"/>
        <v>-0.2</v>
      </c>
      <c r="Q53">
        <f t="shared" si="5"/>
        <v>0.16970562748477139</v>
      </c>
      <c r="R53" s="1">
        <f t="shared" si="6"/>
        <v>1.4399999999999996E-2</v>
      </c>
    </row>
    <row r="54" spans="1:18" x14ac:dyDescent="0.35">
      <c r="A54" s="1">
        <v>20</v>
      </c>
      <c r="B54" s="1" t="s">
        <v>6</v>
      </c>
      <c r="C54" s="1">
        <v>-0.60666666666666702</v>
      </c>
      <c r="D54" s="1">
        <v>0.351188458428425</v>
      </c>
      <c r="E54" s="1">
        <v>3</v>
      </c>
      <c r="F54" s="1" t="s">
        <v>9</v>
      </c>
      <c r="J54" s="1">
        <v>6</v>
      </c>
      <c r="K54" s="1" t="s">
        <v>4</v>
      </c>
      <c r="L54" s="1">
        <v>0</v>
      </c>
      <c r="M54" s="1">
        <v>0</v>
      </c>
      <c r="N54" s="1">
        <v>4</v>
      </c>
      <c r="O54" s="1" t="s">
        <v>12</v>
      </c>
      <c r="P54" s="1">
        <f t="shared" si="4"/>
        <v>0</v>
      </c>
      <c r="Q54">
        <f t="shared" si="5"/>
        <v>0</v>
      </c>
      <c r="R54" s="1">
        <f t="shared" si="6"/>
        <v>0</v>
      </c>
    </row>
    <row r="55" spans="1:18" x14ac:dyDescent="0.35">
      <c r="A55" s="1">
        <v>20</v>
      </c>
      <c r="B55" s="1" t="s">
        <v>6</v>
      </c>
      <c r="C55" s="1">
        <v>0.16</v>
      </c>
      <c r="D55" s="1" t="s">
        <v>7</v>
      </c>
      <c r="E55" s="1">
        <v>1</v>
      </c>
      <c r="F55" s="1" t="s">
        <v>11</v>
      </c>
      <c r="J55" s="1">
        <v>11</v>
      </c>
      <c r="K55" s="1" t="s">
        <v>4</v>
      </c>
      <c r="L55" s="1">
        <v>0</v>
      </c>
      <c r="M55" s="1">
        <v>0</v>
      </c>
      <c r="N55" s="1">
        <v>2</v>
      </c>
      <c r="O55" s="1" t="s">
        <v>12</v>
      </c>
      <c r="P55" s="1">
        <f t="shared" si="4"/>
        <v>0</v>
      </c>
      <c r="Q55">
        <f t="shared" si="5"/>
        <v>0</v>
      </c>
      <c r="R55" s="1">
        <f t="shared" si="6"/>
        <v>0</v>
      </c>
    </row>
    <row r="56" spans="1:18" x14ac:dyDescent="0.35">
      <c r="A56" s="1">
        <v>20</v>
      </c>
      <c r="B56" s="1" t="s">
        <v>6</v>
      </c>
      <c r="C56" s="1">
        <v>0</v>
      </c>
      <c r="D56" s="1" t="s">
        <v>7</v>
      </c>
      <c r="E56" s="1">
        <v>1</v>
      </c>
      <c r="F56" s="1" t="s">
        <v>12</v>
      </c>
      <c r="J56" s="1">
        <v>15</v>
      </c>
      <c r="K56" s="1" t="s">
        <v>4</v>
      </c>
      <c r="L56" s="1">
        <v>0</v>
      </c>
      <c r="M56" s="1">
        <v>0</v>
      </c>
      <c r="N56" s="1">
        <v>10</v>
      </c>
      <c r="O56" s="1" t="s">
        <v>12</v>
      </c>
      <c r="P56" s="1">
        <f t="shared" si="4"/>
        <v>0</v>
      </c>
      <c r="Q56">
        <f t="shared" si="5"/>
        <v>0</v>
      </c>
      <c r="R56" s="1">
        <f t="shared" si="6"/>
        <v>0</v>
      </c>
    </row>
    <row r="57" spans="1:18" x14ac:dyDescent="0.35">
      <c r="A57" s="1">
        <v>23</v>
      </c>
      <c r="B57" s="1" t="s">
        <v>2</v>
      </c>
      <c r="C57" s="1">
        <v>-3.3333333E-2</v>
      </c>
      <c r="D57" s="1" t="s">
        <v>7</v>
      </c>
      <c r="E57" s="1">
        <v>1</v>
      </c>
      <c r="F57" s="1" t="s">
        <v>9</v>
      </c>
      <c r="J57" s="1">
        <v>20</v>
      </c>
      <c r="K57" s="1" t="s">
        <v>4</v>
      </c>
      <c r="L57" s="1">
        <v>0</v>
      </c>
      <c r="M57" s="1">
        <v>0</v>
      </c>
      <c r="N57" s="1">
        <v>2</v>
      </c>
      <c r="O57" s="1" t="s">
        <v>12</v>
      </c>
      <c r="P57" s="1">
        <f t="shared" si="4"/>
        <v>0</v>
      </c>
      <c r="Q57">
        <f t="shared" si="5"/>
        <v>0</v>
      </c>
      <c r="R57" s="1">
        <f t="shared" si="6"/>
        <v>0</v>
      </c>
    </row>
    <row r="58" spans="1:18" x14ac:dyDescent="0.35">
      <c r="A58" s="1">
        <v>23</v>
      </c>
      <c r="B58" s="1" t="s">
        <v>2</v>
      </c>
      <c r="C58" s="1">
        <v>0.14861111133333299</v>
      </c>
      <c r="D58" s="1">
        <v>0.128041696221568</v>
      </c>
      <c r="E58" s="1">
        <v>3</v>
      </c>
      <c r="F58" s="1" t="s">
        <v>11</v>
      </c>
      <c r="J58" s="1">
        <v>6</v>
      </c>
      <c r="K58" s="1" t="s">
        <v>4</v>
      </c>
      <c r="L58" s="1">
        <v>0.184074074074074</v>
      </c>
      <c r="M58" s="1">
        <v>0.12816033405492999</v>
      </c>
      <c r="N58" s="1">
        <v>27</v>
      </c>
      <c r="O58" s="1" t="s">
        <v>11</v>
      </c>
      <c r="P58" s="1">
        <f t="shared" si="4"/>
        <v>4.969999999999998</v>
      </c>
      <c r="Q58">
        <f t="shared" si="5"/>
        <v>3.46032901948311</v>
      </c>
      <c r="R58" s="1">
        <f t="shared" si="6"/>
        <v>0.44347692307692371</v>
      </c>
    </row>
    <row r="59" spans="1:18" x14ac:dyDescent="0.35">
      <c r="A59" s="1">
        <v>23</v>
      </c>
      <c r="B59" s="1" t="s">
        <v>3</v>
      </c>
      <c r="C59" s="1">
        <v>-0.116666667</v>
      </c>
      <c r="D59" s="1">
        <v>7.0710678118654793E-2</v>
      </c>
      <c r="E59" s="1">
        <v>2</v>
      </c>
      <c r="F59" s="1" t="s">
        <v>9</v>
      </c>
      <c r="J59" s="1">
        <v>11</v>
      </c>
      <c r="K59" s="1" t="s">
        <v>4</v>
      </c>
      <c r="L59" s="1">
        <v>0.12685314684615401</v>
      </c>
      <c r="M59" s="1">
        <v>0.117027353977624</v>
      </c>
      <c r="N59" s="1">
        <v>13</v>
      </c>
      <c r="O59" s="1" t="s">
        <v>11</v>
      </c>
      <c r="P59" s="1">
        <f t="shared" si="4"/>
        <v>1.6490909090000021</v>
      </c>
      <c r="Q59">
        <f t="shared" si="5"/>
        <v>1.5213556017091119</v>
      </c>
      <c r="R59" s="1">
        <f t="shared" si="6"/>
        <v>0.17804022052705337</v>
      </c>
    </row>
    <row r="60" spans="1:18" x14ac:dyDescent="0.35">
      <c r="A60" s="1">
        <v>23</v>
      </c>
      <c r="B60" s="1" t="s">
        <v>3</v>
      </c>
      <c r="C60" s="1">
        <v>0.1</v>
      </c>
      <c r="D60" s="1">
        <v>6.6666666999999999E-2</v>
      </c>
      <c r="E60" s="1">
        <v>3</v>
      </c>
      <c r="F60" s="1" t="s">
        <v>11</v>
      </c>
      <c r="J60" s="1">
        <v>15</v>
      </c>
      <c r="K60" s="1" t="s">
        <v>4</v>
      </c>
      <c r="L60" s="1">
        <v>0.15416666666666701</v>
      </c>
      <c r="M60" s="1">
        <v>9.6716940949694394E-2</v>
      </c>
      <c r="N60" s="1">
        <v>6</v>
      </c>
      <c r="O60" s="1" t="s">
        <v>11</v>
      </c>
      <c r="P60" s="1">
        <f t="shared" si="4"/>
        <v>0.92500000000000204</v>
      </c>
      <c r="Q60">
        <f t="shared" si="5"/>
        <v>0.58030164569816634</v>
      </c>
      <c r="R60" s="1">
        <f t="shared" si="6"/>
        <v>5.6125000000000029E-2</v>
      </c>
    </row>
    <row r="61" spans="1:18" x14ac:dyDescent="0.35">
      <c r="A61" s="1">
        <v>23</v>
      </c>
      <c r="B61" s="1" t="s">
        <v>3</v>
      </c>
      <c r="C61" s="1">
        <v>0</v>
      </c>
      <c r="D61" s="1" t="s">
        <v>7</v>
      </c>
      <c r="E61" s="1">
        <v>1</v>
      </c>
      <c r="F61" s="1" t="s">
        <v>12</v>
      </c>
      <c r="J61" s="1">
        <v>20</v>
      </c>
      <c r="K61" s="1" t="s">
        <v>4</v>
      </c>
      <c r="L61" s="1">
        <v>0.156</v>
      </c>
      <c r="M61" s="1">
        <v>0.140996453856117</v>
      </c>
      <c r="N61" s="1">
        <v>5</v>
      </c>
      <c r="O61" s="1" t="s">
        <v>11</v>
      </c>
      <c r="P61" s="1">
        <f t="shared" si="4"/>
        <v>0.78</v>
      </c>
      <c r="Q61">
        <f t="shared" si="5"/>
        <v>0.70498226928058505</v>
      </c>
      <c r="R61" s="1">
        <f t="shared" si="6"/>
        <v>9.9400000000000668E-2</v>
      </c>
    </row>
    <row r="62" spans="1:18" x14ac:dyDescent="0.35">
      <c r="A62" s="1">
        <v>23</v>
      </c>
      <c r="B62" s="1" t="s">
        <v>4</v>
      </c>
      <c r="C62" s="1">
        <v>-0.233333333</v>
      </c>
      <c r="D62" s="1">
        <v>0</v>
      </c>
      <c r="E62" s="1">
        <v>2</v>
      </c>
      <c r="F62" s="1" t="s">
        <v>9</v>
      </c>
      <c r="J62" s="1">
        <v>23</v>
      </c>
      <c r="K62" s="1" t="s">
        <v>4</v>
      </c>
      <c r="L62" s="1">
        <v>0.27142857128571402</v>
      </c>
      <c r="M62" s="1">
        <v>0.194772964968292</v>
      </c>
      <c r="N62" s="1">
        <v>7</v>
      </c>
      <c r="O62" s="1" t="s">
        <v>11</v>
      </c>
      <c r="P62" s="1">
        <f t="shared" si="4"/>
        <v>1.8999999989999981</v>
      </c>
      <c r="Q62">
        <f t="shared" si="5"/>
        <v>1.3634107547780441</v>
      </c>
      <c r="R62" s="1">
        <f t="shared" si="6"/>
        <v>0.26555555517777651</v>
      </c>
    </row>
    <row r="63" spans="1:18" x14ac:dyDescent="0.35">
      <c r="A63" s="1">
        <v>23</v>
      </c>
      <c r="B63" s="1" t="s">
        <v>4</v>
      </c>
      <c r="C63" s="1">
        <v>0.27142857128571402</v>
      </c>
      <c r="D63" s="1">
        <v>0.194772964968292</v>
      </c>
      <c r="E63" s="1">
        <v>7</v>
      </c>
      <c r="F63" s="1" t="s">
        <v>11</v>
      </c>
      <c r="J63" s="1">
        <v>31</v>
      </c>
      <c r="K63" s="1" t="s">
        <v>4</v>
      </c>
      <c r="L63" s="1">
        <v>6.25E-2</v>
      </c>
      <c r="M63" s="1">
        <v>0.05</v>
      </c>
      <c r="N63" s="1">
        <v>3</v>
      </c>
      <c r="O63" s="1" t="s">
        <v>11</v>
      </c>
      <c r="P63" s="1">
        <f t="shared" si="4"/>
        <v>0.1875</v>
      </c>
      <c r="Q63">
        <f t="shared" si="5"/>
        <v>0.15000000000000002</v>
      </c>
      <c r="R63" s="1">
        <f t="shared" si="6"/>
        <v>7.5000000000000015E-3</v>
      </c>
    </row>
    <row r="64" spans="1:18" x14ac:dyDescent="0.35">
      <c r="A64" s="1">
        <v>23</v>
      </c>
      <c r="B64" s="1" t="s">
        <v>5</v>
      </c>
      <c r="C64" s="1">
        <v>-0.44166666674999999</v>
      </c>
      <c r="D64" s="1">
        <v>0.40403061830940701</v>
      </c>
      <c r="E64" s="1">
        <v>4</v>
      </c>
      <c r="F64" s="1" t="s">
        <v>9</v>
      </c>
      <c r="J64" s="1">
        <v>36</v>
      </c>
      <c r="K64" s="1" t="s">
        <v>4</v>
      </c>
      <c r="L64" s="1">
        <v>0.27</v>
      </c>
      <c r="M64" s="1">
        <v>0.29698484809835002</v>
      </c>
      <c r="N64" s="1">
        <v>2</v>
      </c>
      <c r="O64" s="1" t="s">
        <v>11</v>
      </c>
      <c r="P64" s="1">
        <f t="shared" si="4"/>
        <v>0.54</v>
      </c>
      <c r="Q64">
        <f t="shared" si="5"/>
        <v>0.59396969619670004</v>
      </c>
      <c r="R64" s="1">
        <f t="shared" si="6"/>
        <v>0.17640000000000006</v>
      </c>
    </row>
    <row r="65" spans="1:18" x14ac:dyDescent="0.35">
      <c r="A65" s="1">
        <v>23</v>
      </c>
      <c r="B65" s="1" t="s">
        <v>5</v>
      </c>
      <c r="C65" s="1">
        <v>0.20416666662499999</v>
      </c>
      <c r="D65" s="1">
        <v>0.140788595397666</v>
      </c>
      <c r="E65" s="1">
        <v>8</v>
      </c>
      <c r="F65" s="1" t="s">
        <v>11</v>
      </c>
      <c r="J65" s="1">
        <v>6</v>
      </c>
      <c r="K65" s="1" t="s">
        <v>5</v>
      </c>
      <c r="L65" s="1">
        <v>-0.31333333333333302</v>
      </c>
      <c r="M65" s="1">
        <v>0.14023789311975099</v>
      </c>
      <c r="N65" s="1">
        <v>6</v>
      </c>
      <c r="O65" s="1" t="s">
        <v>9</v>
      </c>
      <c r="P65" s="1">
        <f t="shared" si="4"/>
        <v>-1.8799999999999981</v>
      </c>
      <c r="Q65">
        <f t="shared" si="5"/>
        <v>0.84142735871850594</v>
      </c>
      <c r="R65" s="1">
        <f t="shared" si="6"/>
        <v>0.11800000000000022</v>
      </c>
    </row>
    <row r="66" spans="1:18" x14ac:dyDescent="0.35">
      <c r="A66" s="1">
        <v>23</v>
      </c>
      <c r="B66" s="1" t="s">
        <v>5</v>
      </c>
      <c r="C66" s="1">
        <v>0</v>
      </c>
      <c r="D66" s="1" t="s">
        <v>7</v>
      </c>
      <c r="E66" s="1">
        <v>1</v>
      </c>
      <c r="F66" s="1" t="s">
        <v>12</v>
      </c>
      <c r="J66" s="1">
        <v>11</v>
      </c>
      <c r="K66" s="1" t="s">
        <v>5</v>
      </c>
      <c r="L66" s="1">
        <v>-0.245939393933333</v>
      </c>
      <c r="M66" s="1">
        <v>0.12782157478764999</v>
      </c>
      <c r="N66" s="1">
        <v>15</v>
      </c>
      <c r="O66" s="1" t="s">
        <v>9</v>
      </c>
      <c r="P66" s="1">
        <f t="shared" si="4"/>
        <v>-3.689090908999995</v>
      </c>
      <c r="Q66">
        <f t="shared" si="5"/>
        <v>1.91732362181475</v>
      </c>
      <c r="R66" s="1">
        <f t="shared" si="6"/>
        <v>0.24507532471792201</v>
      </c>
    </row>
    <row r="67" spans="1:18" x14ac:dyDescent="0.35">
      <c r="A67" s="1">
        <v>23</v>
      </c>
      <c r="B67" s="1" t="s">
        <v>6</v>
      </c>
      <c r="C67" s="1">
        <v>-1.432352941</v>
      </c>
      <c r="D67" s="1">
        <v>1.6513023069028601</v>
      </c>
      <c r="E67" s="1">
        <v>2</v>
      </c>
      <c r="F67" s="1" t="s">
        <v>9</v>
      </c>
      <c r="J67" s="1">
        <v>15</v>
      </c>
      <c r="K67" s="1" t="s">
        <v>5</v>
      </c>
      <c r="L67" s="1">
        <v>-0.39583333333333298</v>
      </c>
      <c r="M67" s="1">
        <v>0.227715099777478</v>
      </c>
      <c r="N67" s="1">
        <v>6</v>
      </c>
      <c r="O67" s="1" t="s">
        <v>9</v>
      </c>
      <c r="P67" s="1">
        <f t="shared" si="4"/>
        <v>-2.3749999999999978</v>
      </c>
      <c r="Q67">
        <f t="shared" si="5"/>
        <v>1.3662905986648681</v>
      </c>
      <c r="R67" s="1">
        <f t="shared" si="6"/>
        <v>0.3111250000000006</v>
      </c>
    </row>
    <row r="68" spans="1:18" x14ac:dyDescent="0.35">
      <c r="A68" s="1">
        <v>23</v>
      </c>
      <c r="B68" s="1" t="s">
        <v>6</v>
      </c>
      <c r="C68" s="1">
        <v>0.133333333</v>
      </c>
      <c r="D68" s="1" t="s">
        <v>7</v>
      </c>
      <c r="E68" s="1">
        <v>1</v>
      </c>
      <c r="F68" s="1" t="s">
        <v>11</v>
      </c>
      <c r="J68" s="1">
        <v>20</v>
      </c>
      <c r="K68" s="1" t="s">
        <v>5</v>
      </c>
      <c r="L68" s="1">
        <v>-0.28499999999999998</v>
      </c>
      <c r="M68" s="1">
        <v>0.232194499750286</v>
      </c>
      <c r="N68" s="1">
        <v>8</v>
      </c>
      <c r="O68" s="1" t="s">
        <v>9</v>
      </c>
      <c r="P68" s="1">
        <f t="shared" si="4"/>
        <v>-2.2799999999999998</v>
      </c>
      <c r="Q68">
        <f t="shared" si="5"/>
        <v>1.857555998002288</v>
      </c>
      <c r="R68" s="1">
        <f t="shared" si="6"/>
        <v>0.43131428571428454</v>
      </c>
    </row>
    <row r="69" spans="1:18" x14ac:dyDescent="0.35">
      <c r="A69" s="1">
        <v>31</v>
      </c>
      <c r="B69" s="1" t="s">
        <v>2</v>
      </c>
      <c r="C69" s="1">
        <v>0.05</v>
      </c>
      <c r="D69" s="1">
        <v>3.5355339059327397E-2</v>
      </c>
      <c r="E69" s="1">
        <v>2</v>
      </c>
      <c r="F69" s="1" t="s">
        <v>11</v>
      </c>
      <c r="J69" s="1">
        <v>23</v>
      </c>
      <c r="K69" s="1" t="s">
        <v>5</v>
      </c>
      <c r="L69" s="1">
        <v>-0.44166666674999999</v>
      </c>
      <c r="M69" s="1">
        <v>0.40403061830940701</v>
      </c>
      <c r="N69" s="1">
        <v>4</v>
      </c>
      <c r="O69" s="1" t="s">
        <v>9</v>
      </c>
      <c r="P69" s="1">
        <f t="shared" si="4"/>
        <v>-1.766666667</v>
      </c>
      <c r="Q69">
        <f t="shared" si="5"/>
        <v>1.616122473237628</v>
      </c>
      <c r="R69" s="1">
        <f t="shared" si="6"/>
        <v>0.65296296212592697</v>
      </c>
    </row>
    <row r="70" spans="1:18" x14ac:dyDescent="0.35">
      <c r="A70" s="1">
        <v>31</v>
      </c>
      <c r="B70" s="1" t="s">
        <v>3</v>
      </c>
      <c r="C70" s="1">
        <v>6.25E-2</v>
      </c>
      <c r="D70" s="1">
        <v>5.3033008588991098E-2</v>
      </c>
      <c r="E70" s="1">
        <v>2</v>
      </c>
      <c r="F70" s="1" t="s">
        <v>11</v>
      </c>
      <c r="J70" s="1">
        <v>31</v>
      </c>
      <c r="K70" s="1" t="s">
        <v>5</v>
      </c>
      <c r="L70" s="1">
        <v>-0.1875</v>
      </c>
      <c r="M70" s="1">
        <v>0.12942179105544799</v>
      </c>
      <c r="N70" s="1">
        <v>6</v>
      </c>
      <c r="O70" s="1" t="s">
        <v>9</v>
      </c>
      <c r="P70" s="1">
        <f t="shared" si="4"/>
        <v>-1.125</v>
      </c>
      <c r="Q70">
        <f t="shared" si="5"/>
        <v>0.77653074633268793</v>
      </c>
      <c r="R70" s="1">
        <f t="shared" si="6"/>
        <v>0.10050000000000021</v>
      </c>
    </row>
    <row r="71" spans="1:18" x14ac:dyDescent="0.35">
      <c r="A71" s="1">
        <v>31</v>
      </c>
      <c r="B71" s="1" t="s">
        <v>3</v>
      </c>
      <c r="C71" s="1">
        <v>0</v>
      </c>
      <c r="D71" s="1" t="s">
        <v>7</v>
      </c>
      <c r="E71" s="1">
        <v>1</v>
      </c>
      <c r="F71" s="1" t="s">
        <v>12</v>
      </c>
      <c r="J71" s="1">
        <v>36</v>
      </c>
      <c r="K71" s="1" t="s">
        <v>5</v>
      </c>
      <c r="L71" s="1">
        <v>-0.13435897433333299</v>
      </c>
      <c r="M71" s="1">
        <v>4.3956227243601403E-2</v>
      </c>
      <c r="N71" s="1">
        <v>3</v>
      </c>
      <c r="O71" s="1" t="s">
        <v>9</v>
      </c>
      <c r="P71" s="1">
        <f t="shared" si="4"/>
        <v>-0.40307692299999898</v>
      </c>
      <c r="Q71">
        <f t="shared" si="5"/>
        <v>0.13186868173080421</v>
      </c>
      <c r="R71" s="1">
        <f t="shared" si="6"/>
        <v>5.7964497404733783E-3</v>
      </c>
    </row>
    <row r="72" spans="1:18" x14ac:dyDescent="0.35">
      <c r="A72" s="1">
        <v>31</v>
      </c>
      <c r="B72" s="1" t="s">
        <v>4</v>
      </c>
      <c r="C72" s="1">
        <v>-1.2500000000000001E-2</v>
      </c>
      <c r="D72" s="1" t="s">
        <v>7</v>
      </c>
      <c r="E72" s="1">
        <v>1</v>
      </c>
      <c r="F72" s="1" t="s">
        <v>9</v>
      </c>
      <c r="J72" s="1">
        <v>6</v>
      </c>
      <c r="K72" s="1" t="s">
        <v>5</v>
      </c>
      <c r="L72" s="1">
        <v>0</v>
      </c>
      <c r="M72" s="1">
        <v>0</v>
      </c>
      <c r="N72" s="1">
        <v>2</v>
      </c>
      <c r="O72" s="1" t="s">
        <v>12</v>
      </c>
      <c r="P72" s="1">
        <f t="shared" si="4"/>
        <v>0</v>
      </c>
      <c r="Q72">
        <f t="shared" si="5"/>
        <v>0</v>
      </c>
      <c r="R72" s="1">
        <f t="shared" si="6"/>
        <v>0</v>
      </c>
    </row>
    <row r="73" spans="1:18" x14ac:dyDescent="0.35">
      <c r="A73" s="1">
        <v>31</v>
      </c>
      <c r="B73" s="1" t="s">
        <v>4</v>
      </c>
      <c r="C73" s="1">
        <v>6.25E-2</v>
      </c>
      <c r="D73" s="1">
        <v>0.05</v>
      </c>
      <c r="E73" s="1">
        <v>3</v>
      </c>
      <c r="F73" s="1" t="s">
        <v>11</v>
      </c>
      <c r="J73" s="1">
        <v>11</v>
      </c>
      <c r="K73" s="1" t="s">
        <v>5</v>
      </c>
      <c r="L73" s="1">
        <v>0</v>
      </c>
      <c r="M73" s="1">
        <v>0</v>
      </c>
      <c r="N73" s="1">
        <v>3</v>
      </c>
      <c r="O73" s="1" t="s">
        <v>12</v>
      </c>
      <c r="P73" s="1">
        <f t="shared" si="4"/>
        <v>0</v>
      </c>
      <c r="Q73">
        <f t="shared" si="5"/>
        <v>0</v>
      </c>
      <c r="R73" s="1">
        <f t="shared" si="6"/>
        <v>0</v>
      </c>
    </row>
    <row r="74" spans="1:18" x14ac:dyDescent="0.35">
      <c r="A74" s="1">
        <v>31</v>
      </c>
      <c r="B74" s="1" t="s">
        <v>5</v>
      </c>
      <c r="C74" s="1">
        <v>-0.1875</v>
      </c>
      <c r="D74" s="1">
        <v>0.12942179105544799</v>
      </c>
      <c r="E74" s="1">
        <v>6</v>
      </c>
      <c r="F74" s="1" t="s">
        <v>9</v>
      </c>
      <c r="J74" s="1">
        <v>15</v>
      </c>
      <c r="K74" s="1" t="s">
        <v>5</v>
      </c>
      <c r="L74" s="1">
        <v>0</v>
      </c>
      <c r="M74" s="1">
        <v>0</v>
      </c>
      <c r="N74" s="1">
        <v>8</v>
      </c>
      <c r="O74" s="1" t="s">
        <v>12</v>
      </c>
      <c r="P74" s="1">
        <f t="shared" si="4"/>
        <v>0</v>
      </c>
      <c r="Q74">
        <f t="shared" si="5"/>
        <v>0</v>
      </c>
      <c r="R74" s="1">
        <f t="shared" si="6"/>
        <v>0</v>
      </c>
    </row>
    <row r="75" spans="1:18" x14ac:dyDescent="0.35">
      <c r="A75" s="1">
        <v>31</v>
      </c>
      <c r="B75" s="1" t="s">
        <v>5</v>
      </c>
      <c r="C75" s="1">
        <v>0.18958333333333299</v>
      </c>
      <c r="D75" s="1">
        <v>0.231221845132908</v>
      </c>
      <c r="E75" s="1">
        <v>6</v>
      </c>
      <c r="F75" s="1" t="s">
        <v>11</v>
      </c>
      <c r="J75" s="1">
        <v>20</v>
      </c>
      <c r="K75" s="1" t="s">
        <v>5</v>
      </c>
      <c r="L75" s="1">
        <v>0</v>
      </c>
      <c r="M75" s="1">
        <v>0</v>
      </c>
      <c r="N75" s="1">
        <v>1</v>
      </c>
      <c r="O75" s="1" t="s">
        <v>12</v>
      </c>
      <c r="P75" s="1">
        <f t="shared" si="4"/>
        <v>0</v>
      </c>
      <c r="Q75">
        <f t="shared" si="5"/>
        <v>0</v>
      </c>
      <c r="R75" s="1">
        <f t="shared" si="6"/>
        <v>0</v>
      </c>
    </row>
    <row r="76" spans="1:18" x14ac:dyDescent="0.35">
      <c r="A76" s="1">
        <v>31</v>
      </c>
      <c r="B76" s="1" t="s">
        <v>6</v>
      </c>
      <c r="C76" s="1">
        <v>0.45</v>
      </c>
      <c r="D76" s="1" t="s">
        <v>7</v>
      </c>
      <c r="E76" s="1">
        <v>1</v>
      </c>
      <c r="F76" s="1" t="s">
        <v>11</v>
      </c>
      <c r="J76" s="1">
        <v>23</v>
      </c>
      <c r="K76" s="1" t="s">
        <v>5</v>
      </c>
      <c r="L76" s="1">
        <v>0</v>
      </c>
      <c r="M76" s="1">
        <v>0</v>
      </c>
      <c r="N76" s="1">
        <v>1</v>
      </c>
      <c r="O76" s="1" t="s">
        <v>12</v>
      </c>
      <c r="P76" s="1">
        <f t="shared" si="4"/>
        <v>0</v>
      </c>
      <c r="Q76">
        <f t="shared" si="5"/>
        <v>0</v>
      </c>
      <c r="R76" s="1">
        <f t="shared" si="6"/>
        <v>0</v>
      </c>
    </row>
    <row r="77" spans="1:18" x14ac:dyDescent="0.35">
      <c r="A77" s="1">
        <v>36</v>
      </c>
      <c r="B77" s="1" t="s">
        <v>3</v>
      </c>
      <c r="C77" s="1">
        <v>0.22</v>
      </c>
      <c r="D77" s="1" t="s">
        <v>7</v>
      </c>
      <c r="E77" s="1">
        <v>1</v>
      </c>
      <c r="F77" s="1" t="s">
        <v>11</v>
      </c>
      <c r="J77" s="1">
        <v>6</v>
      </c>
      <c r="K77" s="1" t="s">
        <v>5</v>
      </c>
      <c r="L77" s="1">
        <v>0.223888888888889</v>
      </c>
      <c r="M77" s="1">
        <v>0.19962137363132601</v>
      </c>
      <c r="N77" s="1">
        <v>18</v>
      </c>
      <c r="O77" s="1" t="s">
        <v>11</v>
      </c>
      <c r="P77" s="1">
        <f t="shared" si="4"/>
        <v>4.030000000000002</v>
      </c>
      <c r="Q77">
        <f t="shared" si="5"/>
        <v>3.593184725363868</v>
      </c>
      <c r="R77" s="1">
        <f t="shared" si="6"/>
        <v>0.71727647058823418</v>
      </c>
    </row>
    <row r="78" spans="1:18" x14ac:dyDescent="0.35">
      <c r="A78" s="1">
        <v>36</v>
      </c>
      <c r="B78" s="1" t="s">
        <v>3</v>
      </c>
      <c r="C78" s="1">
        <v>0</v>
      </c>
      <c r="D78" s="1" t="s">
        <v>7</v>
      </c>
      <c r="E78" s="1">
        <v>1</v>
      </c>
      <c r="F78" s="1" t="s">
        <v>12</v>
      </c>
      <c r="J78" s="1">
        <v>11</v>
      </c>
      <c r="K78" s="1" t="s">
        <v>5</v>
      </c>
      <c r="L78" s="1">
        <v>0.23400000000000001</v>
      </c>
      <c r="M78" s="1">
        <v>0.13550684581657799</v>
      </c>
      <c r="N78" s="1">
        <v>20</v>
      </c>
      <c r="O78" s="1" t="s">
        <v>11</v>
      </c>
      <c r="P78" s="1">
        <f t="shared" si="4"/>
        <v>4.6800000000000006</v>
      </c>
      <c r="Q78">
        <f t="shared" si="5"/>
        <v>2.7101369163315598</v>
      </c>
      <c r="R78" s="1">
        <f t="shared" si="6"/>
        <v>0.36724210526315682</v>
      </c>
    </row>
    <row r="79" spans="1:18" x14ac:dyDescent="0.35">
      <c r="A79" s="1">
        <v>36</v>
      </c>
      <c r="B79" s="1" t="s">
        <v>4</v>
      </c>
      <c r="C79" s="1">
        <v>-0.1</v>
      </c>
      <c r="D79" s="1">
        <v>8.4852813742385694E-2</v>
      </c>
      <c r="E79" s="1">
        <v>2</v>
      </c>
      <c r="F79" s="1" t="s">
        <v>9</v>
      </c>
      <c r="J79" s="1">
        <v>15</v>
      </c>
      <c r="K79" s="1" t="s">
        <v>5</v>
      </c>
      <c r="L79" s="1">
        <v>0.36249999999999999</v>
      </c>
      <c r="M79" s="1">
        <v>0.171391365010026</v>
      </c>
      <c r="N79" s="1">
        <v>4</v>
      </c>
      <c r="O79" s="1" t="s">
        <v>11</v>
      </c>
      <c r="P79" s="1">
        <f t="shared" si="4"/>
        <v>1.45</v>
      </c>
      <c r="Q79">
        <f t="shared" si="5"/>
        <v>0.68556546004010399</v>
      </c>
      <c r="R79" s="1">
        <f t="shared" si="6"/>
        <v>0.11749999999999985</v>
      </c>
    </row>
    <row r="80" spans="1:18" x14ac:dyDescent="0.35">
      <c r="A80" s="1">
        <v>36</v>
      </c>
      <c r="B80" s="1" t="s">
        <v>4</v>
      </c>
      <c r="C80" s="1">
        <v>0.27</v>
      </c>
      <c r="D80" s="1">
        <v>0.29698484809835002</v>
      </c>
      <c r="E80" s="1">
        <v>2</v>
      </c>
      <c r="F80" s="1" t="s">
        <v>11</v>
      </c>
      <c r="J80" s="1">
        <v>20</v>
      </c>
      <c r="K80" s="1" t="s">
        <v>5</v>
      </c>
      <c r="L80" s="1">
        <v>0.233333333333333</v>
      </c>
      <c r="M80" s="1">
        <v>9.8657657246324901E-2</v>
      </c>
      <c r="N80" s="1">
        <v>3</v>
      </c>
      <c r="O80" s="1" t="s">
        <v>11</v>
      </c>
      <c r="P80" s="1">
        <f t="shared" si="4"/>
        <v>0.69999999999999907</v>
      </c>
      <c r="Q80">
        <f t="shared" si="5"/>
        <v>0.29597297173897469</v>
      </c>
      <c r="R80" s="1">
        <f t="shared" si="6"/>
        <v>2.9199999999999973E-2</v>
      </c>
    </row>
    <row r="81" spans="1:18" x14ac:dyDescent="0.35">
      <c r="A81" s="1">
        <v>36</v>
      </c>
      <c r="B81" s="1" t="s">
        <v>5</v>
      </c>
      <c r="C81" s="1">
        <v>-0.13435897433333299</v>
      </c>
      <c r="D81" s="1">
        <v>4.3956227243601403E-2</v>
      </c>
      <c r="E81" s="1">
        <v>3</v>
      </c>
      <c r="F81" s="1" t="s">
        <v>9</v>
      </c>
      <c r="J81" s="1">
        <v>23</v>
      </c>
      <c r="K81" s="1" t="s">
        <v>5</v>
      </c>
      <c r="L81" s="1">
        <v>0.20416666662499999</v>
      </c>
      <c r="M81" s="1">
        <v>0.140788595397666</v>
      </c>
      <c r="N81" s="1">
        <v>8</v>
      </c>
      <c r="O81" s="1" t="s">
        <v>11</v>
      </c>
      <c r="P81" s="1">
        <f t="shared" si="4"/>
        <v>1.6333333329999999</v>
      </c>
      <c r="Q81">
        <f t="shared" si="5"/>
        <v>1.126308763181328</v>
      </c>
      <c r="R81" s="1">
        <f t="shared" si="6"/>
        <v>0.15857142875238159</v>
      </c>
    </row>
    <row r="82" spans="1:18" x14ac:dyDescent="0.35">
      <c r="A82" s="1">
        <v>36</v>
      </c>
      <c r="B82" s="1" t="s">
        <v>5</v>
      </c>
      <c r="C82" s="1">
        <v>0.17384615383333299</v>
      </c>
      <c r="D82" s="1">
        <v>9.8384585336616606E-2</v>
      </c>
      <c r="E82" s="1">
        <v>6</v>
      </c>
      <c r="F82" s="1" t="s">
        <v>11</v>
      </c>
      <c r="J82" s="1">
        <v>31</v>
      </c>
      <c r="K82" s="1" t="s">
        <v>5</v>
      </c>
      <c r="L82" s="1">
        <v>0.18958333333333299</v>
      </c>
      <c r="M82" s="1">
        <v>0.231221845132908</v>
      </c>
      <c r="N82" s="1">
        <v>6</v>
      </c>
      <c r="O82" s="1" t="s">
        <v>11</v>
      </c>
      <c r="P82" s="1">
        <f t="shared" si="4"/>
        <v>1.137499999999998</v>
      </c>
      <c r="Q82">
        <f t="shared" si="5"/>
        <v>1.387331070797448</v>
      </c>
      <c r="R82" s="1">
        <f t="shared" si="6"/>
        <v>0.32078124999999896</v>
      </c>
    </row>
    <row r="83" spans="1:18" x14ac:dyDescent="0.35">
      <c r="A83" s="1">
        <v>36</v>
      </c>
      <c r="B83" s="1" t="s">
        <v>6</v>
      </c>
      <c r="C83" s="1">
        <v>1.08</v>
      </c>
      <c r="D83" s="1">
        <v>0.961665222413705</v>
      </c>
      <c r="E83" s="1">
        <v>2</v>
      </c>
      <c r="F83" s="1" t="s">
        <v>11</v>
      </c>
      <c r="J83" s="1">
        <v>36</v>
      </c>
      <c r="K83" s="1" t="s">
        <v>5</v>
      </c>
      <c r="L83" s="1">
        <v>0.17384615383333299</v>
      </c>
      <c r="M83" s="1">
        <v>9.8384585336616606E-2</v>
      </c>
      <c r="N83" s="1">
        <v>6</v>
      </c>
      <c r="O83" s="1" t="s">
        <v>11</v>
      </c>
      <c r="P83" s="1">
        <f t="shared" si="4"/>
        <v>1.0430769229999979</v>
      </c>
      <c r="Q83">
        <f t="shared" si="5"/>
        <v>0.59030751201969967</v>
      </c>
      <c r="R83" s="1">
        <f t="shared" si="6"/>
        <v>5.8077159791147977E-2</v>
      </c>
    </row>
  </sheetData>
  <sortState xmlns:xlrd2="http://schemas.microsoft.com/office/spreadsheetml/2017/richdata2" ref="J3:O83">
    <sortCondition ref="K3:K83"/>
    <sortCondition ref="O3:O83"/>
    <sortCondition ref="J3:J83"/>
  </sortState>
  <pageMargins left="0.7" right="0.7" top="0.75" bottom="0.75" header="0.3" footer="0.3"/>
  <pageSetup orientation="portrait" horizontalDpi="4294967295" verticalDpi="4294967295" r:id="rId1"/>
  <ignoredErrors>
    <ignoredError sqref="W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52B36-589A-417D-A03F-04A5DF84EAEA}">
  <sheetPr codeName="Sheet2"/>
  <dimension ref="B1:BS109"/>
  <sheetViews>
    <sheetView tabSelected="1" zoomScale="73" zoomScaleNormal="130" workbookViewId="0">
      <selection activeCell="T17" sqref="T17"/>
    </sheetView>
  </sheetViews>
  <sheetFormatPr defaultRowHeight="14.5" x14ac:dyDescent="0.35"/>
  <cols>
    <col min="1" max="4" width="8.7265625" style="10"/>
    <col min="5" max="5" width="10.1796875" style="10" customWidth="1"/>
    <col min="6" max="6" width="9.453125" style="10" customWidth="1"/>
    <col min="7" max="7" width="10.7265625" style="10" customWidth="1"/>
    <col min="8" max="8" width="10.1796875" style="10" customWidth="1"/>
    <col min="9" max="9" width="10.453125" style="10" customWidth="1"/>
    <col min="10" max="13" width="8.7265625" style="10"/>
    <col min="14" max="14" width="21.453125" style="10" bestFit="1" customWidth="1"/>
    <col min="15" max="20" width="8.7265625" style="10"/>
    <col min="21" max="21" width="15.453125" style="10" customWidth="1"/>
    <col min="22" max="23" width="8.7265625" style="10"/>
    <col min="24" max="24" width="10.08984375" style="10" customWidth="1"/>
    <col min="25" max="27" width="8.7265625" style="10"/>
    <col min="28" max="28" width="11.6328125" style="10" customWidth="1"/>
    <col min="29" max="29" width="15.81640625" style="10" customWidth="1"/>
    <col min="30" max="30" width="8.7265625" style="10"/>
    <col min="31" max="31" width="13" style="10" bestFit="1" customWidth="1"/>
    <col min="32" max="32" width="8.7265625" style="10"/>
    <col min="33" max="33" width="12.26953125" style="13" bestFit="1" customWidth="1"/>
    <col min="34" max="34" width="9.1796875" style="13"/>
    <col min="35" max="35" width="12.26953125" style="10" bestFit="1" customWidth="1"/>
    <col min="36" max="36" width="13" style="10" bestFit="1" customWidth="1"/>
    <col min="37" max="49" width="8.7265625" style="10"/>
    <col min="50" max="50" width="11.453125" style="10" customWidth="1"/>
    <col min="51" max="16384" width="8.7265625" style="10"/>
  </cols>
  <sheetData>
    <row r="1" spans="2:71" s="6" customFormat="1" ht="78" customHeight="1" x14ac:dyDescent="0.35">
      <c r="E1" s="7"/>
      <c r="P1" s="6" t="s">
        <v>37</v>
      </c>
      <c r="R1" s="6" t="s">
        <v>47</v>
      </c>
      <c r="S1" s="6" t="s">
        <v>46</v>
      </c>
      <c r="T1" s="6" t="s">
        <v>44</v>
      </c>
      <c r="U1" s="6" t="s">
        <v>48</v>
      </c>
      <c r="V1" s="6" t="s">
        <v>55</v>
      </c>
      <c r="X1" s="6" t="s">
        <v>20</v>
      </c>
      <c r="Y1" s="6" t="s">
        <v>54</v>
      </c>
      <c r="Z1" s="6" t="s">
        <v>21</v>
      </c>
      <c r="AA1" s="8" t="s">
        <v>50</v>
      </c>
      <c r="AB1" s="9" t="s">
        <v>49</v>
      </c>
      <c r="AC1" s="9" t="s">
        <v>30</v>
      </c>
      <c r="AD1" s="9" t="s">
        <v>43</v>
      </c>
    </row>
    <row r="2" spans="2:71" x14ac:dyDescent="0.35">
      <c r="C2" s="11"/>
      <c r="D2" s="11"/>
      <c r="E2" s="11"/>
      <c r="O2" s="5" t="s">
        <v>14</v>
      </c>
      <c r="P2" s="5">
        <f>[1]overall!$Z$18</f>
        <v>0.58599999999999997</v>
      </c>
      <c r="Q2" s="5"/>
      <c r="R2" s="5"/>
      <c r="T2" s="5"/>
      <c r="U2" s="5"/>
      <c r="AA2" s="12"/>
      <c r="AB2" s="13"/>
      <c r="AC2" s="13"/>
      <c r="AD2" s="13"/>
      <c r="AE2" s="6">
        <v>0</v>
      </c>
      <c r="AF2" s="6">
        <v>0.1</v>
      </c>
      <c r="AG2" s="6">
        <v>0.2</v>
      </c>
      <c r="AH2" s="6">
        <v>0.3</v>
      </c>
      <c r="AI2" s="6">
        <v>0.4</v>
      </c>
      <c r="AJ2" s="6">
        <v>0.5</v>
      </c>
      <c r="AK2" s="6">
        <v>0.6</v>
      </c>
      <c r="AL2" s="6">
        <v>0.7</v>
      </c>
      <c r="AM2" s="6">
        <v>0.8</v>
      </c>
      <c r="AN2" s="6">
        <v>0.9</v>
      </c>
      <c r="AO2" s="6">
        <v>1</v>
      </c>
      <c r="AP2" s="6">
        <v>1.1000000000000001</v>
      </c>
      <c r="AQ2" s="6">
        <v>1.2</v>
      </c>
      <c r="AR2" s="6">
        <v>1.3</v>
      </c>
      <c r="AS2" s="6">
        <v>1.4</v>
      </c>
      <c r="AT2" s="6">
        <v>1.5</v>
      </c>
      <c r="AU2" s="6">
        <v>1.6</v>
      </c>
      <c r="AV2" s="6">
        <v>1.7</v>
      </c>
      <c r="AW2" s="6">
        <v>1.8</v>
      </c>
      <c r="AX2" s="6">
        <v>1.9</v>
      </c>
      <c r="AY2" s="6">
        <v>2</v>
      </c>
      <c r="AZ2" s="6">
        <v>2.1</v>
      </c>
      <c r="BA2" s="6">
        <v>2.2000000000000002</v>
      </c>
      <c r="BB2" s="6">
        <v>2.2999999999999998</v>
      </c>
      <c r="BC2" s="6">
        <v>2.4</v>
      </c>
      <c r="BD2" s="6">
        <v>2.5</v>
      </c>
      <c r="BE2" s="6">
        <v>2.6</v>
      </c>
      <c r="BF2" s="6">
        <v>2.7</v>
      </c>
      <c r="BG2" s="6">
        <v>2.8</v>
      </c>
      <c r="BH2" s="6">
        <v>2.9</v>
      </c>
      <c r="BI2" s="6">
        <v>3</v>
      </c>
      <c r="BJ2" s="6">
        <v>3.1</v>
      </c>
      <c r="BK2" s="6">
        <v>3.2</v>
      </c>
      <c r="BL2" s="6">
        <v>3.3</v>
      </c>
      <c r="BM2" s="6">
        <v>3.4</v>
      </c>
      <c r="BN2" s="6">
        <v>3.5</v>
      </c>
      <c r="BO2" s="6">
        <v>3.6</v>
      </c>
      <c r="BP2" s="6">
        <v>3.7</v>
      </c>
      <c r="BQ2" s="6">
        <v>3.8</v>
      </c>
      <c r="BR2" s="6">
        <v>3.9</v>
      </c>
      <c r="BS2" s="6">
        <v>4</v>
      </c>
    </row>
    <row r="3" spans="2:71" x14ac:dyDescent="0.35">
      <c r="C3" s="11"/>
      <c r="D3" s="11"/>
      <c r="H3" s="10">
        <v>1</v>
      </c>
      <c r="I3" s="10">
        <v>2</v>
      </c>
      <c r="J3" s="10">
        <v>3</v>
      </c>
      <c r="K3" s="10">
        <v>4</v>
      </c>
      <c r="L3" s="10">
        <v>5</v>
      </c>
      <c r="O3" s="5" t="s">
        <v>15</v>
      </c>
      <c r="P3" s="5">
        <f>[1]overall!$Z$19</f>
        <v>0.622</v>
      </c>
      <c r="Q3" s="5"/>
      <c r="R3" s="5"/>
      <c r="T3" s="5"/>
      <c r="U3" s="5"/>
      <c r="X3" s="14"/>
      <c r="Y3" s="14"/>
      <c r="AA3" s="12"/>
      <c r="AB3" s="13"/>
      <c r="AC3" s="13"/>
      <c r="AD3" s="13"/>
      <c r="AG3" s="10"/>
      <c r="AH3" s="10"/>
      <c r="AO3" s="13"/>
    </row>
    <row r="4" spans="2:71" x14ac:dyDescent="0.35">
      <c r="B4" s="15"/>
      <c r="C4" s="11"/>
      <c r="D4" s="11"/>
      <c r="G4" s="16" t="s">
        <v>18</v>
      </c>
      <c r="H4" s="17" t="str">
        <f>O2</f>
        <v>&lt; 0.6</v>
      </c>
      <c r="I4" s="10" t="str">
        <f>O3</f>
        <v>0.6 - 1</v>
      </c>
      <c r="J4" s="10" t="str">
        <f>O4</f>
        <v>1.1 - 2</v>
      </c>
      <c r="K4" s="10" t="str">
        <f>O5</f>
        <v>2.1 - 5</v>
      </c>
      <c r="L4" s="10" t="s">
        <v>19</v>
      </c>
      <c r="N4" s="10">
        <f>EXP(X4)</f>
        <v>1</v>
      </c>
      <c r="O4" s="5" t="s">
        <v>16</v>
      </c>
      <c r="P4" s="5">
        <f>[1]overall!$Z$20</f>
        <v>0.67600000000000005</v>
      </c>
      <c r="Q4" s="5"/>
      <c r="R4" s="5">
        <v>1</v>
      </c>
      <c r="S4" s="10">
        <v>1</v>
      </c>
      <c r="T4" s="10">
        <v>3</v>
      </c>
      <c r="U4" s="10">
        <v>0.3</v>
      </c>
      <c r="V4" s="10">
        <v>0.5</v>
      </c>
      <c r="W4" s="10" t="s">
        <v>2</v>
      </c>
      <c r="X4" s="14"/>
      <c r="Y4" s="14"/>
      <c r="Z4" s="10">
        <f>GETPIVOTDATA("growth_rate",'[1]Growth rates'!$B$63,"Previous Size Class",1,"event2","shrink")</f>
        <v>5</v>
      </c>
      <c r="AA4" s="12"/>
      <c r="AB4" s="13"/>
      <c r="AC4" s="13">
        <f>Z4/(Z4+Z5+Z6)</f>
        <v>6.5789473684210523E-2</v>
      </c>
      <c r="AD4" s="13"/>
      <c r="AE4" s="13"/>
      <c r="AG4" s="10"/>
      <c r="AH4" s="10"/>
      <c r="AN4" s="13"/>
    </row>
    <row r="5" spans="2:71" x14ac:dyDescent="0.35">
      <c r="B5" s="15"/>
      <c r="C5" s="11"/>
      <c r="D5" s="11"/>
      <c r="G5" s="10" t="str">
        <f>O2</f>
        <v>&lt; 0.6</v>
      </c>
      <c r="H5" s="13">
        <f>AA4+AA5</f>
        <v>0.41651192847212537</v>
      </c>
      <c r="I5" s="13">
        <f>AA10</f>
        <v>7.2023953979505173E-2</v>
      </c>
      <c r="J5" s="13">
        <f>AA15</f>
        <v>2.4065881137676451E-2</v>
      </c>
      <c r="K5" s="13">
        <f>AA20</f>
        <v>3.1314114902609089E-2</v>
      </c>
      <c r="L5" s="10">
        <v>0</v>
      </c>
      <c r="N5" s="10">
        <f t="shared" ref="N5" si="0">EXP(X5)</f>
        <v>1</v>
      </c>
      <c r="O5" s="5" t="s">
        <v>17</v>
      </c>
      <c r="P5" s="5">
        <f>[1]overall!$Z$21</f>
        <v>0.79</v>
      </c>
      <c r="Q5" s="5"/>
      <c r="R5" s="5">
        <v>1</v>
      </c>
      <c r="S5" s="10">
        <v>1</v>
      </c>
      <c r="T5" s="10">
        <v>3</v>
      </c>
      <c r="U5" s="10">
        <v>0.3</v>
      </c>
      <c r="V5" s="10">
        <v>0.5</v>
      </c>
      <c r="W5" s="10" t="s">
        <v>2</v>
      </c>
      <c r="X5" s="14">
        <v>0</v>
      </c>
      <c r="Y5" s="14">
        <v>0</v>
      </c>
      <c r="Z5" s="10">
        <f>GETPIVOTDATA("growth_rate",'[1]Growth rates'!$B$63,"Previous Size Class",1,"event2","no-growth")</f>
        <v>16</v>
      </c>
      <c r="AA5" s="12">
        <f>AB5*P$2</f>
        <v>0.41651192847212537</v>
      </c>
      <c r="AB5" s="13">
        <f>AC4+AC5+AC6*(1-AD6-AD7-AD8-AD9)</f>
        <v>0.71077120899680102</v>
      </c>
      <c r="AC5" s="13">
        <f>Z5/(Z5+Z4+Z6)</f>
        <v>0.21052631578947367</v>
      </c>
      <c r="AD5" s="18">
        <v>1</v>
      </c>
      <c r="AG5" s="10"/>
      <c r="AI5" s="13"/>
      <c r="AL5" s="13"/>
    </row>
    <row r="6" spans="2:71" x14ac:dyDescent="0.35">
      <c r="B6" s="15"/>
      <c r="C6" s="11"/>
      <c r="D6" s="11"/>
      <c r="G6" s="10" t="str">
        <f>O3</f>
        <v>0.6 - 1</v>
      </c>
      <c r="H6" s="13">
        <f>AA6</f>
        <v>9.498464966526543E-2</v>
      </c>
      <c r="I6" s="13">
        <f>AA11</f>
        <v>0.37393463745505728</v>
      </c>
      <c r="J6" s="13">
        <f>AA16</f>
        <v>9.8897978296399805E-2</v>
      </c>
      <c r="K6" s="13">
        <f>AA21</f>
        <v>2.3574903716112598E-2</v>
      </c>
      <c r="L6" s="10">
        <v>0</v>
      </c>
      <c r="O6" s="19" t="s">
        <v>19</v>
      </c>
      <c r="P6" s="5">
        <v>1</v>
      </c>
      <c r="R6" s="5">
        <v>1</v>
      </c>
      <c r="S6" s="10">
        <v>2</v>
      </c>
      <c r="T6" s="10">
        <v>3</v>
      </c>
      <c r="U6" s="10">
        <v>0.3</v>
      </c>
      <c r="V6" s="10">
        <v>0.6</v>
      </c>
      <c r="W6" s="10" t="s">
        <v>2</v>
      </c>
      <c r="X6" s="14">
        <f>'[1]distribution-fitting'!$BA$71</f>
        <v>-2.4667835520430499</v>
      </c>
      <c r="Y6" s="14">
        <f>'[1]distribution-fitting'!$BA$72</f>
        <v>0.87787358008140515</v>
      </c>
      <c r="Z6" s="10">
        <f>GETPIVOTDATA("growth_rate",'[1]Growth rates'!$B$63,"Previous Size Class",1,"event2","growth")</f>
        <v>55</v>
      </c>
      <c r="AA6" s="12">
        <f>AB6*P$2</f>
        <v>9.498464966526543E-2</v>
      </c>
      <c r="AB6" s="13">
        <f>AC6*AD6</f>
        <v>0.16208984584516287</v>
      </c>
      <c r="AC6" s="13">
        <f>Z6/(Z6+Z4+Z5)</f>
        <v>0.72368421052631582</v>
      </c>
      <c r="AD6" s="13">
        <f>SUM(AE6:AG6)/T6-AD7-AD8-AD9</f>
        <v>0.22397869607695231</v>
      </c>
      <c r="AE6" s="10">
        <f>(1-_xlfn.NORM.DIST(LN($V6),LN($U6+AE$2+EXP($X6)),$Y6,TRUE))</f>
        <v>0.30648716218983374</v>
      </c>
      <c r="AF6" s="10">
        <f t="shared" ref="AF6:AG9" si="1">(1-_xlfn.NORM.DIST(LN($V6),LN($U6+AF$2+EXP($X6)),$Y6,TRUE))</f>
        <v>0.40411228797469323</v>
      </c>
      <c r="AG6" s="10">
        <f t="shared" si="1"/>
        <v>0.48838535617600665</v>
      </c>
      <c r="AH6" s="10"/>
      <c r="AO6" s="13"/>
    </row>
    <row r="7" spans="2:71" x14ac:dyDescent="0.35">
      <c r="B7" s="15"/>
      <c r="C7" s="11"/>
      <c r="D7" s="11"/>
      <c r="G7" s="10" t="str">
        <f>O4</f>
        <v>1.1 - 2</v>
      </c>
      <c r="H7" s="13">
        <f>AA7</f>
        <v>5.3754168457457174E-2</v>
      </c>
      <c r="I7" s="13">
        <f>AA12</f>
        <v>8.4068748712179342E-2</v>
      </c>
      <c r="J7" s="13">
        <f>AA17</f>
        <v>0.35579707408517303</v>
      </c>
      <c r="K7" s="13">
        <f>AA22</f>
        <v>5.908556520833759E-2</v>
      </c>
      <c r="L7" s="10">
        <v>0</v>
      </c>
      <c r="R7" s="5">
        <v>1</v>
      </c>
      <c r="S7" s="10">
        <v>3</v>
      </c>
      <c r="T7" s="10">
        <v>3</v>
      </c>
      <c r="U7" s="10">
        <v>0.3</v>
      </c>
      <c r="V7" s="10">
        <v>1.1000000000000001</v>
      </c>
      <c r="X7" s="14">
        <f>X6</f>
        <v>-2.4667835520430499</v>
      </c>
      <c r="Y7" s="14">
        <f>Y6</f>
        <v>0.87787358008140515</v>
      </c>
      <c r="Z7" s="10">
        <f>Z6</f>
        <v>55</v>
      </c>
      <c r="AA7" s="12">
        <f>AB7*P$2</f>
        <v>5.3754168457457174E-2</v>
      </c>
      <c r="AB7" s="13">
        <f>AC7*AD7</f>
        <v>9.1730662896684606E-2</v>
      </c>
      <c r="AC7" s="13">
        <f>AC6</f>
        <v>0.72368421052631582</v>
      </c>
      <c r="AD7" s="13">
        <f>SUM(AE7:AJ7)/T7-AD8-AD9</f>
        <v>0.12675509782087327</v>
      </c>
      <c r="AE7" s="10">
        <f>(1-_xlfn.NORM.DIST(LN($V7),LN($U7+AE$2+EXP($X7)),$Y7,TRUE))</f>
        <v>0.11579141559225059</v>
      </c>
      <c r="AF7" s="10">
        <f t="shared" si="1"/>
        <v>0.17536450543623716</v>
      </c>
      <c r="AG7" s="10">
        <f t="shared" si="1"/>
        <v>0.23589279708118904</v>
      </c>
      <c r="AH7" s="10"/>
    </row>
    <row r="8" spans="2:71" x14ac:dyDescent="0.35">
      <c r="B8" s="15"/>
      <c r="C8" s="11"/>
      <c r="D8" s="11"/>
      <c r="G8" s="10" t="str">
        <f>O5</f>
        <v>2.1 - 5</v>
      </c>
      <c r="H8" s="13">
        <f>AA8</f>
        <v>1.8921337569961685E-2</v>
      </c>
      <c r="I8" s="13">
        <f>AA13</f>
        <v>7.6133578645595432E-2</v>
      </c>
      <c r="J8" s="13">
        <f>AA18</f>
        <v>0.14629233232703678</v>
      </c>
      <c r="K8" s="13">
        <f>AA23</f>
        <v>0.46855285066761299</v>
      </c>
      <c r="L8" s="10">
        <v>0</v>
      </c>
      <c r="P8" s="10" t="s">
        <v>78</v>
      </c>
      <c r="R8" s="5">
        <v>1</v>
      </c>
      <c r="S8" s="10">
        <v>4</v>
      </c>
      <c r="T8" s="10">
        <v>3</v>
      </c>
      <c r="U8" s="10">
        <v>0.3</v>
      </c>
      <c r="V8" s="10">
        <v>2.1</v>
      </c>
      <c r="X8" s="14">
        <f>X6</f>
        <v>-2.4667835520430499</v>
      </c>
      <c r="Y8" s="14">
        <f>Y6</f>
        <v>0.87787358008140515</v>
      </c>
      <c r="Z8" s="10">
        <f t="shared" ref="Z8:Z9" si="2">Z7</f>
        <v>55</v>
      </c>
      <c r="AA8" s="12">
        <f>AB8*P$2</f>
        <v>1.8921337569961685E-2</v>
      </c>
      <c r="AB8" s="13">
        <f>AC8*AD8</f>
        <v>3.2288971962391957E-2</v>
      </c>
      <c r="AC8" s="13">
        <f>AC6</f>
        <v>0.72368421052631582</v>
      </c>
      <c r="AD8" s="13">
        <f>SUM(AE8:AJ8)/T8-AD9</f>
        <v>4.4617488529850702E-2</v>
      </c>
      <c r="AE8" s="10">
        <f>(1-_xlfn.NORM.DIST(LN($V8),LN($U8+AE$2+EXP($X8)),$Y8,TRUE))</f>
        <v>2.6625802229778506E-2</v>
      </c>
      <c r="AF8" s="10">
        <f t="shared" si="1"/>
        <v>4.7483463571003748E-2</v>
      </c>
      <c r="AG8" s="10">
        <f t="shared" si="1"/>
        <v>7.2674158846274706E-2</v>
      </c>
      <c r="AH8" s="10"/>
    </row>
    <row r="9" spans="2:71" x14ac:dyDescent="0.35">
      <c r="B9" s="15"/>
      <c r="C9" s="11"/>
      <c r="D9" s="11"/>
      <c r="G9" s="10" t="str">
        <f>O6</f>
        <v>&gt;5</v>
      </c>
      <c r="H9" s="13">
        <f>AA9</f>
        <v>1.8279158351902694E-3</v>
      </c>
      <c r="I9" s="13">
        <f>AA14</f>
        <v>1.5839081207662822E-2</v>
      </c>
      <c r="J9" s="13">
        <f>AA19</f>
        <v>5.094673415371398E-2</v>
      </c>
      <c r="K9" s="13">
        <f>AA24</f>
        <v>0.20747256550532781</v>
      </c>
      <c r="L9" s="10">
        <v>1</v>
      </c>
      <c r="R9" s="5">
        <v>1</v>
      </c>
      <c r="S9" s="10">
        <v>5</v>
      </c>
      <c r="T9" s="10">
        <v>3</v>
      </c>
      <c r="U9" s="10">
        <v>0.3</v>
      </c>
      <c r="V9" s="10">
        <v>5</v>
      </c>
      <c r="X9" s="14">
        <f>X6</f>
        <v>-2.4667835520430499</v>
      </c>
      <c r="Y9" s="14">
        <f>Y6</f>
        <v>0.87787358008140515</v>
      </c>
      <c r="Z9" s="10">
        <f t="shared" si="2"/>
        <v>55</v>
      </c>
      <c r="AA9" s="12">
        <f>AB9*P$2</f>
        <v>1.8279158351902694E-3</v>
      </c>
      <c r="AB9" s="13">
        <f>AC9*AD9</f>
        <v>3.1193102989595044E-3</v>
      </c>
      <c r="AC9" s="13">
        <f>AC6</f>
        <v>0.72368421052631582</v>
      </c>
      <c r="AD9" s="13">
        <f>SUM(AE9:AG9)/T9</f>
        <v>4.3103196858349513E-3</v>
      </c>
      <c r="AE9" s="10">
        <f>(1-_xlfn.NORM.DIST(LN($V9),LN($U9+AE$2+EXP($X9)),$Y9,TRUE))</f>
        <v>1.7442194406752654E-3</v>
      </c>
      <c r="AF9" s="10">
        <f t="shared" si="1"/>
        <v>3.9309526573259035E-3</v>
      </c>
      <c r="AG9" s="10">
        <f t="shared" si="1"/>
        <v>7.255786959503685E-3</v>
      </c>
      <c r="AH9" s="10"/>
    </row>
    <row r="10" spans="2:71" x14ac:dyDescent="0.35">
      <c r="B10" s="15"/>
      <c r="C10" s="11"/>
      <c r="D10" s="11"/>
      <c r="P10" s="11">
        <f>EXP(X9)</f>
        <v>8.4857359805886295E-2</v>
      </c>
      <c r="R10" s="5">
        <v>2</v>
      </c>
      <c r="S10" s="10">
        <v>1</v>
      </c>
      <c r="T10" s="10">
        <v>6</v>
      </c>
      <c r="U10" s="10">
        <v>0.6</v>
      </c>
      <c r="V10" s="10">
        <v>0.5</v>
      </c>
      <c r="W10" s="10" t="s">
        <v>3</v>
      </c>
      <c r="X10" s="14">
        <f>'[1]distribution-fitting'!$BF$96</f>
        <v>-1.090277668597029</v>
      </c>
      <c r="Y10" s="14">
        <f>'[1]distribution-fitting'!$BF$97</f>
        <v>0.51405520801273286</v>
      </c>
      <c r="Z10" s="10">
        <f>GETPIVOTDATA("growth_rate",'[1]Growth rates'!$B$63,"Previous Size Class",2,"event2","shrink")</f>
        <v>27</v>
      </c>
      <c r="AA10" s="12">
        <f>AB10*P$3</f>
        <v>7.2023953979505173E-2</v>
      </c>
      <c r="AB10" s="13">
        <f>AC10*AD10</f>
        <v>0.11579413823071572</v>
      </c>
      <c r="AC10" s="13">
        <f>Z10/(Z10+Z11+Z12)</f>
        <v>0.22131147540983606</v>
      </c>
      <c r="AD10" s="13">
        <f>SUM(AE10:AJ10)/T10</f>
        <v>0.52321795793138215</v>
      </c>
      <c r="AE10" s="10">
        <f>(1-_xlfn.NORM.DIST(LN($U10+AE$2-$V10),$X10,$Y10,TRUE))</f>
        <v>0.99082110571353688</v>
      </c>
      <c r="AF10" s="10">
        <f t="shared" ref="AF10:AJ10" si="3">(1-_xlfn.NORM.DIST(LN($U10+AF$2-$V10),$X10,$Y10,TRUE))</f>
        <v>0.84373580373137569</v>
      </c>
      <c r="AG10" s="10">
        <f t="shared" si="3"/>
        <v>0.58752113664935546</v>
      </c>
      <c r="AH10" s="10">
        <f t="shared" si="3"/>
        <v>0.36750842129760997</v>
      </c>
      <c r="AI10" s="10">
        <f t="shared" si="3"/>
        <v>0.21989602113879614</v>
      </c>
      <c r="AJ10" s="10">
        <f t="shared" si="3"/>
        <v>0.12982525905761932</v>
      </c>
    </row>
    <row r="11" spans="2:71" x14ac:dyDescent="0.35">
      <c r="B11" s="15"/>
      <c r="C11" s="11"/>
      <c r="D11" s="11"/>
      <c r="H11" s="11">
        <f>SUM(H5:H9)</f>
        <v>0.58599999999999997</v>
      </c>
      <c r="I11" s="11">
        <f>SUM(I5:I9)</f>
        <v>0.62200000000000011</v>
      </c>
      <c r="J11" s="11">
        <f>SUM(J5:J9)</f>
        <v>0.67600000000000005</v>
      </c>
      <c r="K11" s="11">
        <f>SUM(K5:K9)</f>
        <v>0.79</v>
      </c>
      <c r="L11" s="11">
        <f>SUM(L5:L9)</f>
        <v>1</v>
      </c>
      <c r="P11" s="11">
        <f>-EXP(X10)</f>
        <v>-0.33612314990454883</v>
      </c>
      <c r="R11" s="5">
        <v>2</v>
      </c>
      <c r="S11" s="10">
        <v>2</v>
      </c>
      <c r="T11" s="10">
        <v>6</v>
      </c>
      <c r="U11" s="10">
        <v>0.6</v>
      </c>
      <c r="V11" s="10">
        <v>1.1000000000000001</v>
      </c>
      <c r="W11" s="10" t="s">
        <v>3</v>
      </c>
      <c r="X11" s="14"/>
      <c r="Y11" s="14"/>
      <c r="Z11" s="10">
        <f>GETPIVOTDATA("growth_rate",'[1]Growth rates'!$B$63,"Previous Size Class",2,"event2","no-growth")</f>
        <v>35</v>
      </c>
      <c r="AA11" s="12">
        <f>AB11*P$3</f>
        <v>0.37393463745505728</v>
      </c>
      <c r="AB11" s="13">
        <f>AC11+AC10*(1-AD10)+AC12*(1-AD12-AD13-AD14)</f>
        <v>0.60118108915604063</v>
      </c>
      <c r="AC11" s="13">
        <f>Z11/(Z11+Z10+Z14)</f>
        <v>0.28688524590163933</v>
      </c>
      <c r="AD11" s="13">
        <v>1</v>
      </c>
      <c r="AE11" s="13"/>
      <c r="AF11" s="13"/>
    </row>
    <row r="12" spans="2:71" x14ac:dyDescent="0.35">
      <c r="B12" s="15"/>
      <c r="C12" s="11"/>
      <c r="D12" s="11"/>
      <c r="P12" s="11">
        <v>0</v>
      </c>
      <c r="R12" s="5">
        <v>2</v>
      </c>
      <c r="S12" s="10">
        <v>3</v>
      </c>
      <c r="T12" s="10">
        <v>6</v>
      </c>
      <c r="U12" s="10">
        <v>0.6</v>
      </c>
      <c r="V12" s="10">
        <v>1.2</v>
      </c>
      <c r="W12" s="10" t="s">
        <v>3</v>
      </c>
      <c r="X12" s="14">
        <f>'[1]distribution-fitting'!$AZ$96</f>
        <v>-0.59093121850972441</v>
      </c>
      <c r="Y12" s="14">
        <f>'[1]distribution-fitting'!$AZ$97</f>
        <v>0.77531180611813133</v>
      </c>
      <c r="Z12" s="10">
        <f>GETPIVOTDATA("growth_rate",'[1]Growth rates'!$B$63,"Previous Size Class",2,"event2","growth")</f>
        <v>60</v>
      </c>
      <c r="AA12" s="12">
        <f>AB12*P$3</f>
        <v>8.4068748712179342E-2</v>
      </c>
      <c r="AB12" s="13">
        <f>AC12*AD12</f>
        <v>0.1351587599874266</v>
      </c>
      <c r="AC12" s="13">
        <f>Z12/(Z12+Z10+Z11)</f>
        <v>0.49180327868852458</v>
      </c>
      <c r="AD12" s="13">
        <f>SUM(AE12:AJ12)/T12-AD13-AD14</f>
        <v>0.27482281197443409</v>
      </c>
      <c r="AE12" s="10">
        <f t="shared" ref="AE12:AJ14" si="4">(1-_xlfn.NORM.DIST(LN($V12),LN($U12+AE$2+EXP($X12)),$Y12,TRUE))</f>
        <v>0.47981179122756124</v>
      </c>
      <c r="AF12" s="10">
        <f t="shared" si="4"/>
        <v>0.52255974353022938</v>
      </c>
      <c r="AG12" s="10">
        <f t="shared" si="4"/>
        <v>0.56180740651393801</v>
      </c>
      <c r="AH12" s="10">
        <f t="shared" si="4"/>
        <v>0.59772806565374526</v>
      </c>
      <c r="AI12" s="10">
        <f t="shared" si="4"/>
        <v>0.6305352988285664</v>
      </c>
      <c r="AJ12" s="10">
        <f t="shared" si="4"/>
        <v>0.66045992012753252</v>
      </c>
    </row>
    <row r="13" spans="2:71" x14ac:dyDescent="0.35">
      <c r="B13" s="15"/>
      <c r="C13" s="11"/>
      <c r="D13" s="11"/>
      <c r="P13" s="11">
        <f>EXP(X12)</f>
        <v>0.55381132517934628</v>
      </c>
      <c r="R13" s="5">
        <v>2</v>
      </c>
      <c r="S13" s="10">
        <v>4</v>
      </c>
      <c r="T13" s="10">
        <v>6</v>
      </c>
      <c r="U13" s="10">
        <v>0.6</v>
      </c>
      <c r="V13" s="10">
        <v>2.1</v>
      </c>
      <c r="W13" s="10" t="s">
        <v>3</v>
      </c>
      <c r="X13" s="14">
        <f>X12</f>
        <v>-0.59093121850972441</v>
      </c>
      <c r="Y13" s="14">
        <f>Y12</f>
        <v>0.77531180611813133</v>
      </c>
      <c r="Z13" s="10">
        <f>Z12</f>
        <v>60</v>
      </c>
      <c r="AA13" s="12">
        <f>AB13*P$3</f>
        <v>7.6133578645595432E-2</v>
      </c>
      <c r="AB13" s="13">
        <f>AC13*AD13</f>
        <v>0.12240125184179329</v>
      </c>
      <c r="AC13" s="13">
        <f>AC12</f>
        <v>0.49180327868852458</v>
      </c>
      <c r="AD13" s="13">
        <f>SUM(AE13:AJ13)/T13-AD14</f>
        <v>0.24888254541164637</v>
      </c>
      <c r="AE13" s="10">
        <f t="shared" si="4"/>
        <v>0.21993272580949452</v>
      </c>
      <c r="AF13" s="10">
        <f t="shared" si="4"/>
        <v>0.25295635813498851</v>
      </c>
      <c r="AG13" s="10">
        <f t="shared" si="4"/>
        <v>0.28561489604162249</v>
      </c>
      <c r="AH13" s="10">
        <f t="shared" si="4"/>
        <v>0.31763455956716857</v>
      </c>
      <c r="AI13" s="10">
        <f t="shared" si="4"/>
        <v>0.34881449752691718</v>
      </c>
      <c r="AJ13" s="10">
        <f t="shared" si="4"/>
        <v>0.37901231695477766</v>
      </c>
    </row>
    <row r="14" spans="2:71" x14ac:dyDescent="0.35">
      <c r="B14" s="15"/>
      <c r="P14" s="11">
        <f>-EXP(X16)</f>
        <v>-0.46357990682403483</v>
      </c>
      <c r="R14" s="5">
        <v>2</v>
      </c>
      <c r="S14" s="10">
        <v>5</v>
      </c>
      <c r="T14" s="10">
        <v>6</v>
      </c>
      <c r="U14" s="10">
        <v>0.6</v>
      </c>
      <c r="V14" s="10">
        <v>5</v>
      </c>
      <c r="W14" s="10" t="s">
        <v>3</v>
      </c>
      <c r="X14" s="14">
        <f>X12</f>
        <v>-0.59093121850972441</v>
      </c>
      <c r="Y14" s="14">
        <f>Y12</f>
        <v>0.77531180611813133</v>
      </c>
      <c r="Z14" s="10">
        <f>Z12</f>
        <v>60</v>
      </c>
      <c r="AA14" s="12">
        <f>AB14*P$3</f>
        <v>1.5839081207662822E-2</v>
      </c>
      <c r="AB14" s="13">
        <f>AC14*AD14</f>
        <v>2.5464760784023828E-2</v>
      </c>
      <c r="AC14" s="13">
        <f>AC12</f>
        <v>0.49180327868852458</v>
      </c>
      <c r="AD14" s="13">
        <f>SUM(AE14:AJ14)/T14</f>
        <v>5.1778346927515116E-2</v>
      </c>
      <c r="AE14" s="10">
        <f t="shared" si="4"/>
        <v>2.9290430594222427E-2</v>
      </c>
      <c r="AF14" s="10">
        <f t="shared" si="4"/>
        <v>3.72020169388384E-2</v>
      </c>
      <c r="AG14" s="10">
        <f t="shared" si="4"/>
        <v>4.598014042762899E-2</v>
      </c>
      <c r="AH14" s="10">
        <f t="shared" si="4"/>
        <v>5.5554406531422629E-2</v>
      </c>
      <c r="AI14" s="10">
        <f t="shared" si="4"/>
        <v>6.5850434471682151E-2</v>
      </c>
      <c r="AJ14" s="10">
        <f t="shared" si="4"/>
        <v>7.6792652601296085E-2</v>
      </c>
    </row>
    <row r="15" spans="2:71" x14ac:dyDescent="0.35">
      <c r="B15" s="15"/>
      <c r="P15" s="11">
        <v>0</v>
      </c>
      <c r="R15" s="5">
        <v>3</v>
      </c>
      <c r="S15" s="10">
        <v>1</v>
      </c>
      <c r="T15" s="10">
        <v>9</v>
      </c>
      <c r="U15" s="10">
        <v>1.2</v>
      </c>
      <c r="V15" s="10">
        <v>0.5</v>
      </c>
      <c r="W15" s="10" t="s">
        <v>4</v>
      </c>
      <c r="X15" s="14">
        <f>'[1]distribution-fitting'!$BF$134</f>
        <v>-0.76877651007782855</v>
      </c>
      <c r="Y15" s="14">
        <f>'[1]distribution-fitting'!$BF$135</f>
        <v>0.60381567238075018</v>
      </c>
      <c r="Z15" s="10">
        <f>GETPIVOTDATA("growth_rate",'[1]Growth rates'!$B$63,"Previous Size Class",3,"event2","shrink")</f>
        <v>40</v>
      </c>
      <c r="AA15" s="12">
        <f>AB15*P$4</f>
        <v>2.4065881137676451E-2</v>
      </c>
      <c r="AB15" s="13">
        <f>AC15*AD15</f>
        <v>3.560041588413676E-2</v>
      </c>
      <c r="AC15" s="13">
        <f>Z15/(Z15+Z18+Z17)</f>
        <v>0.35398230088495575</v>
      </c>
      <c r="AD15" s="13">
        <f>SUM(AE15:AM15)/T15</f>
        <v>0.10057117487268634</v>
      </c>
      <c r="AE15" s="10">
        <f t="shared" ref="AE15:AM16" si="5">(1-_xlfn.NORM.DIST(LN($U15+AE$2-$V15),$X15,$Y15,TRUE))</f>
        <v>0.24746279814134953</v>
      </c>
      <c r="AF15" s="10">
        <f t="shared" si="5"/>
        <v>0.18309273825694539</v>
      </c>
      <c r="AG15" s="10">
        <f t="shared" si="5"/>
        <v>0.13594812896689956</v>
      </c>
      <c r="AH15" s="10">
        <f t="shared" si="5"/>
        <v>0.10147401149553104</v>
      </c>
      <c r="AI15" s="10">
        <f t="shared" si="5"/>
        <v>7.6208827552325942E-2</v>
      </c>
      <c r="AJ15" s="10">
        <f t="shared" si="5"/>
        <v>5.761133098457083E-2</v>
      </c>
      <c r="AK15" s="10">
        <f t="shared" si="5"/>
        <v>4.384528075138272E-2</v>
      </c>
      <c r="AL15" s="10">
        <f t="shared" si="5"/>
        <v>3.3592037582318768E-2</v>
      </c>
      <c r="AM15" s="10">
        <f t="shared" si="5"/>
        <v>2.590542012285324E-2</v>
      </c>
    </row>
    <row r="16" spans="2:71" x14ac:dyDescent="0.35">
      <c r="B16" s="15"/>
      <c r="P16" s="11">
        <f>EXP(X18)</f>
        <v>0.8667330816401887</v>
      </c>
      <c r="R16" s="5">
        <v>3</v>
      </c>
      <c r="S16" s="10">
        <v>2</v>
      </c>
      <c r="T16" s="10">
        <v>9</v>
      </c>
      <c r="U16" s="10">
        <v>1.2</v>
      </c>
      <c r="V16" s="10">
        <v>1.1000000000000001</v>
      </c>
      <c r="W16" s="10" t="s">
        <v>4</v>
      </c>
      <c r="X16" s="14">
        <f>X15</f>
        <v>-0.76877651007782855</v>
      </c>
      <c r="Y16" s="14">
        <f>Y15</f>
        <v>0.60381567238075018</v>
      </c>
      <c r="Z16" s="10">
        <f>Z15</f>
        <v>40</v>
      </c>
      <c r="AA16" s="12">
        <f>AB16*P$4</f>
        <v>9.8897978296399805E-2</v>
      </c>
      <c r="AB16" s="13">
        <f>AC16*AD16</f>
        <v>0.14629878446212988</v>
      </c>
      <c r="AC16" s="13">
        <f>AC15</f>
        <v>0.35398230088495575</v>
      </c>
      <c r="AD16" s="13">
        <f>SUM(AE16:AM16)/T16-AD15</f>
        <v>0.41329406610551694</v>
      </c>
      <c r="AE16" s="10">
        <f t="shared" si="5"/>
        <v>0.99446044065040407</v>
      </c>
      <c r="AF16" s="10">
        <f t="shared" si="5"/>
        <v>0.91807640416103975</v>
      </c>
      <c r="AG16" s="10">
        <f t="shared" si="5"/>
        <v>0.76446636564988513</v>
      </c>
      <c r="AH16" s="10">
        <f t="shared" si="5"/>
        <v>0.59650207482563611</v>
      </c>
      <c r="AI16" s="10">
        <f t="shared" si="5"/>
        <v>0.45016188868896689</v>
      </c>
      <c r="AJ16" s="10">
        <f t="shared" si="5"/>
        <v>0.33461632946270314</v>
      </c>
      <c r="AK16" s="10">
        <f t="shared" si="5"/>
        <v>0.24746279814134975</v>
      </c>
      <c r="AL16" s="10">
        <f t="shared" si="5"/>
        <v>0.1830927382569455</v>
      </c>
      <c r="AM16" s="10">
        <f t="shared" si="5"/>
        <v>0.13594812896689956</v>
      </c>
    </row>
    <row r="17" spans="2:71" x14ac:dyDescent="0.35">
      <c r="B17" s="15"/>
      <c r="C17" s="13">
        <f>T48</f>
        <v>5.0860786729116958</v>
      </c>
      <c r="D17" s="13" t="s">
        <v>31</v>
      </c>
      <c r="K17" s="10">
        <f>H6*I7*J8*K9</f>
        <v>2.4236519327882825E-4</v>
      </c>
      <c r="P17" s="11">
        <f>-EXP(X22)</f>
        <v>-1.3219079914920473</v>
      </c>
      <c r="R17" s="5">
        <v>3</v>
      </c>
      <c r="S17" s="10">
        <v>3</v>
      </c>
      <c r="T17" s="10">
        <v>9</v>
      </c>
      <c r="U17" s="10">
        <v>1.2</v>
      </c>
      <c r="V17" s="10">
        <v>2</v>
      </c>
      <c r="W17" s="10" t="s">
        <v>4</v>
      </c>
      <c r="X17" s="14"/>
      <c r="Y17" s="14"/>
      <c r="Z17" s="10">
        <f>GETPIVOTDATA("growth_rate",'[1]Growth rates'!$B$63,"Previous Size Class",3,"event2","no-growth")</f>
        <v>17</v>
      </c>
      <c r="AA17" s="12">
        <f>AB17*P$4</f>
        <v>0.35579707408517303</v>
      </c>
      <c r="AB17" s="13">
        <f>AC17+AC16*(1-AD16-AD15)+AC18*(1-AD18-AD19)</f>
        <v>0.52632703267037428</v>
      </c>
      <c r="AC17" s="13">
        <f>Z17/(Z17+Z18+Z16)</f>
        <v>0.15044247787610621</v>
      </c>
      <c r="AD17" s="13">
        <v>1</v>
      </c>
      <c r="AG17" s="10"/>
      <c r="AH17" s="10"/>
    </row>
    <row r="18" spans="2:71" x14ac:dyDescent="0.35">
      <c r="B18" s="15"/>
      <c r="C18" s="13">
        <f>AF61/AF60</f>
        <v>2.9510260465065525</v>
      </c>
      <c r="D18" s="20" t="s">
        <v>29</v>
      </c>
      <c r="K18" s="10">
        <f>B6*B9*B12*B12*B15*B15*B15</f>
        <v>0</v>
      </c>
      <c r="P18" s="11">
        <v>0</v>
      </c>
      <c r="R18" s="5">
        <v>3</v>
      </c>
      <c r="S18" s="10">
        <v>4</v>
      </c>
      <c r="T18" s="10">
        <v>9</v>
      </c>
      <c r="U18" s="10">
        <v>1.2</v>
      </c>
      <c r="V18" s="10">
        <v>2.1</v>
      </c>
      <c r="W18" s="10" t="s">
        <v>4</v>
      </c>
      <c r="X18" s="14">
        <f>'[1]distribution-fitting'!$AZ$134</f>
        <v>-0.14302421391504958</v>
      </c>
      <c r="Y18" s="14">
        <f>'[1]distribution-fitting'!$AZ$135</f>
        <v>0.68486196329920612</v>
      </c>
      <c r="Z18" s="10">
        <f>GETPIVOTDATA("growth_rate",'[1]Growth rates'!$B$63,"Previous Size Class",3,"event2","growth")</f>
        <v>56</v>
      </c>
      <c r="AA18" s="12">
        <f>AB18*P$4</f>
        <v>0.14629233232703678</v>
      </c>
      <c r="AB18" s="13">
        <f>AC18*AD18</f>
        <v>0.21640877563171121</v>
      </c>
      <c r="AC18" s="13">
        <f>Z18/(Z18+Z16+Z17)</f>
        <v>0.49557522123893805</v>
      </c>
      <c r="AD18" s="13">
        <f>SUM(AE18:AM18)/T18-AD19</f>
        <v>0.43668199368541727</v>
      </c>
      <c r="AE18" s="10">
        <f>(1-_xlfn.NORM.DIST(LN($V18),LN($U18+AE$2+EXP($X18)),$Y18,TRUE))</f>
        <v>0.4906991254508053</v>
      </c>
      <c r="AF18" s="10">
        <f t="shared" ref="AF18:AM19" si="6">(1-_xlfn.NORM.DIST(LN($V18),LN($U18+AF$2+EXP($X18)),$Y18,TRUE))</f>
        <v>0.51821659203319481</v>
      </c>
      <c r="AG18" s="10">
        <f t="shared" si="6"/>
        <v>0.54441332184137703</v>
      </c>
      <c r="AH18" s="10">
        <f t="shared" si="6"/>
        <v>0.56930091111068026</v>
      </c>
      <c r="AI18" s="10">
        <f t="shared" si="6"/>
        <v>0.59290398016263524</v>
      </c>
      <c r="AJ18" s="10">
        <f t="shared" si="6"/>
        <v>0.61525679014576895</v>
      </c>
      <c r="AK18" s="10">
        <f t="shared" si="6"/>
        <v>0.63640052765322208</v>
      </c>
      <c r="AL18" s="10">
        <f t="shared" si="6"/>
        <v>0.65638114099199973</v>
      </c>
      <c r="AM18" s="10">
        <f t="shared" si="6"/>
        <v>0.67524762886167755</v>
      </c>
    </row>
    <row r="19" spans="2:71" x14ac:dyDescent="0.35">
      <c r="C19" s="13"/>
      <c r="D19" s="20"/>
      <c r="P19" s="11">
        <f>EXP(X24)</f>
        <v>1.1377290299253915</v>
      </c>
      <c r="R19" s="5">
        <v>3</v>
      </c>
      <c r="S19" s="10">
        <v>5</v>
      </c>
      <c r="T19" s="10">
        <v>9</v>
      </c>
      <c r="U19" s="10">
        <v>1.2</v>
      </c>
      <c r="V19" s="10">
        <v>5</v>
      </c>
      <c r="W19" s="10" t="s">
        <v>4</v>
      </c>
      <c r="X19" s="14">
        <f>X18</f>
        <v>-0.14302421391504958</v>
      </c>
      <c r="Y19" s="14">
        <f>Y18</f>
        <v>0.68486196329920612</v>
      </c>
      <c r="Z19" s="10">
        <f>Z18</f>
        <v>56</v>
      </c>
      <c r="AA19" s="12">
        <f>AB19*P$4</f>
        <v>5.094673415371398E-2</v>
      </c>
      <c r="AB19" s="13">
        <f>AC19*AD19</f>
        <v>7.5364991351647898E-2</v>
      </c>
      <c r="AC19" s="13">
        <f>AC18</f>
        <v>0.49557522123893805</v>
      </c>
      <c r="AD19" s="13">
        <f>SUM(AE19:AM19)/T19</f>
        <v>0.15207578612028952</v>
      </c>
      <c r="AE19" s="10">
        <f>(1-_xlfn.NORM.DIST(LN($V19),LN($U19+AE$2+EXP($X19)),$Y19,TRUE))</f>
        <v>9.8526129904068505E-2</v>
      </c>
      <c r="AF19" s="10">
        <f t="shared" si="6"/>
        <v>0.1110427571293513</v>
      </c>
      <c r="AG19" s="10">
        <f t="shared" si="6"/>
        <v>0.1240204838816561</v>
      </c>
      <c r="AH19" s="10">
        <f t="shared" si="6"/>
        <v>0.13739791022308556</v>
      </c>
      <c r="AI19" s="10">
        <f t="shared" si="6"/>
        <v>0.15111619574840274</v>
      </c>
      <c r="AJ19" s="10">
        <f t="shared" si="6"/>
        <v>0.165119474135903</v>
      </c>
      <c r="AK19" s="10">
        <f t="shared" si="6"/>
        <v>0.17935512248862051</v>
      </c>
      <c r="AL19" s="10">
        <f t="shared" si="6"/>
        <v>0.19377391509857333</v>
      </c>
      <c r="AM19" s="10">
        <f t="shared" si="6"/>
        <v>0.20833008647294438</v>
      </c>
    </row>
    <row r="20" spans="2:71" x14ac:dyDescent="0.35">
      <c r="C20" s="13"/>
      <c r="D20" s="20"/>
      <c r="R20" s="5">
        <v>4</v>
      </c>
      <c r="S20" s="10">
        <v>1</v>
      </c>
      <c r="T20" s="10">
        <v>40</v>
      </c>
      <c r="U20" s="10">
        <v>2.1</v>
      </c>
      <c r="V20" s="10">
        <v>0.5</v>
      </c>
      <c r="W20" s="10" t="s">
        <v>5</v>
      </c>
      <c r="X20" s="21">
        <f>'[1]distribution-fitting'!$BF$176</f>
        <v>0.27907614104378831</v>
      </c>
      <c r="Y20" s="14">
        <f>'[1]distribution-fitting'!$BF$177</f>
        <v>0.64114747968642372</v>
      </c>
      <c r="Z20" s="10">
        <f>GETPIVOTDATA("growth_rate",'[1]Growth rates'!$B$63,"Previous Size Class",4,"event2","shrink")</f>
        <v>47</v>
      </c>
      <c r="AA20" s="12">
        <f>AB20*P$5</f>
        <v>3.1314114902609089E-2</v>
      </c>
      <c r="AB20" s="13">
        <f>AC20*AD20</f>
        <v>3.9638120129884921E-2</v>
      </c>
      <c r="AC20" s="13">
        <f>Z20/(Z20+Z24+Z23)</f>
        <v>0.37903225806451613</v>
      </c>
      <c r="AD20" s="13">
        <f>SUM(AE20:BS20)/T20</f>
        <v>0.10457716800224959</v>
      </c>
      <c r="AE20" s="10">
        <f t="shared" ref="AE20:AT20" si="7">(1-_xlfn.NORM.DIST(LN($U20+AE$2-$V20),$X20,$Y20,TRUE))</f>
        <v>0.38293161639026541</v>
      </c>
      <c r="AF20" s="10">
        <f t="shared" si="7"/>
        <v>0.34740102421998809</v>
      </c>
      <c r="AG20" s="10">
        <f t="shared" si="7"/>
        <v>0.31508169125164065</v>
      </c>
      <c r="AH20" s="10">
        <f t="shared" si="7"/>
        <v>0.2857561244681861</v>
      </c>
      <c r="AI20" s="10">
        <f t="shared" si="7"/>
        <v>0.25919535348869316</v>
      </c>
      <c r="AJ20" s="10">
        <f t="shared" si="7"/>
        <v>0.23516990685419803</v>
      </c>
      <c r="AK20" s="10">
        <f t="shared" si="7"/>
        <v>0.21345694840620832</v>
      </c>
      <c r="AL20" s="10">
        <f t="shared" si="7"/>
        <v>0.19384468962496526</v>
      </c>
      <c r="AM20" s="10">
        <f t="shared" si="7"/>
        <v>0.17613489699651541</v>
      </c>
      <c r="AN20" s="10">
        <f t="shared" si="7"/>
        <v>0.16014408877346531</v>
      </c>
      <c r="AO20" s="10">
        <f t="shared" si="7"/>
        <v>0.14570384829344762</v>
      </c>
      <c r="AP20" s="10">
        <f t="shared" si="7"/>
        <v>0.13266055809620503</v>
      </c>
      <c r="AQ20" s="10">
        <f t="shared" si="7"/>
        <v>0.1208747695102379</v>
      </c>
      <c r="AR20" s="10">
        <f t="shared" si="7"/>
        <v>0.11022035757357684</v>
      </c>
      <c r="AS20" s="10">
        <f t="shared" si="7"/>
        <v>0.10058356455132822</v>
      </c>
      <c r="AT20" s="10">
        <f t="shared" si="7"/>
        <v>9.1862001998402776E-2</v>
      </c>
      <c r="AU20" s="10">
        <f t="shared" ref="AF20:BS22" si="8">(1-_xlfn.NORM.DIST(LN($U20+AU$2-$V20),$X20,$Y20,TRUE))</f>
        <v>8.3963657648348455E-2</v>
      </c>
      <c r="AV20" s="10">
        <f t="shared" si="8"/>
        <v>7.680593671453384E-2</v>
      </c>
      <c r="AW20" s="10">
        <f t="shared" si="8"/>
        <v>7.0314755515737515E-2</v>
      </c>
      <c r="AX20" s="10">
        <f t="shared" si="8"/>
        <v>6.4423697264982205E-2</v>
      </c>
      <c r="AY20" s="10">
        <f t="shared" si="8"/>
        <v>5.9073234359397153E-2</v>
      </c>
      <c r="AZ20" s="10">
        <f t="shared" si="8"/>
        <v>5.4210017836345936E-2</v>
      </c>
      <c r="BA20" s="10">
        <f t="shared" si="8"/>
        <v>4.9786232280699338E-2</v>
      </c>
      <c r="BB20" s="10">
        <f t="shared" si="8"/>
        <v>4.5759012994192161E-2</v>
      </c>
      <c r="BC20" s="10">
        <f t="shared" si="8"/>
        <v>4.2089921393449137E-2</v>
      </c>
      <c r="BD20" s="10">
        <f t="shared" si="8"/>
        <v>3.8744474190545719E-2</v>
      </c>
      <c r="BE20" s="10">
        <f t="shared" si="8"/>
        <v>3.5691721787864172E-2</v>
      </c>
      <c r="BF20" s="10">
        <f t="shared" si="8"/>
        <v>3.2903871387579553E-2</v>
      </c>
      <c r="BG20" s="10">
        <f t="shared" si="8"/>
        <v>3.0355950504998619E-2</v>
      </c>
      <c r="BH20" s="10">
        <f t="shared" si="8"/>
        <v>2.8025506835089309E-2</v>
      </c>
      <c r="BI20" s="10">
        <f t="shared" si="8"/>
        <v>2.5892340719005036E-2</v>
      </c>
      <c r="BJ20" s="10">
        <f t="shared" si="8"/>
        <v>2.3938266769259142E-2</v>
      </c>
      <c r="BK20" s="10">
        <f t="shared" si="8"/>
        <v>2.2146901523183882E-2</v>
      </c>
      <c r="BL20" s="10">
        <f t="shared" si="8"/>
        <v>2.0503474294654156E-2</v>
      </c>
      <c r="BM20" s="10">
        <f t="shared" si="8"/>
        <v>1.8994658677817466E-2</v>
      </c>
      <c r="BN20" s="10">
        <f t="shared" si="8"/>
        <v>1.7608422420473335E-2</v>
      </c>
      <c r="BO20" s="10">
        <f t="shared" si="8"/>
        <v>1.6333893627313745E-2</v>
      </c>
      <c r="BP20" s="10">
        <f t="shared" si="8"/>
        <v>1.5161241474240139E-2</v>
      </c>
      <c r="BQ20" s="10">
        <f t="shared" si="8"/>
        <v>1.4081569814938022E-2</v>
      </c>
      <c r="BR20" s="10">
        <f t="shared" si="8"/>
        <v>1.3086822240868434E-2</v>
      </c>
      <c r="BS20" s="10">
        <f t="shared" si="8"/>
        <v>1.2169697317140127E-2</v>
      </c>
    </row>
    <row r="21" spans="2:71" x14ac:dyDescent="0.35">
      <c r="C21" s="13"/>
      <c r="D21" s="20"/>
      <c r="R21" s="5">
        <v>4</v>
      </c>
      <c r="S21" s="10">
        <v>2</v>
      </c>
      <c r="T21" s="10">
        <v>40</v>
      </c>
      <c r="U21" s="10">
        <v>2.1</v>
      </c>
      <c r="V21" s="10">
        <v>1.1000000000000001</v>
      </c>
      <c r="W21" s="10" t="s">
        <v>5</v>
      </c>
      <c r="X21" s="14">
        <f>X20</f>
        <v>0.27907614104378831</v>
      </c>
      <c r="Y21" s="14">
        <f>Y20</f>
        <v>0.64114747968642372</v>
      </c>
      <c r="Z21" s="10">
        <f>Z20</f>
        <v>47</v>
      </c>
      <c r="AA21" s="12">
        <f>AB21*P$5</f>
        <v>2.3574903716112598E-2</v>
      </c>
      <c r="AB21" s="13">
        <f>AC21*AD21</f>
        <v>2.9841650273560248E-2</v>
      </c>
      <c r="AC21" s="13">
        <f>AC20</f>
        <v>0.37903225806451613</v>
      </c>
      <c r="AD21" s="13">
        <f>SUM(AE21:BS21)/T21-AD20</f>
        <v>7.8731162423861079E-2</v>
      </c>
      <c r="AE21" s="10">
        <f>(1-_xlfn.NORM.DIST(LN($U21+AE$2-$V21),$X21,$Y21,TRUE))</f>
        <v>0.66831896573490779</v>
      </c>
      <c r="AF21" s="10">
        <f t="shared" si="8"/>
        <v>0.61279851216348991</v>
      </c>
      <c r="AG21" s="10">
        <f t="shared" si="8"/>
        <v>0.55997603995511347</v>
      </c>
      <c r="AH21" s="10">
        <f t="shared" si="8"/>
        <v>0.51039748184087497</v>
      </c>
      <c r="AI21" s="10">
        <f t="shared" si="8"/>
        <v>0.46433397461184911</v>
      </c>
      <c r="AJ21" s="10">
        <f t="shared" si="8"/>
        <v>0.42186316954318226</v>
      </c>
      <c r="AK21" s="10">
        <f t="shared" si="8"/>
        <v>0.38293161639026541</v>
      </c>
      <c r="AL21" s="10">
        <f t="shared" si="8"/>
        <v>0.3474010242199882</v>
      </c>
      <c r="AM21" s="10">
        <f t="shared" si="8"/>
        <v>0.31508169125164065</v>
      </c>
      <c r="AN21" s="10">
        <f t="shared" si="8"/>
        <v>0.2857561244681861</v>
      </c>
      <c r="AO21" s="10">
        <f t="shared" si="8"/>
        <v>0.25919535348869316</v>
      </c>
      <c r="AP21" s="10">
        <f t="shared" si="8"/>
        <v>0.23516990685419803</v>
      </c>
      <c r="AQ21" s="10">
        <f t="shared" si="8"/>
        <v>0.21345694840620832</v>
      </c>
      <c r="AR21" s="10">
        <f t="shared" si="8"/>
        <v>0.19384468962496515</v>
      </c>
      <c r="AS21" s="10">
        <f t="shared" si="8"/>
        <v>0.17613489699651552</v>
      </c>
      <c r="AT21" s="10">
        <f t="shared" si="8"/>
        <v>0.16014408877346531</v>
      </c>
      <c r="AU21" s="10">
        <f t="shared" si="8"/>
        <v>0.14570384829344762</v>
      </c>
      <c r="AV21" s="10">
        <f t="shared" si="8"/>
        <v>0.13266055809620503</v>
      </c>
      <c r="AW21" s="10">
        <f t="shared" si="8"/>
        <v>0.12087476951023779</v>
      </c>
      <c r="AX21" s="10">
        <f t="shared" si="8"/>
        <v>0.11022035757357684</v>
      </c>
      <c r="AY21" s="10">
        <f t="shared" si="8"/>
        <v>0.10058356455132833</v>
      </c>
      <c r="AZ21" s="10">
        <f t="shared" si="8"/>
        <v>9.1862001998402776E-2</v>
      </c>
      <c r="BA21" s="10">
        <f t="shared" si="8"/>
        <v>8.3963657648348455E-2</v>
      </c>
      <c r="BB21" s="10">
        <f t="shared" si="8"/>
        <v>7.680593671453384E-2</v>
      </c>
      <c r="BC21" s="10">
        <f t="shared" si="8"/>
        <v>7.0314755515737626E-2</v>
      </c>
      <c r="BD21" s="10">
        <f t="shared" si="8"/>
        <v>6.4423697264982205E-2</v>
      </c>
      <c r="BE21" s="10">
        <f t="shared" si="8"/>
        <v>5.9073234359397153E-2</v>
      </c>
      <c r="BF21" s="10">
        <f t="shared" si="8"/>
        <v>5.4210017836345936E-2</v>
      </c>
      <c r="BG21" s="10">
        <f t="shared" si="8"/>
        <v>4.9786232280699338E-2</v>
      </c>
      <c r="BH21" s="10">
        <f t="shared" si="8"/>
        <v>4.5759012994192161E-2</v>
      </c>
      <c r="BI21" s="10">
        <f t="shared" si="8"/>
        <v>4.2089921393449137E-2</v>
      </c>
      <c r="BJ21" s="10">
        <f t="shared" si="8"/>
        <v>3.8744474190545719E-2</v>
      </c>
      <c r="BK21" s="10">
        <f t="shared" si="8"/>
        <v>3.5691721787864172E-2</v>
      </c>
      <c r="BL21" s="10">
        <f t="shared" si="8"/>
        <v>3.2903871387579553E-2</v>
      </c>
      <c r="BM21" s="10">
        <f t="shared" si="8"/>
        <v>3.0355950504998619E-2</v>
      </c>
      <c r="BN21" s="10">
        <f t="shared" si="8"/>
        <v>2.8025506835089309E-2</v>
      </c>
      <c r="BO21" s="10">
        <f t="shared" si="8"/>
        <v>2.5892340719005036E-2</v>
      </c>
      <c r="BP21" s="10">
        <f t="shared" si="8"/>
        <v>2.3938266769259142E-2</v>
      </c>
      <c r="BQ21" s="10">
        <f t="shared" si="8"/>
        <v>2.2146901523183882E-2</v>
      </c>
      <c r="BR21" s="10">
        <f t="shared" si="8"/>
        <v>2.0503474294654156E-2</v>
      </c>
      <c r="BS21" s="10">
        <f t="shared" si="8"/>
        <v>1.8994658677817466E-2</v>
      </c>
    </row>
    <row r="22" spans="2:71" x14ac:dyDescent="0.35">
      <c r="C22" s="13"/>
      <c r="D22" s="20"/>
      <c r="H22" s="10" t="s">
        <v>51</v>
      </c>
      <c r="R22" s="5">
        <v>4</v>
      </c>
      <c r="S22" s="10">
        <v>3</v>
      </c>
      <c r="T22" s="10">
        <v>40</v>
      </c>
      <c r="U22" s="10">
        <v>2.1</v>
      </c>
      <c r="V22" s="10">
        <v>2</v>
      </c>
      <c r="W22" s="10" t="s">
        <v>5</v>
      </c>
      <c r="X22" s="14">
        <f>X20</f>
        <v>0.27907614104378831</v>
      </c>
      <c r="Y22" s="14">
        <f>Y20</f>
        <v>0.64114747968642372</v>
      </c>
      <c r="Z22" s="10">
        <f>Z20</f>
        <v>47</v>
      </c>
      <c r="AA22" s="12">
        <f>AB22*P$5</f>
        <v>5.908556520833759E-2</v>
      </c>
      <c r="AB22" s="13">
        <f>AC22*AD22</f>
        <v>7.4791854694098214E-2</v>
      </c>
      <c r="AC22" s="13">
        <f>AC20</f>
        <v>0.37903225806451613</v>
      </c>
      <c r="AD22" s="13">
        <f>SUM(AE22:BS22)/T22-AD21-AD20</f>
        <v>0.19732319110783358</v>
      </c>
      <c r="AE22" s="10">
        <f>(1-_xlfn.NORM.DIST(LN($U22+AE$2-$V22),$X22,$Y22,TRUE))</f>
        <v>0.99997170856072681</v>
      </c>
      <c r="AF22" s="10">
        <f t="shared" si="8"/>
        <v>0.99838794928680485</v>
      </c>
      <c r="AG22" s="10">
        <f t="shared" si="8"/>
        <v>0.98964188823738874</v>
      </c>
      <c r="AH22" s="10">
        <f t="shared" si="8"/>
        <v>0.96886848330979769</v>
      </c>
      <c r="AI22" s="10">
        <f t="shared" si="8"/>
        <v>0.93528837431831946</v>
      </c>
      <c r="AJ22" s="10">
        <f t="shared" si="8"/>
        <v>0.89102780877496501</v>
      </c>
      <c r="AK22" s="10">
        <f t="shared" si="8"/>
        <v>0.83929956192966593</v>
      </c>
      <c r="AL22" s="10">
        <f t="shared" si="8"/>
        <v>0.7832785801506279</v>
      </c>
      <c r="AM22" s="10">
        <f t="shared" si="8"/>
        <v>0.7256159822445043</v>
      </c>
      <c r="AN22" s="10">
        <f t="shared" si="8"/>
        <v>0.66831896573490779</v>
      </c>
      <c r="AO22" s="10">
        <f t="shared" si="8"/>
        <v>0.61279851216348991</v>
      </c>
      <c r="AP22" s="10">
        <f t="shared" si="8"/>
        <v>0.55997603995511347</v>
      </c>
      <c r="AQ22" s="10">
        <f t="shared" si="8"/>
        <v>0.51039748184087497</v>
      </c>
      <c r="AR22" s="10">
        <f t="shared" si="8"/>
        <v>0.464333974611849</v>
      </c>
      <c r="AS22" s="10">
        <f t="shared" si="8"/>
        <v>0.42186316954318226</v>
      </c>
      <c r="AT22" s="10">
        <f t="shared" si="8"/>
        <v>0.38293161639026541</v>
      </c>
      <c r="AU22" s="10">
        <f t="shared" si="8"/>
        <v>0.34740102421998809</v>
      </c>
      <c r="AV22" s="10">
        <f t="shared" si="8"/>
        <v>0.31508169125164076</v>
      </c>
      <c r="AW22" s="10">
        <f t="shared" si="8"/>
        <v>0.28575612446818599</v>
      </c>
      <c r="AX22" s="10">
        <f t="shared" si="8"/>
        <v>0.25919535348869316</v>
      </c>
      <c r="AY22" s="10">
        <f t="shared" si="8"/>
        <v>0.23516990685419803</v>
      </c>
      <c r="AZ22" s="10">
        <f t="shared" si="8"/>
        <v>0.21345694840620832</v>
      </c>
      <c r="BA22" s="10">
        <f t="shared" si="8"/>
        <v>0.19384468962496504</v>
      </c>
      <c r="BB22" s="10">
        <f t="shared" si="8"/>
        <v>0.17613489699651541</v>
      </c>
      <c r="BC22" s="10">
        <f t="shared" si="8"/>
        <v>0.16014408877346531</v>
      </c>
      <c r="BD22" s="10">
        <f t="shared" si="8"/>
        <v>0.14570384829344762</v>
      </c>
      <c r="BE22" s="10">
        <f t="shared" si="8"/>
        <v>0.13266055809620503</v>
      </c>
      <c r="BF22" s="10">
        <f t="shared" si="8"/>
        <v>0.12087476951023768</v>
      </c>
      <c r="BG22" s="10">
        <f t="shared" si="8"/>
        <v>0.11022035757357684</v>
      </c>
      <c r="BH22" s="10">
        <f t="shared" si="8"/>
        <v>0.10058356455132822</v>
      </c>
      <c r="BI22" s="10">
        <f t="shared" si="8"/>
        <v>9.1862001998402887E-2</v>
      </c>
      <c r="BJ22" s="10">
        <f t="shared" si="8"/>
        <v>8.3963657648348455E-2</v>
      </c>
      <c r="BK22" s="10">
        <f t="shared" si="8"/>
        <v>7.6805936714533729E-2</v>
      </c>
      <c r="BL22" s="10">
        <f t="shared" si="8"/>
        <v>7.0314755515737515E-2</v>
      </c>
      <c r="BM22" s="10">
        <f t="shared" si="8"/>
        <v>6.4423697264982205E-2</v>
      </c>
      <c r="BN22" s="10">
        <f t="shared" si="8"/>
        <v>5.9073234359397153E-2</v>
      </c>
      <c r="BO22" s="10">
        <f t="shared" si="8"/>
        <v>5.4210017836345936E-2</v>
      </c>
      <c r="BP22" s="10">
        <f t="shared" si="8"/>
        <v>4.9786232280699338E-2</v>
      </c>
      <c r="BQ22" s="10">
        <f t="shared" si="8"/>
        <v>4.5759012994192161E-2</v>
      </c>
      <c r="BR22" s="10">
        <f t="shared" si="8"/>
        <v>4.2089921393449137E-2</v>
      </c>
      <c r="BS22" s="10">
        <f t="shared" si="8"/>
        <v>3.8744474190545719E-2</v>
      </c>
    </row>
    <row r="23" spans="2:71" x14ac:dyDescent="0.35">
      <c r="C23" s="13"/>
      <c r="D23" s="20"/>
      <c r="H23" s="11">
        <v>0.19801980198019803</v>
      </c>
      <c r="I23" s="11">
        <v>5.434782608695652E-2</v>
      </c>
      <c r="J23" s="11">
        <v>1.1494252873563218E-2</v>
      </c>
      <c r="K23" s="10">
        <v>1.9230769230769232E-2</v>
      </c>
      <c r="L23" s="13">
        <v>0</v>
      </c>
      <c r="R23" s="5">
        <v>4</v>
      </c>
      <c r="S23" s="10">
        <v>4</v>
      </c>
      <c r="T23" s="10">
        <v>40</v>
      </c>
      <c r="U23" s="10">
        <v>2.1</v>
      </c>
      <c r="V23" s="10">
        <v>5</v>
      </c>
      <c r="W23" s="10" t="s">
        <v>5</v>
      </c>
      <c r="X23" s="14"/>
      <c r="Y23" s="14"/>
      <c r="Z23" s="10">
        <f>GETPIVOTDATA("growth_rate",'[1]Growth rates'!$B$63,"Previous Size Class",4,"event2","no-growth")</f>
        <v>15</v>
      </c>
      <c r="AA23" s="12">
        <f>AB23*P$5</f>
        <v>0.46855285066761299</v>
      </c>
      <c r="AB23" s="13">
        <f>AC23+AC22*(1-AD22-AD21-AD20)+AC24*(1-AD24)</f>
        <v>0.59310487426280123</v>
      </c>
      <c r="AC23" s="13">
        <f>Z23/(Z23+Z24+Z22)</f>
        <v>0.12096774193548387</v>
      </c>
      <c r="AD23" s="13">
        <v>1</v>
      </c>
      <c r="AG23" s="10"/>
      <c r="AH23" s="10"/>
    </row>
    <row r="24" spans="2:71" x14ac:dyDescent="0.35">
      <c r="C24" s="13"/>
      <c r="D24" s="20"/>
      <c r="H24" s="11">
        <v>0.20792079207920791</v>
      </c>
      <c r="I24" s="11">
        <v>0.2391304347826087</v>
      </c>
      <c r="J24" s="11">
        <v>0.12643678160919541</v>
      </c>
      <c r="K24" s="10">
        <v>7.6923076923076927E-2</v>
      </c>
      <c r="L24" s="13">
        <v>0</v>
      </c>
      <c r="R24" s="5">
        <v>4</v>
      </c>
      <c r="S24" s="10">
        <v>5</v>
      </c>
      <c r="T24" s="10">
        <v>40</v>
      </c>
      <c r="U24" s="10">
        <v>2.1</v>
      </c>
      <c r="V24" s="10">
        <v>5</v>
      </c>
      <c r="W24" s="10" t="s">
        <v>5</v>
      </c>
      <c r="X24" s="14">
        <f>'[1]distribution-fitting'!$AZ$176</f>
        <v>0.12903419656514165</v>
      </c>
      <c r="Y24" s="14">
        <f>'[1]distribution-fitting'!$AZ$177</f>
        <v>0.63502610351963429</v>
      </c>
      <c r="Z24" s="10">
        <f>GETPIVOTDATA("growth_rate",'[1]Growth rates'!$B$63,"Previous Size Class",4,"event2","growth")</f>
        <v>62</v>
      </c>
      <c r="AA24" s="12">
        <f>AB24*P$5</f>
        <v>0.20747256550532781</v>
      </c>
      <c r="AB24" s="13">
        <f>AC24*AD24</f>
        <v>0.26262350063965545</v>
      </c>
      <c r="AC24" s="13">
        <f>Z24/(Z24+Z20+Z23)</f>
        <v>0.5</v>
      </c>
      <c r="AD24" s="13">
        <f>SUM(AE24:BS24)/T24</f>
        <v>0.5252470012793109</v>
      </c>
      <c r="AE24" s="10">
        <f>(1-_xlfn.NORM.DIST(LN($V24),LN($U24+AE$2+EXP($X24)),$Y24,TRUE))</f>
        <v>0.24688423292213701</v>
      </c>
      <c r="AF24" s="10">
        <f t="shared" ref="AF24:BS24" si="9">(1-_xlfn.NORM.DIST(LN($V24),LN($U24+AF$2+EXP($X24)),$Y24,TRUE))</f>
        <v>0.26224932511229126</v>
      </c>
      <c r="AG24" s="10">
        <f t="shared" si="9"/>
        <v>0.27761568851117691</v>
      </c>
      <c r="AH24" s="10">
        <f t="shared" si="9"/>
        <v>0.29295058319971423</v>
      </c>
      <c r="AI24" s="10">
        <f t="shared" si="9"/>
        <v>0.30822421858980908</v>
      </c>
      <c r="AJ24" s="10">
        <f t="shared" si="9"/>
        <v>0.32340961988713002</v>
      </c>
      <c r="AK24" s="10">
        <f t="shared" si="9"/>
        <v>0.33848248377926338</v>
      </c>
      <c r="AL24" s="10">
        <f t="shared" si="9"/>
        <v>0.3534210277434745</v>
      </c>
      <c r="AM24" s="10">
        <f t="shared" si="9"/>
        <v>0.36820583647836302</v>
      </c>
      <c r="AN24" s="10">
        <f t="shared" si="9"/>
        <v>0.38281970822020872</v>
      </c>
      <c r="AO24" s="10">
        <f t="shared" si="9"/>
        <v>0.39724750308743051</v>
      </c>
      <c r="AP24" s="10">
        <f t="shared" si="9"/>
        <v>0.41147599508697041</v>
      </c>
      <c r="AQ24" s="10">
        <f t="shared" si="9"/>
        <v>0.42549372899831273</v>
      </c>
      <c r="AR24" s="10">
        <f t="shared" si="9"/>
        <v>0.43929088300995445</v>
      </c>
      <c r="AS24" s="10">
        <f t="shared" si="9"/>
        <v>0.45285913770711739</v>
      </c>
      <c r="AT24" s="10">
        <f t="shared" si="9"/>
        <v>0.4661915517876698</v>
      </c>
      <c r="AU24" s="10">
        <f t="shared" si="9"/>
        <v>0.47928244470650816</v>
      </c>
      <c r="AV24" s="10">
        <f t="shared" si="9"/>
        <v>0.49212728630932001</v>
      </c>
      <c r="AW24" s="10">
        <f t="shared" si="9"/>
        <v>0.5047225934081494</v>
      </c>
      <c r="AX24" s="10">
        <f t="shared" si="9"/>
        <v>0.51706583316801324</v>
      </c>
      <c r="AY24" s="10">
        <f t="shared" si="9"/>
        <v>0.5291553331113612</v>
      </c>
      <c r="AZ24" s="10">
        <f t="shared" si="9"/>
        <v>0.54099019750154198</v>
      </c>
      <c r="BA24" s="10">
        <f t="shared" si="9"/>
        <v>0.55257022983444215</v>
      </c>
      <c r="BB24" s="10">
        <f t="shared" si="9"/>
        <v>0.56389586114640311</v>
      </c>
      <c r="BC24" s="10">
        <f t="shared" si="9"/>
        <v>0.57496808383419151</v>
      </c>
      <c r="BD24" s="10">
        <f t="shared" si="9"/>
        <v>0.58578839067736943</v>
      </c>
      <c r="BE24" s="10">
        <f t="shared" si="9"/>
        <v>0.59635871875336632</v>
      </c>
      <c r="BF24" s="10">
        <f t="shared" si="9"/>
        <v>0.60668139793968012</v>
      </c>
      <c r="BG24" s="10">
        <f t="shared" si="9"/>
        <v>0.61675910370490705</v>
      </c>
      <c r="BH24" s="10">
        <f t="shared" si="9"/>
        <v>0.62659481389990146</v>
      </c>
      <c r="BI24" s="10">
        <f t="shared" si="9"/>
        <v>0.636191769271644</v>
      </c>
      <c r="BJ24" s="10">
        <f t="shared" si="9"/>
        <v>0.64555343743480842</v>
      </c>
      <c r="BK24" s="10">
        <f t="shared" si="9"/>
        <v>0.6546834800491379</v>
      </c>
      <c r="BL24" s="10">
        <f t="shared" si="9"/>
        <v>0.66358572296423857</v>
      </c>
      <c r="BM24" s="10">
        <f t="shared" si="9"/>
        <v>0.67226412910699707</v>
      </c>
      <c r="BN24" s="10">
        <f t="shared" si="9"/>
        <v>0.68072277390033531</v>
      </c>
      <c r="BO24" s="10">
        <f t="shared" si="9"/>
        <v>0.68896582301526466</v>
      </c>
      <c r="BP24" s="10">
        <f t="shared" si="9"/>
        <v>0.69699751227107243</v>
      </c>
      <c r="BQ24" s="10">
        <f t="shared" si="9"/>
        <v>0.70482212951089551</v>
      </c>
      <c r="BR24" s="10">
        <f t="shared" si="9"/>
        <v>0.71244399829182659</v>
      </c>
      <c r="BS24" s="10">
        <f t="shared" si="9"/>
        <v>0.71986746324004081</v>
      </c>
    </row>
    <row r="25" spans="2:71" x14ac:dyDescent="0.35">
      <c r="C25" s="13"/>
      <c r="D25" s="20"/>
      <c r="H25" s="11">
        <v>4.9504950495049507E-2</v>
      </c>
      <c r="I25" s="11">
        <v>0.10869565217391304</v>
      </c>
      <c r="J25" s="11">
        <v>0.16091954022988506</v>
      </c>
      <c r="K25" s="10">
        <v>3.8461538461538464E-2</v>
      </c>
      <c r="L25" s="13">
        <v>0</v>
      </c>
      <c r="AA25" s="13"/>
      <c r="AB25" s="13"/>
      <c r="AC25" s="13"/>
      <c r="AG25" s="10"/>
      <c r="AH25" s="10"/>
    </row>
    <row r="26" spans="2:71" x14ac:dyDescent="0.35">
      <c r="C26" s="13"/>
      <c r="D26" s="20"/>
      <c r="H26" s="11">
        <v>3.9603960396039604E-2</v>
      </c>
      <c r="I26" s="11">
        <v>9.7826086956521743E-2</v>
      </c>
      <c r="J26" s="11">
        <v>0.22988505747126436</v>
      </c>
      <c r="K26" s="10">
        <v>0.44230769230769229</v>
      </c>
      <c r="L26" s="13">
        <v>0</v>
      </c>
      <c r="AA26" s="13"/>
      <c r="AB26" s="13"/>
      <c r="AC26" s="13"/>
      <c r="AG26" s="10"/>
      <c r="AH26" s="10"/>
    </row>
    <row r="27" spans="2:71" x14ac:dyDescent="0.35">
      <c r="C27" s="13"/>
      <c r="D27" s="20"/>
      <c r="H27" s="11">
        <v>0</v>
      </c>
      <c r="I27" s="11">
        <v>0</v>
      </c>
      <c r="J27" s="11">
        <v>0</v>
      </c>
      <c r="K27" s="10">
        <v>7.6923076923076927E-2</v>
      </c>
      <c r="L27" s="13">
        <v>1</v>
      </c>
      <c r="AA27" s="13"/>
      <c r="AB27" s="13"/>
      <c r="AC27" s="13"/>
      <c r="AG27" s="10"/>
      <c r="AH27" s="10"/>
    </row>
    <row r="28" spans="2:71" x14ac:dyDescent="0.35">
      <c r="C28" s="13"/>
      <c r="D28" s="20"/>
      <c r="AA28" s="13"/>
      <c r="AB28" s="13"/>
      <c r="AG28" s="10"/>
      <c r="AH28" s="10"/>
    </row>
    <row r="29" spans="2:71" x14ac:dyDescent="0.35">
      <c r="C29" s="13"/>
      <c r="D29" s="20"/>
      <c r="G29" s="10" t="s">
        <v>53</v>
      </c>
      <c r="H29" s="12">
        <f>SUM(H23:H27)</f>
        <v>0.49504950495049505</v>
      </c>
      <c r="I29" s="12">
        <f>SUM(I23:I27)</f>
        <v>0.5</v>
      </c>
      <c r="J29" s="12">
        <f>SUM(J23:J27)</f>
        <v>0.52873563218390807</v>
      </c>
      <c r="K29" s="12">
        <f>SUM(K23:K27)</f>
        <v>0.65384615384615374</v>
      </c>
      <c r="L29" s="12">
        <f>SUM(L23:L27)</f>
        <v>1</v>
      </c>
      <c r="AA29" s="13"/>
      <c r="AB29" s="13"/>
      <c r="AG29" s="10"/>
      <c r="AH29" s="10"/>
    </row>
    <row r="30" spans="2:71" x14ac:dyDescent="0.35">
      <c r="C30" s="13"/>
      <c r="D30" s="20"/>
      <c r="AA30" s="13"/>
      <c r="AB30" s="13"/>
      <c r="AG30" s="10"/>
      <c r="AH30" s="10"/>
    </row>
    <row r="31" spans="2:71" x14ac:dyDescent="0.35">
      <c r="C31" s="13"/>
      <c r="D31" s="20"/>
      <c r="H31" s="13"/>
      <c r="I31" s="13"/>
      <c r="J31" s="13"/>
      <c r="K31" s="13"/>
      <c r="U31" s="10" t="str">
        <f t="shared" ref="U31:Y36" si="10">G4</f>
        <v/>
      </c>
      <c r="V31" s="10" t="str">
        <f t="shared" si="10"/>
        <v>&lt; 0.6</v>
      </c>
      <c r="W31" s="10" t="str">
        <f t="shared" si="10"/>
        <v>0.6 - 1</v>
      </c>
      <c r="X31" s="10" t="str">
        <f t="shared" si="10"/>
        <v>1.1 - 2</v>
      </c>
      <c r="Y31" s="10" t="str">
        <f t="shared" si="10"/>
        <v>2.1 - 5</v>
      </c>
      <c r="AA31" s="13"/>
      <c r="AB31" s="13"/>
      <c r="AG31" s="10"/>
      <c r="AH31" s="10"/>
    </row>
    <row r="32" spans="2:71" x14ac:dyDescent="0.35">
      <c r="C32" s="13"/>
      <c r="D32" s="20"/>
      <c r="H32" s="13"/>
      <c r="I32" s="13"/>
      <c r="J32" s="13"/>
      <c r="K32" s="13"/>
      <c r="L32" s="13"/>
      <c r="U32" s="10" t="str">
        <f t="shared" si="10"/>
        <v>&lt; 0.6</v>
      </c>
      <c r="V32" s="10">
        <f t="shared" si="10"/>
        <v>0.41651192847212537</v>
      </c>
      <c r="W32" s="10">
        <f t="shared" si="10"/>
        <v>7.2023953979505173E-2</v>
      </c>
      <c r="X32" s="10">
        <f t="shared" si="10"/>
        <v>2.4065881137676451E-2</v>
      </c>
      <c r="Y32" s="10">
        <f t="shared" si="10"/>
        <v>3.1314114902609089E-2</v>
      </c>
      <c r="AA32" s="13"/>
      <c r="AB32" s="13"/>
      <c r="AG32" s="10"/>
      <c r="AH32" s="10"/>
    </row>
    <row r="33" spans="3:35" x14ac:dyDescent="0.35">
      <c r="C33" s="13"/>
      <c r="D33" s="20"/>
      <c r="H33" s="13"/>
      <c r="I33" s="13"/>
      <c r="J33" s="13"/>
      <c r="K33" s="13"/>
      <c r="L33" s="13"/>
      <c r="U33" s="10" t="str">
        <f t="shared" si="10"/>
        <v>0.6 - 1</v>
      </c>
      <c r="V33" s="10">
        <f t="shared" si="10"/>
        <v>9.498464966526543E-2</v>
      </c>
      <c r="W33" s="10">
        <f t="shared" si="10"/>
        <v>0.37393463745505728</v>
      </c>
      <c r="X33" s="10">
        <f t="shared" si="10"/>
        <v>9.8897978296399805E-2</v>
      </c>
      <c r="Y33" s="10">
        <f t="shared" si="10"/>
        <v>2.3574903716112598E-2</v>
      </c>
      <c r="AA33" s="13"/>
      <c r="AB33" s="13"/>
      <c r="AG33" s="10"/>
      <c r="AH33" s="10"/>
    </row>
    <row r="34" spans="3:35" x14ac:dyDescent="0.35">
      <c r="C34" s="13"/>
      <c r="D34" s="20"/>
      <c r="H34" s="13"/>
      <c r="I34" s="13"/>
      <c r="J34" s="13"/>
      <c r="K34" s="13"/>
      <c r="L34" s="13"/>
      <c r="U34" s="10" t="str">
        <f t="shared" si="10"/>
        <v>1.1 - 2</v>
      </c>
      <c r="V34" s="10">
        <f t="shared" si="10"/>
        <v>5.3754168457457174E-2</v>
      </c>
      <c r="W34" s="10">
        <f t="shared" si="10"/>
        <v>8.4068748712179342E-2</v>
      </c>
      <c r="X34" s="10">
        <f t="shared" si="10"/>
        <v>0.35579707408517303</v>
      </c>
      <c r="Y34" s="10">
        <f t="shared" si="10"/>
        <v>5.908556520833759E-2</v>
      </c>
      <c r="AA34" s="13"/>
      <c r="AB34" s="13"/>
      <c r="AG34" s="10"/>
      <c r="AH34" s="10"/>
    </row>
    <row r="35" spans="3:35" x14ac:dyDescent="0.35">
      <c r="C35" s="13"/>
      <c r="D35" s="20"/>
      <c r="H35" s="13"/>
      <c r="I35" s="13"/>
      <c r="J35" s="13"/>
      <c r="K35" s="13"/>
      <c r="L35" s="13"/>
      <c r="U35" s="10" t="str">
        <f t="shared" si="10"/>
        <v>2.1 - 5</v>
      </c>
      <c r="V35" s="10">
        <f t="shared" si="10"/>
        <v>1.8921337569961685E-2</v>
      </c>
      <c r="W35" s="10">
        <f t="shared" si="10"/>
        <v>7.6133578645595432E-2</v>
      </c>
      <c r="X35" s="10">
        <f t="shared" si="10"/>
        <v>0.14629233232703678</v>
      </c>
      <c r="Y35" s="10">
        <f t="shared" si="10"/>
        <v>0.46855285066761299</v>
      </c>
      <c r="AA35" s="13"/>
      <c r="AB35" s="13"/>
      <c r="AI35" s="13"/>
    </row>
    <row r="36" spans="3:35" x14ac:dyDescent="0.35">
      <c r="C36" s="13"/>
      <c r="D36" s="20"/>
      <c r="H36" s="13"/>
      <c r="I36" s="13"/>
      <c r="J36" s="13"/>
      <c r="K36" s="13"/>
      <c r="L36" s="13"/>
      <c r="U36" s="10" t="str">
        <f t="shared" si="10"/>
        <v>&gt;5</v>
      </c>
      <c r="V36" s="10">
        <f t="shared" si="10"/>
        <v>1.8279158351902694E-3</v>
      </c>
      <c r="W36" s="10">
        <f t="shared" si="10"/>
        <v>1.5839081207662822E-2</v>
      </c>
      <c r="X36" s="10">
        <f t="shared" si="10"/>
        <v>5.094673415371398E-2</v>
      </c>
      <c r="Y36" s="10">
        <f t="shared" si="10"/>
        <v>0.20747256550532781</v>
      </c>
      <c r="AA36" s="13"/>
      <c r="AB36" s="13"/>
      <c r="AG36" s="10"/>
      <c r="AH36" s="10"/>
    </row>
    <row r="37" spans="3:35" x14ac:dyDescent="0.35">
      <c r="C37" s="13"/>
      <c r="D37" s="20"/>
      <c r="H37" s="13"/>
      <c r="I37" s="13"/>
      <c r="J37" s="13"/>
      <c r="K37" s="13"/>
      <c r="L37" s="13"/>
      <c r="M37" s="13"/>
      <c r="AA37" s="13"/>
      <c r="AB37" s="13"/>
      <c r="AG37" s="10"/>
      <c r="AH37" s="10"/>
    </row>
    <row r="38" spans="3:35" x14ac:dyDescent="0.35">
      <c r="U38" s="10" t="s">
        <v>52</v>
      </c>
      <c r="V38" s="10">
        <f>H11</f>
        <v>0.58599999999999997</v>
      </c>
      <c r="W38" s="10">
        <f>I11</f>
        <v>0.62200000000000011</v>
      </c>
      <c r="X38" s="10">
        <f>J11</f>
        <v>0.67600000000000005</v>
      </c>
      <c r="Y38" s="10">
        <f>K11</f>
        <v>0.79</v>
      </c>
      <c r="AA38" s="13"/>
      <c r="AB38" s="13"/>
      <c r="AG38" s="10"/>
      <c r="AH38" s="10"/>
    </row>
    <row r="39" spans="3:35" x14ac:dyDescent="0.35">
      <c r="AA39" s="13"/>
      <c r="AB39" s="13"/>
      <c r="AG39" s="10"/>
      <c r="AH39" s="10"/>
    </row>
    <row r="40" spans="3:35" x14ac:dyDescent="0.35">
      <c r="N40" s="13"/>
      <c r="O40" s="13"/>
      <c r="P40" s="13"/>
      <c r="Q40" s="13"/>
    </row>
    <row r="41" spans="3:35" x14ac:dyDescent="0.35">
      <c r="N41" s="13"/>
      <c r="O41" s="13"/>
      <c r="P41" s="13"/>
      <c r="Q41" s="13">
        <f>(T47*T$43+R47*$R$43+P47*$P$43+N47*$N$43+L47*$L$43)/(T47+R47+P47+N47+L47)</f>
        <v>1.972184163037811</v>
      </c>
      <c r="R41" s="10">
        <f>(T47+R47+P47+N47+L47)</f>
        <v>7.8022976477529067</v>
      </c>
    </row>
    <row r="42" spans="3:35" ht="35.25" customHeight="1" x14ac:dyDescent="0.35">
      <c r="I42" s="13"/>
      <c r="J42" s="13" t="s">
        <v>32</v>
      </c>
      <c r="L42" s="10">
        <v>1</v>
      </c>
      <c r="N42" s="10">
        <v>2</v>
      </c>
      <c r="P42" s="10">
        <v>3</v>
      </c>
      <c r="R42" s="10">
        <v>4</v>
      </c>
      <c r="T42" s="10">
        <v>5</v>
      </c>
      <c r="V42" s="10">
        <v>6</v>
      </c>
      <c r="X42" s="10">
        <v>7</v>
      </c>
      <c r="Z42" s="10">
        <v>8</v>
      </c>
      <c r="AB42" s="10">
        <v>9</v>
      </c>
      <c r="AD42" s="10">
        <v>10</v>
      </c>
    </row>
    <row r="43" spans="3:35" ht="35.25" customHeight="1" x14ac:dyDescent="0.5">
      <c r="H43" s="22" t="s">
        <v>77</v>
      </c>
      <c r="J43" s="23">
        <v>0</v>
      </c>
      <c r="K43" s="23">
        <v>0.5</v>
      </c>
      <c r="L43" s="23">
        <v>1</v>
      </c>
      <c r="M43" s="23">
        <v>1.5</v>
      </c>
      <c r="N43" s="23">
        <v>2</v>
      </c>
      <c r="O43" s="23">
        <v>2.5</v>
      </c>
      <c r="P43" s="23">
        <v>3</v>
      </c>
      <c r="Q43" s="23">
        <v>3.5</v>
      </c>
      <c r="R43" s="23">
        <v>4</v>
      </c>
      <c r="S43" s="23">
        <v>4.5</v>
      </c>
      <c r="T43" s="23">
        <v>5</v>
      </c>
      <c r="U43" s="23">
        <v>5.5</v>
      </c>
      <c r="V43" s="23">
        <v>6</v>
      </c>
      <c r="W43" s="23">
        <v>6.5</v>
      </c>
      <c r="X43" s="23">
        <v>7</v>
      </c>
      <c r="Y43" s="23">
        <v>7.5</v>
      </c>
      <c r="Z43" s="23">
        <v>8</v>
      </c>
      <c r="AA43" s="23">
        <v>8.5</v>
      </c>
      <c r="AB43" s="23">
        <v>9</v>
      </c>
      <c r="AC43" s="23">
        <v>9.5</v>
      </c>
      <c r="AD43" s="23">
        <v>10</v>
      </c>
    </row>
    <row r="44" spans="3:35" ht="35.25" customHeight="1" x14ac:dyDescent="0.35">
      <c r="I44" s="22" t="s">
        <v>80</v>
      </c>
      <c r="J44" s="10">
        <v>100</v>
      </c>
      <c r="K44" s="10">
        <f t="array" ref="K44:K48">MMULT($H$5:$L$9,J44:J48)</f>
        <v>41.651192847212535</v>
      </c>
      <c r="L44" s="10">
        <f t="array" ref="L44:L48">MMULT($H$5:$L$9,K44:K48)</f>
        <v>18.220950296334802</v>
      </c>
      <c r="M44" s="10">
        <f t="array" ref="M44:M48">MMULT($H$5:$L$9,L44:L48)</f>
        <v>8.393030114736586</v>
      </c>
      <c r="N44" s="10">
        <f t="array" ref="N44:N48">MMULT($H$5:$L$9,M44:M48)</f>
        <v>4.0674131122669612</v>
      </c>
      <c r="O44" s="10">
        <f t="array" ref="O44:O48">MMULT($H$5:$L$9,N44:N48)</f>
        <v>2.0651363783420811</v>
      </c>
      <c r="P44" s="10">
        <f t="array" ref="P44:P48">MMULT($H$5:$L$9,O44:O48)</f>
        <v>1.0912661545533962</v>
      </c>
      <c r="Q44" s="10">
        <f t="array" ref="Q44:Q48">MMULT($H$5:$L$9,P44:P48)</f>
        <v>0.59558857882341321</v>
      </c>
      <c r="R44" s="10">
        <f t="array" ref="R44:R48">MMULT($H$5:$L$9,Q44:Q48)</f>
        <v>0.33326515154477715</v>
      </c>
      <c r="S44" s="10">
        <f t="array" ref="S44:S48">MMULT($H$5:$L$9,R44:R48)</f>
        <v>0.18997573563539766</v>
      </c>
      <c r="T44" s="10">
        <f t="array" ref="T44:T48">MMULT($H$5:$L$9,S44:S48)</f>
        <v>0.10976542082858153</v>
      </c>
      <c r="U44" s="10">
        <f t="array" ref="U44:U48">MMULT($H$5:$L$9,T44:T48)</f>
        <v>6.4035367043484698E-2</v>
      </c>
      <c r="V44" s="10">
        <f t="array" ref="V44:V48">MMULT($H$5:$L$9,U44:U48)</f>
        <v>3.7612764818644909E-2</v>
      </c>
      <c r="W44" s="10">
        <f t="array" ref="W44:W48">MMULT($H$5:$L$9,V44:V48)</f>
        <v>2.2198921986417056E-2</v>
      </c>
      <c r="X44" s="10">
        <f t="array" ref="X44:X48">MMULT($H$5:$L$9,W44:W48)</f>
        <v>1.3145790671574157E-2</v>
      </c>
      <c r="Y44" s="10">
        <f t="array" ref="Y44:Y48">MMULT($H$5:$L$9,X44:X48)</f>
        <v>7.8030031616281538E-3</v>
      </c>
      <c r="Z44" s="10">
        <f t="array" ref="Z44:Z48">MMULT($H$5:$L$9,Y44:Y48)</f>
        <v>4.6392789453787832E-3</v>
      </c>
      <c r="AA44" s="10">
        <f t="array" ref="AA44:AA48">MMULT($H$5:$L$9,Z44:Z48)</f>
        <v>2.7614586554122501E-3</v>
      </c>
      <c r="AB44" s="10">
        <f t="array" ref="AB44:AB48">MMULT($H$5:$L$9,AA44:AA48)</f>
        <v>1.645039277844893E-3</v>
      </c>
      <c r="AC44" s="10">
        <f t="array" ref="AC44:AC48">MMULT($H$5:$L$9,AB44:AB48)</f>
        <v>9.8052587011884101E-4</v>
      </c>
      <c r="AD44" s="10">
        <f t="array" ref="AD44:AD48">MMULT($H$5:$L$9,AC44:AC48)</f>
        <v>5.8467393903081791E-4</v>
      </c>
    </row>
    <row r="45" spans="3:35" ht="35.25" customHeight="1" x14ac:dyDescent="0.35">
      <c r="I45" s="22" t="s">
        <v>33</v>
      </c>
      <c r="J45" s="10">
        <v>0</v>
      </c>
      <c r="K45" s="10">
        <v>9.4984649665265426</v>
      </c>
      <c r="L45" s="10">
        <v>8.0842537440544113</v>
      </c>
      <c r="M45" s="10">
        <v>5.3293624212859374</v>
      </c>
      <c r="N45" s="10">
        <v>3.2261098215847013</v>
      </c>
      <c r="O45" s="10">
        <v>1.8898105656598772</v>
      </c>
      <c r="P45" s="10">
        <v>1.0948682560148497</v>
      </c>
      <c r="Q45" s="10">
        <v>0.63358574231993425</v>
      </c>
      <c r="R45" s="10">
        <v>0.36780398829530697</v>
      </c>
      <c r="S45" s="10">
        <v>0.21450722279731435</v>
      </c>
      <c r="T45" s="10">
        <v>0.12569707737558741</v>
      </c>
      <c r="U45" s="10">
        <v>7.3967352293906677E-2</v>
      </c>
      <c r="V45" s="10">
        <v>4.3678718988832396E-2</v>
      </c>
      <c r="W45" s="10">
        <v>2.5864079019355706E-2</v>
      </c>
      <c r="X45" s="10">
        <v>1.534765671938219E-2</v>
      </c>
      <c r="Y45" s="10">
        <v>9.1217058543407985E-3</v>
      </c>
      <c r="Z45" s="10">
        <v>5.4277426499625926E-3</v>
      </c>
      <c r="AA45" s="10">
        <v>3.232470616381045E-3</v>
      </c>
      <c r="AB45" s="10">
        <v>1.9262810686320447E-3</v>
      </c>
      <c r="AC45" s="10">
        <v>1.1484153943347472E-3</v>
      </c>
      <c r="AD45" s="10">
        <v>6.8488495164948445E-4</v>
      </c>
    </row>
    <row r="46" spans="3:35" ht="35.25" customHeight="1" x14ac:dyDescent="0.35">
      <c r="I46" s="22" t="s">
        <v>36</v>
      </c>
      <c r="J46" s="10">
        <v>0</v>
      </c>
      <c r="K46" s="10">
        <v>5.3754168457457174</v>
      </c>
      <c r="L46" s="10">
        <v>5.0618046793718268</v>
      </c>
      <c r="M46" s="10">
        <v>3.6482004042971594</v>
      </c>
      <c r="N46" s="10">
        <v>2.3858555809702775</v>
      </c>
      <c r="O46" s="10">
        <v>1.4920162375530794</v>
      </c>
      <c r="P46" s="10">
        <v>0.91224103914809029</v>
      </c>
      <c r="Q46" s="10">
        <v>0.55122826591540097</v>
      </c>
      <c r="R46" s="10">
        <v>0.33102307416701721</v>
      </c>
      <c r="S46" s="10">
        <v>0.19814135534167557</v>
      </c>
      <c r="T46" s="10">
        <v>0.11840490318962696</v>
      </c>
      <c r="U46" s="10">
        <v>7.0698104528792841E-2</v>
      </c>
      <c r="V46" s="10">
        <v>4.219693751429663E-2</v>
      </c>
      <c r="W46" s="10">
        <v>2.5181800795409055E-2</v>
      </c>
      <c r="X46" s="10">
        <v>1.5027022088932796E-2</v>
      </c>
      <c r="Y46" s="10">
        <v>8.9672830797965578E-3</v>
      </c>
      <c r="Z46" s="10">
        <v>5.3512963351735124E-3</v>
      </c>
      <c r="AA46" s="10">
        <v>3.1935175937401338E-3</v>
      </c>
      <c r="AB46" s="10">
        <v>1.905860266583034E-3</v>
      </c>
      <c r="AC46" s="10">
        <v>1.1374241862910843E-3</v>
      </c>
      <c r="AD46" s="10">
        <v>6.7883085734385287E-4</v>
      </c>
    </row>
    <row r="47" spans="3:35" x14ac:dyDescent="0.35">
      <c r="I47" s="22" t="s">
        <v>17</v>
      </c>
      <c r="J47" s="10">
        <v>0</v>
      </c>
      <c r="K47" s="10">
        <v>1.8921337569961685</v>
      </c>
      <c r="L47" s="10">
        <v>3.1841953428743235</v>
      </c>
      <c r="M47" s="10">
        <v>3.1927149369318748</v>
      </c>
      <c r="N47" s="10">
        <v>2.594210220077207</v>
      </c>
      <c r="O47" s="10">
        <v>1.8871331537384886</v>
      </c>
      <c r="P47" s="10">
        <v>1.2854453379035438</v>
      </c>
      <c r="Q47" s="10">
        <v>0.83975740047836345</v>
      </c>
      <c r="R47" s="10">
        <v>0.53361767502308777</v>
      </c>
      <c r="S47" s="10">
        <v>0.33276227667437785</v>
      </c>
      <c r="T47" s="10">
        <v>0.20482907187474531</v>
      </c>
      <c r="U47" s="10">
        <v>0.1249416518799831</v>
      </c>
      <c r="V47" s="10">
        <v>7.572739178742513E-2</v>
      </c>
      <c r="W47" s="10">
        <v>4.5692474708994214E-2</v>
      </c>
      <c r="X47" s="10">
        <v>2.7482401840222524E-2</v>
      </c>
      <c r="Y47" s="10">
        <v>1.6492503807540589E-2</v>
      </c>
      <c r="Z47" s="10">
        <v>9.8815657969739054E-3</v>
      </c>
      <c r="AA47" s="10">
        <v>5.9139042799930715E-3</v>
      </c>
      <c r="AB47" s="10">
        <v>3.536513893378192E-3</v>
      </c>
      <c r="AC47" s="10">
        <v>2.1136374243799993E-3</v>
      </c>
      <c r="AD47" s="10">
        <v>1.2627331122557007E-3</v>
      </c>
    </row>
    <row r="48" spans="3:35" x14ac:dyDescent="0.35">
      <c r="I48" s="24">
        <v>5</v>
      </c>
      <c r="J48" s="10">
        <v>0</v>
      </c>
      <c r="K48" s="10">
        <v>0.18279158351902694</v>
      </c>
      <c r="L48" s="10">
        <v>1.0757991942807972</v>
      </c>
      <c r="M48" s="10">
        <v>2.1556683036093469</v>
      </c>
      <c r="N48" s="10">
        <v>3.1036869154667537</v>
      </c>
      <c r="O48" s="10">
        <v>3.8219994195842526</v>
      </c>
      <c r="P48" s="10">
        <v>4.3232488895525636</v>
      </c>
      <c r="Q48" s="10">
        <v>4.6557556832328872</v>
      </c>
      <c r="R48" s="10">
        <v>4.8691896872529359</v>
      </c>
      <c r="S48" s="10">
        <v>5.0032001177342336</v>
      </c>
      <c r="T48" s="10">
        <v>5.0860786729116958</v>
      </c>
      <c r="U48" s="10">
        <v>5.1367989972359291</v>
      </c>
      <c r="V48" s="10">
        <v>5.1676114259876726</v>
      </c>
      <c r="W48" s="10">
        <v>5.1862331621440063</v>
      </c>
      <c r="X48" s="10">
        <v>5.1974462686157761</v>
      </c>
      <c r="Y48" s="10">
        <v>5.2041808129113623</v>
      </c>
      <c r="Z48" s="10">
        <v>5.2082181514478867</v>
      </c>
      <c r="AA48" s="10">
        <v>5.2106353869948157</v>
      </c>
      <c r="AB48" s="10">
        <v>5.2120813062584013</v>
      </c>
      <c r="AC48" s="10">
        <v>5.2129456507407621</v>
      </c>
      <c r="AD48" s="10">
        <v>5.2134621027308414</v>
      </c>
    </row>
    <row r="49" spans="7:36" x14ac:dyDescent="0.35">
      <c r="I49" s="22" t="s">
        <v>23</v>
      </c>
      <c r="J49" s="10">
        <f>SUM(J44:J47)</f>
        <v>100</v>
      </c>
      <c r="K49" s="10">
        <f>SUM(K44:K47)</f>
        <v>58.41720841648096</v>
      </c>
      <c r="L49" s="10">
        <f t="shared" ref="L49:AD49" si="11">SUM(L44:L47)</f>
        <v>34.551204062635364</v>
      </c>
      <c r="M49" s="10">
        <f t="shared" si="11"/>
        <v>20.563307877251557</v>
      </c>
      <c r="N49" s="10">
        <f t="shared" si="11"/>
        <v>12.273588734899146</v>
      </c>
      <c r="O49" s="10">
        <f t="shared" si="11"/>
        <v>7.3340963352935269</v>
      </c>
      <c r="P49" s="10">
        <f t="shared" si="11"/>
        <v>4.3838207876198805</v>
      </c>
      <c r="Q49" s="10">
        <f t="shared" si="11"/>
        <v>2.6201599875371118</v>
      </c>
      <c r="R49" s="10">
        <f t="shared" si="11"/>
        <v>1.565709889030189</v>
      </c>
      <c r="S49" s="10">
        <f t="shared" si="11"/>
        <v>0.93538659044876538</v>
      </c>
      <c r="T49" s="10">
        <f t="shared" si="11"/>
        <v>0.55869647326854122</v>
      </c>
      <c r="U49" s="10">
        <f t="shared" si="11"/>
        <v>0.33364247574616734</v>
      </c>
      <c r="V49" s="10">
        <f t="shared" si="11"/>
        <v>0.19921581310919906</v>
      </c>
      <c r="W49" s="10">
        <f t="shared" si="11"/>
        <v>0.11893727651017602</v>
      </c>
      <c r="X49" s="10">
        <f t="shared" si="11"/>
        <v>7.1002871320111668E-2</v>
      </c>
      <c r="Y49" s="10">
        <f t="shared" si="11"/>
        <v>4.2384495903306098E-2</v>
      </c>
      <c r="Z49" s="10">
        <f t="shared" si="11"/>
        <v>2.5299883727488794E-2</v>
      </c>
      <c r="AA49" s="10">
        <f t="shared" si="11"/>
        <v>1.51013511455265E-2</v>
      </c>
      <c r="AB49" s="10">
        <f t="shared" si="11"/>
        <v>9.0136945064381632E-3</v>
      </c>
      <c r="AC49" s="10">
        <f t="shared" si="11"/>
        <v>5.3800028751246716E-3</v>
      </c>
      <c r="AD49" s="10">
        <f t="shared" si="11"/>
        <v>3.2111228602798559E-3</v>
      </c>
      <c r="AF49" s="13" t="s">
        <v>62</v>
      </c>
    </row>
    <row r="50" spans="7:36" x14ac:dyDescent="0.35">
      <c r="I50" s="22" t="s">
        <v>24</v>
      </c>
      <c r="J50" s="10">
        <f t="shared" ref="J50:AD50" si="12">SUM(J44:J48)</f>
        <v>100</v>
      </c>
      <c r="K50" s="10">
        <f t="shared" si="12"/>
        <v>58.599999999999987</v>
      </c>
      <c r="L50" s="10">
        <f>SUM(L44:L48)</f>
        <v>35.627003256916161</v>
      </c>
      <c r="M50" s="10">
        <f t="shared" si="12"/>
        <v>22.718976180860903</v>
      </c>
      <c r="N50" s="10">
        <f t="shared" si="12"/>
        <v>15.377275650365899</v>
      </c>
      <c r="O50" s="10">
        <f t="shared" si="12"/>
        <v>11.156095754877779</v>
      </c>
      <c r="P50" s="10">
        <f t="shared" si="12"/>
        <v>8.707069677172445</v>
      </c>
      <c r="Q50" s="10">
        <f t="shared" si="12"/>
        <v>7.275915670769999</v>
      </c>
      <c r="R50" s="10">
        <f t="shared" si="12"/>
        <v>6.4348995762831249</v>
      </c>
      <c r="S50" s="10">
        <f t="shared" si="12"/>
        <v>5.9385867081829993</v>
      </c>
      <c r="T50" s="10">
        <f t="shared" si="12"/>
        <v>5.6447751461802369</v>
      </c>
      <c r="U50" s="10">
        <f t="shared" si="12"/>
        <v>5.4704414729820963</v>
      </c>
      <c r="V50" s="10">
        <f t="shared" si="12"/>
        <v>5.3668272390968719</v>
      </c>
      <c r="W50" s="10">
        <f t="shared" si="12"/>
        <v>5.3051704386541827</v>
      </c>
      <c r="X50" s="10">
        <f t="shared" si="12"/>
        <v>5.2684491399358881</v>
      </c>
      <c r="Y50" s="10">
        <f t="shared" si="12"/>
        <v>5.2465653088146684</v>
      </c>
      <c r="Z50" s="10">
        <f t="shared" si="12"/>
        <v>5.2335180351753756</v>
      </c>
      <c r="AA50" s="10">
        <f t="shared" si="12"/>
        <v>5.2257367381403421</v>
      </c>
      <c r="AB50" s="10">
        <f t="shared" si="12"/>
        <v>5.2210950007648398</v>
      </c>
      <c r="AC50" s="10">
        <f t="shared" si="12"/>
        <v>5.2183256536158868</v>
      </c>
      <c r="AD50" s="10">
        <f t="shared" si="12"/>
        <v>5.216673225591121</v>
      </c>
      <c r="AF50" s="10" t="s">
        <v>79</v>
      </c>
      <c r="AG50" s="13" t="s">
        <v>79</v>
      </c>
      <c r="AH50" s="13" t="s">
        <v>79</v>
      </c>
    </row>
    <row r="51" spans="7:36" x14ac:dyDescent="0.35">
      <c r="I51" s="22" t="s">
        <v>45</v>
      </c>
      <c r="K51" s="10">
        <f>K48-J48</f>
        <v>0.18279158351902694</v>
      </c>
      <c r="L51" s="10">
        <f t="shared" ref="L51:AD51" si="13">L48-K48</f>
        <v>0.89300761076177027</v>
      </c>
      <c r="M51" s="10">
        <f t="shared" si="13"/>
        <v>1.0798691093285497</v>
      </c>
      <c r="N51" s="10">
        <f t="shared" si="13"/>
        <v>0.94801861185740677</v>
      </c>
      <c r="O51" s="10">
        <f t="shared" si="13"/>
        <v>0.71831250411749892</v>
      </c>
      <c r="P51" s="10">
        <f t="shared" si="13"/>
        <v>0.50124946996831099</v>
      </c>
      <c r="Q51" s="10">
        <f t="shared" si="13"/>
        <v>0.33250679368032365</v>
      </c>
      <c r="R51" s="10">
        <f t="shared" si="13"/>
        <v>0.21343400402004864</v>
      </c>
      <c r="S51" s="10">
        <f t="shared" si="13"/>
        <v>0.13401043048129768</v>
      </c>
      <c r="T51" s="10">
        <f t="shared" si="13"/>
        <v>8.2878555177462232E-2</v>
      </c>
      <c r="U51" s="10">
        <f t="shared" si="13"/>
        <v>5.0720324324233346E-2</v>
      </c>
      <c r="V51" s="10">
        <f t="shared" si="13"/>
        <v>3.0812428751743504E-2</v>
      </c>
      <c r="W51" s="10">
        <f t="shared" si="13"/>
        <v>1.8621736156333668E-2</v>
      </c>
      <c r="X51" s="10">
        <f t="shared" si="13"/>
        <v>1.1213106471769763E-2</v>
      </c>
      <c r="Y51" s="10">
        <f>Y48-X48</f>
        <v>6.7345442955861756E-3</v>
      </c>
      <c r="Z51" s="10">
        <f t="shared" si="13"/>
        <v>4.0373385365244374E-3</v>
      </c>
      <c r="AA51" s="10">
        <f t="shared" si="13"/>
        <v>2.4172355469289641E-3</v>
      </c>
      <c r="AB51" s="10">
        <f t="shared" si="13"/>
        <v>1.4459192635856155E-3</v>
      </c>
      <c r="AC51" s="10">
        <f t="shared" si="13"/>
        <v>8.6434448236083483E-4</v>
      </c>
      <c r="AD51" s="10">
        <f t="shared" si="13"/>
        <v>5.1645199007932518E-4</v>
      </c>
      <c r="AF51" s="10" t="s">
        <v>65</v>
      </c>
      <c r="AG51" s="13" t="s">
        <v>66</v>
      </c>
      <c r="AH51" s="13" t="s">
        <v>67</v>
      </c>
      <c r="AJ51" s="13"/>
    </row>
    <row r="52" spans="7:36" x14ac:dyDescent="0.35">
      <c r="I52" s="22"/>
      <c r="AF52" s="11">
        <f t="shared" ref="AF52:AH55" si="14">(R44*R$43+P44*P$43+N44*N$43+L44*L$43+J44*J$43)/(R44+P44+N44+L44+J44)</f>
        <v>0.25027815946035697</v>
      </c>
      <c r="AG52" s="11">
        <f t="shared" si="14"/>
        <v>0.78490392856591784</v>
      </c>
      <c r="AH52" s="11">
        <f t="shared" si="14"/>
        <v>1.3227516371211427</v>
      </c>
      <c r="AI52" s="13" t="s">
        <v>60</v>
      </c>
      <c r="AJ52" s="13"/>
    </row>
    <row r="53" spans="7:36" x14ac:dyDescent="0.35">
      <c r="I53" s="22" t="s">
        <v>88</v>
      </c>
      <c r="K53" s="10">
        <f>(K44*0.4+K45*0.85+K46*1.6+K47*3.5)/K49</f>
        <v>0.68399891994563977</v>
      </c>
      <c r="L53" s="10">
        <f t="shared" ref="L53:AD53" si="15">(L44*0.4+L45*0.85+L46*1.6+L47*3.5)/L49</f>
        <v>0.96678445496372067</v>
      </c>
      <c r="M53" s="10">
        <f t="shared" si="15"/>
        <v>1.2108359792477423</v>
      </c>
      <c r="N53" s="10">
        <f t="shared" si="15"/>
        <v>1.4067819662215795</v>
      </c>
      <c r="O53" s="10">
        <f t="shared" si="15"/>
        <v>1.5577359538269724</v>
      </c>
      <c r="P53" s="10">
        <f t="shared" si="15"/>
        <v>1.6710967851198903</v>
      </c>
      <c r="Q53" s="10">
        <f t="shared" si="15"/>
        <v>1.7548162942378718</v>
      </c>
      <c r="R53" s="10">
        <f t="shared" si="15"/>
        <v>1.8159419263028842</v>
      </c>
      <c r="S53" s="10">
        <f t="shared" si="15"/>
        <v>1.8602100867236957</v>
      </c>
      <c r="T53" s="10">
        <f>(T44*0.4+T45*0.85+T46*1.6+T47*3.5)/T49</f>
        <v>1.8920797451635107</v>
      </c>
      <c r="U53" s="10">
        <f>(U44*0.4+U45*0.85+U46*1.6+U47*3.5)/U49</f>
        <v>1.9149214849349505</v>
      </c>
      <c r="V53" s="10">
        <f t="shared" si="15"/>
        <v>1.931237196195559</v>
      </c>
      <c r="W53" s="10">
        <f t="shared" si="15"/>
        <v>1.9428608548589292</v>
      </c>
      <c r="X53" s="10">
        <f t="shared" si="15"/>
        <v>1.9511248444953446</v>
      </c>
      <c r="Y53" s="10">
        <f t="shared" si="15"/>
        <v>1.9569907752149882</v>
      </c>
      <c r="Z53" s="10">
        <f t="shared" si="15"/>
        <v>1.9611492207134682</v>
      </c>
      <c r="AA53" s="10">
        <f t="shared" si="15"/>
        <v>1.9640942277430011</v>
      </c>
      <c r="AB53" s="10">
        <f t="shared" si="15"/>
        <v>1.966178203640377</v>
      </c>
      <c r="AC53" s="10">
        <f t="shared" si="15"/>
        <v>1.9676519441232627</v>
      </c>
      <c r="AD53" s="10">
        <f t="shared" si="15"/>
        <v>1.9686936078828687</v>
      </c>
      <c r="AF53" s="11">
        <f t="shared" si="14"/>
        <v>1.5103922352916515</v>
      </c>
      <c r="AG53" s="11">
        <f t="shared" si="14"/>
        <v>1.1756206004610505</v>
      </c>
      <c r="AH53" s="11">
        <f t="shared" si="14"/>
        <v>1.544398172234654</v>
      </c>
      <c r="AI53" s="13" t="s">
        <v>61</v>
      </c>
      <c r="AJ53" s="13"/>
    </row>
    <row r="54" spans="7:36" x14ac:dyDescent="0.35">
      <c r="AF54" s="11">
        <f t="shared" si="14"/>
        <v>1.5987173122273846</v>
      </c>
      <c r="AG54" s="11">
        <f t="shared" si="14"/>
        <v>1.3059015173623476</v>
      </c>
      <c r="AH54" s="11">
        <f t="shared" si="14"/>
        <v>1.644433454138976</v>
      </c>
      <c r="AI54" s="13" t="s">
        <v>63</v>
      </c>
      <c r="AJ54" s="13"/>
    </row>
    <row r="55" spans="7:36" x14ac:dyDescent="0.35">
      <c r="G55" s="22" t="s">
        <v>25</v>
      </c>
      <c r="I55" s="10" t="s">
        <v>26</v>
      </c>
      <c r="K55" s="10">
        <f t="shared" ref="K55:M55" si="16">K48-J48</f>
        <v>0.18279158351902694</v>
      </c>
      <c r="L55" s="10">
        <f t="shared" si="16"/>
        <v>0.89300761076177027</v>
      </c>
      <c r="M55" s="10">
        <f t="shared" si="16"/>
        <v>1.0798691093285497</v>
      </c>
      <c r="N55" s="10">
        <f>N48-M48</f>
        <v>0.94801861185740677</v>
      </c>
      <c r="O55" s="10">
        <f t="shared" ref="O55:AD55" si="17">O48-N48</f>
        <v>0.71831250411749892</v>
      </c>
      <c r="P55" s="10">
        <f t="shared" si="17"/>
        <v>0.50124946996831099</v>
      </c>
      <c r="Q55" s="10">
        <f t="shared" si="17"/>
        <v>0.33250679368032365</v>
      </c>
      <c r="R55" s="10">
        <f t="shared" si="17"/>
        <v>0.21343400402004864</v>
      </c>
      <c r="S55" s="10">
        <f t="shared" si="17"/>
        <v>0.13401043048129768</v>
      </c>
      <c r="T55" s="10">
        <f t="shared" si="17"/>
        <v>8.2878555177462232E-2</v>
      </c>
      <c r="U55" s="10">
        <f t="shared" si="17"/>
        <v>5.0720324324233346E-2</v>
      </c>
      <c r="V55" s="10">
        <f t="shared" si="17"/>
        <v>3.0812428751743504E-2</v>
      </c>
      <c r="W55" s="10">
        <f t="shared" si="17"/>
        <v>1.8621736156333668E-2</v>
      </c>
      <c r="X55" s="10">
        <f>X48-W48</f>
        <v>1.1213106471769763E-2</v>
      </c>
      <c r="Y55" s="10">
        <f>Y48-X48</f>
        <v>6.7345442955861756E-3</v>
      </c>
      <c r="Z55" s="10">
        <f t="shared" si="17"/>
        <v>4.0373385365244374E-3</v>
      </c>
      <c r="AA55" s="10">
        <f t="shared" si="17"/>
        <v>2.4172355469289641E-3</v>
      </c>
      <c r="AB55" s="10">
        <f t="shared" si="17"/>
        <v>1.4459192635856155E-3</v>
      </c>
      <c r="AC55" s="10">
        <f t="shared" si="17"/>
        <v>8.6434448236083483E-4</v>
      </c>
      <c r="AD55" s="10">
        <f t="shared" si="17"/>
        <v>5.1645199007932518E-4</v>
      </c>
      <c r="AF55" s="11">
        <f t="shared" si="14"/>
        <v>1.8905537223852888</v>
      </c>
      <c r="AG55" s="11">
        <f t="shared" si="14"/>
        <v>1.8281724510182951</v>
      </c>
      <c r="AH55" s="11">
        <f t="shared" si="14"/>
        <v>1.972184163037811</v>
      </c>
      <c r="AI55" s="13" t="s">
        <v>64</v>
      </c>
      <c r="AJ55" s="13"/>
    </row>
    <row r="56" spans="7:36" x14ac:dyDescent="0.35">
      <c r="I56" s="10" t="s">
        <v>27</v>
      </c>
      <c r="K56" s="10">
        <f t="shared" ref="K56:M56" si="18">K55*K43</f>
        <v>9.139579175951347E-2</v>
      </c>
      <c r="L56" s="10">
        <f t="shared" si="18"/>
        <v>0.89300761076177027</v>
      </c>
      <c r="M56" s="10">
        <f t="shared" si="18"/>
        <v>1.6198036639928246</v>
      </c>
      <c r="N56" s="10">
        <f>N55*N43</f>
        <v>1.8960372237148135</v>
      </c>
      <c r="O56" s="10">
        <f t="shared" ref="O56:AD56" si="19">O55*O43</f>
        <v>1.7957812602937473</v>
      </c>
      <c r="P56" s="10">
        <f t="shared" si="19"/>
        <v>1.503748409904933</v>
      </c>
      <c r="Q56" s="10">
        <f t="shared" si="19"/>
        <v>1.1637737778811328</v>
      </c>
      <c r="R56" s="10">
        <f t="shared" si="19"/>
        <v>0.85373601608019456</v>
      </c>
      <c r="S56" s="10">
        <f t="shared" si="19"/>
        <v>0.60304693716583957</v>
      </c>
      <c r="T56" s="10">
        <f t="shared" si="19"/>
        <v>0.41439277588731116</v>
      </c>
      <c r="U56" s="10">
        <f t="shared" si="19"/>
        <v>0.2789617837832834</v>
      </c>
      <c r="V56" s="10">
        <f t="shared" si="19"/>
        <v>0.18487457251046102</v>
      </c>
      <c r="W56" s="10">
        <f t="shared" si="19"/>
        <v>0.12104128501616884</v>
      </c>
      <c r="X56" s="10">
        <f t="shared" si="19"/>
        <v>7.8491745302388338E-2</v>
      </c>
      <c r="Y56" s="10">
        <f t="shared" si="19"/>
        <v>5.0509082216896317E-2</v>
      </c>
      <c r="Z56" s="10">
        <f t="shared" si="19"/>
        <v>3.2298708292195499E-2</v>
      </c>
      <c r="AA56" s="10">
        <f t="shared" si="19"/>
        <v>2.0546502148896195E-2</v>
      </c>
      <c r="AB56" s="10">
        <f t="shared" si="19"/>
        <v>1.301327337227054E-2</v>
      </c>
      <c r="AC56" s="10">
        <f t="shared" si="19"/>
        <v>8.2112725824279309E-3</v>
      </c>
      <c r="AD56" s="10">
        <f t="shared" si="19"/>
        <v>5.1645199007932518E-3</v>
      </c>
      <c r="AF56" s="11"/>
      <c r="AG56" s="11"/>
      <c r="AH56" s="11"/>
      <c r="AI56" s="13"/>
      <c r="AJ56" s="13"/>
    </row>
    <row r="57" spans="7:36" x14ac:dyDescent="0.35">
      <c r="I57" s="10" t="s">
        <v>57</v>
      </c>
      <c r="K57" s="10">
        <f t="shared" ref="K57:M57" si="20">(K49*K43)</f>
        <v>29.20860420824048</v>
      </c>
      <c r="L57" s="10">
        <f t="shared" si="20"/>
        <v>34.551204062635364</v>
      </c>
      <c r="M57" s="10">
        <f t="shared" si="20"/>
        <v>30.844961815877333</v>
      </c>
      <c r="N57" s="10">
        <f>(N49*N43)</f>
        <v>24.547177469798292</v>
      </c>
      <c r="O57" s="10">
        <f t="shared" ref="O57:AD57" si="21">(O49*O43)</f>
        <v>18.335240838233815</v>
      </c>
      <c r="P57" s="10">
        <f t="shared" si="21"/>
        <v>13.151462362859641</v>
      </c>
      <c r="Q57" s="10">
        <f t="shared" si="21"/>
        <v>9.1705599563798916</v>
      </c>
      <c r="R57" s="10">
        <f t="shared" si="21"/>
        <v>6.2628395561207562</v>
      </c>
      <c r="S57" s="10">
        <f t="shared" si="21"/>
        <v>4.2092396570194444</v>
      </c>
      <c r="T57" s="10">
        <f t="shared" si="21"/>
        <v>2.793482366342706</v>
      </c>
      <c r="U57" s="10">
        <f t="shared" si="21"/>
        <v>1.8350336166039205</v>
      </c>
      <c r="V57" s="10">
        <f t="shared" si="21"/>
        <v>1.1952948786551945</v>
      </c>
      <c r="W57" s="10">
        <f t="shared" si="21"/>
        <v>0.77309229731614415</v>
      </c>
      <c r="X57" s="10">
        <f t="shared" si="21"/>
        <v>0.49702009924078167</v>
      </c>
      <c r="Y57" s="10">
        <f t="shared" si="21"/>
        <v>0.31788371927479575</v>
      </c>
      <c r="Z57" s="10">
        <f t="shared" si="21"/>
        <v>0.20239906981991035</v>
      </c>
      <c r="AA57" s="10">
        <f t="shared" si="21"/>
        <v>0.12836148473697526</v>
      </c>
      <c r="AB57" s="10">
        <f t="shared" si="21"/>
        <v>8.1123250557943463E-2</v>
      </c>
      <c r="AC57" s="10">
        <f t="shared" si="21"/>
        <v>5.1110027313684379E-2</v>
      </c>
      <c r="AD57" s="10">
        <f t="shared" si="21"/>
        <v>3.211122860279856E-2</v>
      </c>
      <c r="AF57" s="11">
        <f>(L57+N57+P57+R57+T57)/(T49+R49+P49+N49+L49+100)</f>
        <v>0.53025868691310052</v>
      </c>
      <c r="AG57" s="11">
        <f>(K57+M57+O57+Q57+S57+U57)/(U49+S49+Q49+O49+M49+K49)</f>
        <v>1.0376906332790035</v>
      </c>
      <c r="AH57" s="11">
        <f>(L57+N57+P57+R57+T57)/(T49+R49+P49+N49+L49)</f>
        <v>1.5244995670199144</v>
      </c>
      <c r="AI57" s="13" t="s">
        <v>58</v>
      </c>
      <c r="AJ57" s="13"/>
    </row>
    <row r="58" spans="7:36" x14ac:dyDescent="0.35">
      <c r="I58" s="10" t="s">
        <v>28</v>
      </c>
      <c r="K58" s="10">
        <f t="shared" ref="K58:M58" si="22">K55/K49</f>
        <v>3.1290708418627009E-3</v>
      </c>
      <c r="L58" s="10">
        <f t="shared" si="22"/>
        <v>2.5845918687606422E-2</v>
      </c>
      <c r="M58" s="10">
        <f t="shared" si="22"/>
        <v>5.2514367618994306E-2</v>
      </c>
      <c r="N58" s="10">
        <f>N55/N49</f>
        <v>7.7240539204460862E-2</v>
      </c>
      <c r="O58" s="10">
        <f t="shared" ref="O58:AD58" si="23">O55/O49</f>
        <v>9.7941514711334984E-2</v>
      </c>
      <c r="P58" s="10">
        <f t="shared" si="23"/>
        <v>0.11434077583277662</v>
      </c>
      <c r="Q58" s="10">
        <f t="shared" si="23"/>
        <v>0.12690324074175033</v>
      </c>
      <c r="R58" s="10">
        <f t="shared" si="23"/>
        <v>0.13631772112792304</v>
      </c>
      <c r="S58" s="10">
        <f t="shared" si="23"/>
        <v>0.14326742744623291</v>
      </c>
      <c r="T58" s="10">
        <f t="shared" si="23"/>
        <v>0.14834272121425421</v>
      </c>
      <c r="U58" s="10">
        <f t="shared" si="23"/>
        <v>0.1520199854973531</v>
      </c>
      <c r="V58" s="10">
        <f t="shared" si="23"/>
        <v>0.15466858915890297</v>
      </c>
      <c r="W58" s="10">
        <f t="shared" si="23"/>
        <v>0.1565677027650825</v>
      </c>
      <c r="X58" s="10">
        <f t="shared" si="23"/>
        <v>0.15792469041450768</v>
      </c>
      <c r="Y58" s="10">
        <f t="shared" si="23"/>
        <v>0.15889169263567587</v>
      </c>
      <c r="Z58" s="10">
        <f t="shared" si="23"/>
        <v>0.15957933166854021</v>
      </c>
      <c r="AA58" s="10">
        <f t="shared" si="23"/>
        <v>0.16006750148611876</v>
      </c>
      <c r="AB58" s="10">
        <f t="shared" si="23"/>
        <v>0.16041360870981888</v>
      </c>
      <c r="AC58" s="10">
        <f t="shared" si="23"/>
        <v>0.16065873986002382</v>
      </c>
      <c r="AD58" s="10">
        <f t="shared" si="23"/>
        <v>0.16083221120798702</v>
      </c>
      <c r="AF58" s="11"/>
      <c r="AG58" s="11"/>
      <c r="AH58" s="11">
        <f>(L57+N57+P57+R57+T57+V57+X57+Z57+AB57+AD57)/(T49+R49+P49+N49+L49+V49+X49+Z49+AB49+AD49)</f>
        <v>1.5531865910904086</v>
      </c>
      <c r="AI58" s="13" t="s">
        <v>59</v>
      </c>
      <c r="AJ58" s="13"/>
    </row>
    <row r="60" spans="7:36" x14ac:dyDescent="0.35">
      <c r="I60" s="10" t="s">
        <v>22</v>
      </c>
      <c r="AF60" s="10">
        <f>SUM(N55:AD55)</f>
        <v>3.0577937991214945</v>
      </c>
    </row>
    <row r="61" spans="7:36" x14ac:dyDescent="0.35">
      <c r="I61" s="22" t="s">
        <v>80</v>
      </c>
      <c r="J61" s="10">
        <v>100</v>
      </c>
      <c r="K61" s="10">
        <f t="array" ref="K61:K65">MMULT($H$5:$L$9,J81:J85)</f>
        <v>41.651192847212535</v>
      </c>
      <c r="L61" s="10">
        <f t="array" ref="L61:L65">MMULT($H$5:$L$9,K81:K85)</f>
        <v>18.220950296334802</v>
      </c>
      <c r="M61" s="10">
        <f t="array" ref="M61:M65">MMULT($H$5:$L$9,L81:L85)</f>
        <v>50.044222961949124</v>
      </c>
      <c r="N61" s="10">
        <f t="array" ref="N61:N65">MMULT($H$5:$L$9,M81:M85)</f>
        <v>22.288363408601764</v>
      </c>
      <c r="O61" s="10">
        <f t="array" ref="O61:O65">MMULT($H$5:$L$9,N81:N85)</f>
        <v>52.109359340291206</v>
      </c>
      <c r="P61" s="10">
        <f t="array" ref="P61:P65">MMULT($H$5:$L$9,O81:O85)</f>
        <v>23.379629563155163</v>
      </c>
      <c r="Q61" s="10">
        <f t="array" ref="Q61:Q65">MMULT($H$5:$L$9,P81:P85)</f>
        <v>52.704947919114616</v>
      </c>
      <c r="R61" s="10">
        <f t="array" ref="R61:R65">MMULT($H$5:$L$9,Q81:Q85)</f>
        <v>23.712894714699935</v>
      </c>
      <c r="S61" s="10">
        <f t="array" ref="S61:S65">MMULT($H$5:$L$9,R81:R85)</f>
        <v>52.894923654750016</v>
      </c>
      <c r="T61" s="10">
        <f t="array" ref="T61:T65">MMULT($H$5:$L$9,S81:S85)</f>
        <v>23.822660135528523</v>
      </c>
      <c r="U61" s="10">
        <f t="array" ref="U61:U65">MMULT($H$5:$L$9,T81:T85)</f>
        <v>52.958959021793497</v>
      </c>
      <c r="V61" s="10">
        <f t="array" ref="V61:V65">MMULT($H$5:$L$9,U81:U85)</f>
        <v>23.860272900347162</v>
      </c>
      <c r="W61" s="10">
        <f t="array" ref="W61:W65">MMULT($H$5:$L$9,V81:V85)</f>
        <v>52.981157943779913</v>
      </c>
      <c r="X61" s="10">
        <f t="array" ref="X61:X65">MMULT($H$5:$L$9,W81:W85)</f>
        <v>23.873418691018735</v>
      </c>
      <c r="Y61" s="10">
        <f t="array" ref="Y61:Y65">MMULT($H$5:$L$9,X81:X85)</f>
        <v>52.988960946941546</v>
      </c>
      <c r="Z61" s="10">
        <f t="array" ref="Z61:Z65">MMULT($H$5:$L$9,Y81:Y85)</f>
        <v>23.878057969964114</v>
      </c>
      <c r="AA61" s="10">
        <f t="array" ref="AA61:AA65">MMULT($H$5:$L$9,Z81:Z85)</f>
        <v>52.99172240559696</v>
      </c>
      <c r="AB61" s="10">
        <f t="array" ref="AB61:AB65">MMULT($H$5:$L$9,AA81:AA85)</f>
        <v>23.879703009241961</v>
      </c>
      <c r="AC61" s="10">
        <f t="array" ref="AC61:AC65">MMULT($H$5:$L$9,AB81:AB85)</f>
        <v>52.992702931467079</v>
      </c>
      <c r="AD61" s="10">
        <f t="array" ref="AD61:AD65">MMULT($H$5:$L$9,AC81:AC85)</f>
        <v>23.880287683180992</v>
      </c>
      <c r="AF61" s="10">
        <f>SUM(N56:AD56)</f>
        <v>9.0236291460537554</v>
      </c>
    </row>
    <row r="62" spans="7:36" x14ac:dyDescent="0.35">
      <c r="I62" s="22" t="s">
        <v>33</v>
      </c>
      <c r="J62" s="10">
        <v>0</v>
      </c>
      <c r="K62" s="10">
        <v>9.4984649665265426</v>
      </c>
      <c r="L62" s="10">
        <v>8.0842537440544113</v>
      </c>
      <c r="M62" s="10">
        <v>14.82782738781248</v>
      </c>
      <c r="N62" s="10">
        <v>11.310363565639111</v>
      </c>
      <c r="O62" s="10">
        <v>16.717637953472359</v>
      </c>
      <c r="P62" s="10">
        <v>12.405231821653963</v>
      </c>
      <c r="Q62" s="10">
        <v>17.351223695792292</v>
      </c>
      <c r="R62" s="10">
        <v>12.773035809949269</v>
      </c>
      <c r="S62" s="10">
        <v>17.565730918589605</v>
      </c>
      <c r="T62" s="10">
        <v>12.898732887324856</v>
      </c>
      <c r="U62" s="10">
        <v>17.639698270883514</v>
      </c>
      <c r="V62" s="10">
        <v>12.942411606313687</v>
      </c>
      <c r="W62" s="10">
        <v>17.665562349902867</v>
      </c>
      <c r="X62" s="10">
        <v>12.95775926303307</v>
      </c>
      <c r="Y62" s="10">
        <v>17.674684055757208</v>
      </c>
      <c r="Z62" s="10">
        <v>12.963187005683032</v>
      </c>
      <c r="AA62" s="10">
        <v>17.677916526373593</v>
      </c>
      <c r="AB62" s="10">
        <v>12.965113286751668</v>
      </c>
      <c r="AC62" s="10">
        <v>17.679064941767926</v>
      </c>
      <c r="AD62" s="10">
        <v>12.965798171703316</v>
      </c>
    </row>
    <row r="63" spans="7:36" x14ac:dyDescent="0.35">
      <c r="I63" s="22" t="s">
        <v>36</v>
      </c>
      <c r="J63" s="10">
        <v>0</v>
      </c>
      <c r="K63" s="10">
        <v>5.3754168457457174</v>
      </c>
      <c r="L63" s="10">
        <v>5.0618046793718268</v>
      </c>
      <c r="M63" s="10">
        <v>9.0236172500428786</v>
      </c>
      <c r="N63" s="10">
        <v>7.4476602603421043</v>
      </c>
      <c r="O63" s="10">
        <v>10.515633487595956</v>
      </c>
      <c r="P63" s="10">
        <v>8.3599012994901951</v>
      </c>
      <c r="Q63" s="10">
        <v>11.066861753511358</v>
      </c>
      <c r="R63" s="10">
        <v>8.6909243736572126</v>
      </c>
      <c r="S63" s="10">
        <v>11.265003108853032</v>
      </c>
      <c r="T63" s="10">
        <v>8.8093292768468388</v>
      </c>
      <c r="U63" s="10">
        <v>11.335701213381824</v>
      </c>
      <c r="V63" s="10">
        <v>8.8515262143611348</v>
      </c>
      <c r="W63" s="10">
        <v>11.360883014177233</v>
      </c>
      <c r="X63" s="10">
        <v>8.8665532364500663</v>
      </c>
      <c r="Y63" s="10">
        <v>11.369850297257031</v>
      </c>
      <c r="Z63" s="10">
        <v>8.8719045327852406</v>
      </c>
      <c r="AA63" s="10">
        <v>11.373043814850771</v>
      </c>
      <c r="AB63" s="10">
        <v>8.8738103930518246</v>
      </c>
      <c r="AC63" s="10">
        <v>11.374181239037062</v>
      </c>
      <c r="AD63" s="10">
        <v>8.8744892239091673</v>
      </c>
    </row>
    <row r="64" spans="7:36" x14ac:dyDescent="0.35">
      <c r="I64" s="22" t="s">
        <v>17</v>
      </c>
      <c r="J64" s="10">
        <v>0</v>
      </c>
      <c r="K64" s="10">
        <v>1.8921337569961685</v>
      </c>
      <c r="L64" s="10">
        <v>3.1841953428743235</v>
      </c>
      <c r="M64" s="10">
        <v>5.0848486939280431</v>
      </c>
      <c r="N64" s="10">
        <v>5.7784055629515301</v>
      </c>
      <c r="O64" s="10">
        <v>6.9719818476665321</v>
      </c>
      <c r="P64" s="10">
        <v>7.0638509008550745</v>
      </c>
      <c r="Q64" s="10">
        <v>7.811739248144896</v>
      </c>
      <c r="R64" s="10">
        <v>7.5974685758781622</v>
      </c>
      <c r="S64" s="10">
        <v>8.1445015248192725</v>
      </c>
      <c r="T64" s="10">
        <v>7.8022976477529067</v>
      </c>
      <c r="U64" s="10">
        <v>8.2694431766992551</v>
      </c>
      <c r="V64" s="10">
        <v>7.878025039540332</v>
      </c>
      <c r="W64" s="10">
        <v>8.3151356514082497</v>
      </c>
      <c r="X64" s="10">
        <v>7.9055074413805544</v>
      </c>
      <c r="Y64" s="10">
        <v>8.3316281552157907</v>
      </c>
      <c r="Z64" s="10">
        <v>7.9153890071775281</v>
      </c>
      <c r="AA64" s="10">
        <v>8.3375420594957834</v>
      </c>
      <c r="AB64" s="10">
        <v>7.9189255210709071</v>
      </c>
      <c r="AC64" s="10">
        <v>8.3396556969201647</v>
      </c>
      <c r="AD64" s="10">
        <v>7.920188254183163</v>
      </c>
    </row>
    <row r="65" spans="9:30" x14ac:dyDescent="0.35">
      <c r="I65" s="24">
        <v>5</v>
      </c>
      <c r="J65" s="10">
        <v>0</v>
      </c>
      <c r="K65" s="10">
        <v>0.18279158351902694</v>
      </c>
      <c r="L65" s="10">
        <v>1.0757991942807972</v>
      </c>
      <c r="M65" s="10">
        <v>2.3384598871283742</v>
      </c>
      <c r="N65" s="10">
        <v>4.1794861097475504</v>
      </c>
      <c r="O65" s="10">
        <v>6.1604593067126263</v>
      </c>
      <c r="P65" s="10">
        <v>8.5027349993001131</v>
      </c>
      <c r="Q65" s="10">
        <v>10.816214989945513</v>
      </c>
      <c r="R65" s="10">
        <v>13.371924686553049</v>
      </c>
      <c r="S65" s="10">
        <v>15.819415107679745</v>
      </c>
      <c r="T65" s="10">
        <v>18.458003359464744</v>
      </c>
      <c r="U65" s="10">
        <v>20.956214104915674</v>
      </c>
      <c r="V65" s="10">
        <v>23.625614785452413</v>
      </c>
      <c r="W65" s="10">
        <v>26.142447267059676</v>
      </c>
      <c r="X65" s="10">
        <v>28.823061054068187</v>
      </c>
      <c r="Y65" s="10">
        <v>31.346628079971037</v>
      </c>
      <c r="Z65" s="10">
        <v>34.031279205516071</v>
      </c>
      <c r="AA65" s="10">
        <v>36.55726346696585</v>
      </c>
      <c r="AB65" s="10">
        <v>39.243360511774469</v>
      </c>
      <c r="AC65" s="10">
        <v>41.770209117706607</v>
      </c>
      <c r="AD65" s="10">
        <v>44.456822614505306</v>
      </c>
    </row>
    <row r="67" spans="9:30" x14ac:dyDescent="0.35">
      <c r="I67" s="22" t="s">
        <v>56</v>
      </c>
      <c r="J67" s="10">
        <f>SUM(J61:J65)</f>
        <v>100</v>
      </c>
      <c r="K67" s="10">
        <f>SUM(K61:K64)</f>
        <v>58.41720841648096</v>
      </c>
      <c r="L67" s="10">
        <f t="shared" ref="L67:AD67" si="24">SUM(L61:L64)</f>
        <v>34.551204062635364</v>
      </c>
      <c r="M67" s="10">
        <f t="shared" si="24"/>
        <v>78.980516293732521</v>
      </c>
      <c r="N67" s="10">
        <f t="shared" si="24"/>
        <v>46.824792797534514</v>
      </c>
      <c r="O67" s="10">
        <f t="shared" si="24"/>
        <v>86.314612629026058</v>
      </c>
      <c r="P67" s="10">
        <f t="shared" si="24"/>
        <v>51.208613585154396</v>
      </c>
      <c r="Q67" s="10">
        <f t="shared" si="24"/>
        <v>88.934772616563151</v>
      </c>
      <c r="R67" s="10">
        <f t="shared" si="24"/>
        <v>52.774323474184577</v>
      </c>
      <c r="S67" s="10">
        <f t="shared" si="24"/>
        <v>89.870159207011937</v>
      </c>
      <c r="T67" s="10">
        <f t="shared" si="24"/>
        <v>53.333019947453124</v>
      </c>
      <c r="U67" s="10">
        <f t="shared" si="24"/>
        <v>90.203801682758098</v>
      </c>
      <c r="V67" s="10">
        <f t="shared" si="24"/>
        <v>53.532235760562322</v>
      </c>
      <c r="W67" s="10">
        <f t="shared" si="24"/>
        <v>90.322738959268264</v>
      </c>
      <c r="X67" s="10">
        <f t="shared" si="24"/>
        <v>53.603238631882427</v>
      </c>
      <c r="Y67" s="10">
        <f t="shared" si="24"/>
        <v>90.365123455171585</v>
      </c>
      <c r="Z67" s="10">
        <f t="shared" si="24"/>
        <v>53.628538515609911</v>
      </c>
      <c r="AA67" s="10">
        <f t="shared" si="24"/>
        <v>90.380224806317116</v>
      </c>
      <c r="AB67" s="10">
        <f t="shared" si="24"/>
        <v>53.637552210116368</v>
      </c>
      <c r="AC67" s="10">
        <f t="shared" si="24"/>
        <v>90.38560480919223</v>
      </c>
      <c r="AD67" s="10">
        <f t="shared" si="24"/>
        <v>53.640763332976633</v>
      </c>
    </row>
    <row r="68" spans="9:30" x14ac:dyDescent="0.35">
      <c r="I68" s="22" t="s">
        <v>25</v>
      </c>
      <c r="K68" s="10">
        <f t="shared" ref="K68:AD68" si="25">K65-J65</f>
        <v>0.18279158351902694</v>
      </c>
      <c r="L68" s="10">
        <f t="shared" si="25"/>
        <v>0.89300761076177027</v>
      </c>
      <c r="M68" s="10">
        <f t="shared" si="25"/>
        <v>1.262660692847577</v>
      </c>
      <c r="N68" s="10">
        <f t="shared" si="25"/>
        <v>1.8410262226191763</v>
      </c>
      <c r="O68" s="10">
        <f t="shared" si="25"/>
        <v>1.9809731969650759</v>
      </c>
      <c r="P68" s="10">
        <f t="shared" si="25"/>
        <v>2.3422756925874868</v>
      </c>
      <c r="Q68" s="10">
        <f t="shared" si="25"/>
        <v>2.3134799906453996</v>
      </c>
      <c r="R68" s="10">
        <f t="shared" si="25"/>
        <v>2.5557096966075363</v>
      </c>
      <c r="S68" s="10">
        <f t="shared" si="25"/>
        <v>2.4474904211266963</v>
      </c>
      <c r="T68" s="10">
        <f t="shared" si="25"/>
        <v>2.6385882517849986</v>
      </c>
      <c r="U68" s="10">
        <f t="shared" si="25"/>
        <v>2.4982107454509297</v>
      </c>
      <c r="V68" s="10">
        <f t="shared" si="25"/>
        <v>2.6694006805367394</v>
      </c>
      <c r="W68" s="10">
        <f t="shared" si="25"/>
        <v>2.5168324816072634</v>
      </c>
      <c r="X68" s="10">
        <f t="shared" si="25"/>
        <v>2.6806137870085109</v>
      </c>
      <c r="Y68" s="10">
        <f t="shared" si="25"/>
        <v>2.5235670259028495</v>
      </c>
      <c r="Z68" s="10">
        <f t="shared" si="25"/>
        <v>2.6846511255450345</v>
      </c>
      <c r="AA68" s="10">
        <f t="shared" si="25"/>
        <v>2.5259842614497785</v>
      </c>
      <c r="AB68" s="10">
        <f t="shared" si="25"/>
        <v>2.6860970448086192</v>
      </c>
      <c r="AC68" s="10">
        <f t="shared" si="25"/>
        <v>2.5268486059321376</v>
      </c>
      <c r="AD68" s="10">
        <f t="shared" si="25"/>
        <v>2.6866134967986994</v>
      </c>
    </row>
    <row r="70" spans="9:30" x14ac:dyDescent="0.35">
      <c r="I70" s="22"/>
      <c r="AD70" s="10">
        <f>28.54/T67</f>
        <v>0.53512814440508549</v>
      </c>
    </row>
    <row r="71" spans="9:30" x14ac:dyDescent="0.35">
      <c r="I71" s="25" t="s">
        <v>74</v>
      </c>
      <c r="Q71" s="10" t="s">
        <v>76</v>
      </c>
    </row>
    <row r="72" spans="9:30" x14ac:dyDescent="0.35">
      <c r="J72" s="10" t="s">
        <v>68</v>
      </c>
      <c r="K72" s="10" t="s">
        <v>69</v>
      </c>
      <c r="L72" s="10" t="s">
        <v>70</v>
      </c>
      <c r="M72" s="10" t="s">
        <v>71</v>
      </c>
      <c r="N72" s="10" t="s">
        <v>72</v>
      </c>
      <c r="O72" s="10" t="s">
        <v>73</v>
      </c>
    </row>
    <row r="73" spans="9:30" x14ac:dyDescent="0.35">
      <c r="I73" s="22" t="s">
        <v>80</v>
      </c>
      <c r="J73" s="26">
        <f>T61/SUM(T$61:T$64)</f>
        <v>0.44667750221157604</v>
      </c>
      <c r="K73" s="10">
        <f>V61/SUM(V$61:V$64)</f>
        <v>0.44571784759875915</v>
      </c>
      <c r="L73" s="10">
        <f>X61/SUM(X$61:X$64)</f>
        <v>0.4453726920302008</v>
      </c>
      <c r="M73" s="10">
        <f>Z61/SUM(Z$61:Z$64)</f>
        <v>0.44524908996007445</v>
      </c>
      <c r="N73" s="10">
        <f>AB61/SUM(AB$61:AB$64)</f>
        <v>0.44520493619278367</v>
      </c>
      <c r="O73" s="27">
        <f>AD61/SUM(AD$61:AD$64)</f>
        <v>0.44518918448164874</v>
      </c>
    </row>
    <row r="74" spans="9:30" x14ac:dyDescent="0.35">
      <c r="I74" s="22" t="s">
        <v>33</v>
      </c>
      <c r="J74" s="26">
        <f>T62/SUM(T$61:T$64)</f>
        <v>0.24185266276002104</v>
      </c>
      <c r="K74" s="10">
        <f>V62/SUM(V$61:V$64)</f>
        <v>0.24176856098822755</v>
      </c>
      <c r="L74" s="10">
        <f>X62/SUM(X$61:X$64)</f>
        <v>0.24173463383471727</v>
      </c>
      <c r="M74" s="10">
        <f>Z62/SUM(Z$61:Z$64)</f>
        <v>0.24172180269111335</v>
      </c>
      <c r="N74" s="10">
        <f>AB62/SUM(AB$61:AB$64)</f>
        <v>0.24171709469445865</v>
      </c>
      <c r="O74" s="27">
        <f>AD62/SUM(AD$61:AD$64)</f>
        <v>0.24171539266169159</v>
      </c>
    </row>
    <row r="75" spans="9:30" x14ac:dyDescent="0.35">
      <c r="I75" s="22" t="s">
        <v>34</v>
      </c>
      <c r="J75" s="26">
        <f>T63/SUM(T$61:T$64)</f>
        <v>0.16517589451199868</v>
      </c>
      <c r="K75" s="10">
        <f>V63/SUM(V$61:V$64)</f>
        <v>0.16534945885600641</v>
      </c>
      <c r="L75" s="10">
        <f>X63/SUM(X$61:X$64)</f>
        <v>0.16541077484777886</v>
      </c>
      <c r="M75" s="10">
        <f>Z63/SUM(Z$61:Z$64)</f>
        <v>0.16543252488976282</v>
      </c>
      <c r="N75" s="10">
        <f>AB63/SUM(AB$61:AB$64)</f>
        <v>0.1654402564511169</v>
      </c>
      <c r="O75" s="27">
        <f>AD63/SUM(AD$61:AD$64)</f>
        <v>0.1654430077517822</v>
      </c>
    </row>
    <row r="76" spans="9:30" x14ac:dyDescent="0.35">
      <c r="I76" s="22" t="s">
        <v>35</v>
      </c>
      <c r="J76" s="26">
        <f>T64/SUM(T$61:T$64)</f>
        <v>0.14629394051640421</v>
      </c>
      <c r="K76" s="10">
        <f>V64/SUM(V$61:V$64)</f>
        <v>0.14716413255700678</v>
      </c>
      <c r="L76" s="10">
        <f>X64/SUM(X$61:X$64)</f>
        <v>0.14748189928730301</v>
      </c>
      <c r="M76" s="10">
        <f>Z64/SUM(Z$61:Z$64)</f>
        <v>0.14759658245904947</v>
      </c>
      <c r="N76" s="10">
        <f>AB64/SUM(AB$61:AB$64)</f>
        <v>0.14763771266164061</v>
      </c>
      <c r="O76" s="27">
        <f>AD64/SUM(AD$61:AD$64)</f>
        <v>0.14765241510487759</v>
      </c>
    </row>
    <row r="77" spans="9:30" x14ac:dyDescent="0.35">
      <c r="I77" s="24"/>
    </row>
    <row r="80" spans="9:30" x14ac:dyDescent="0.35">
      <c r="I80" s="10" t="s">
        <v>75</v>
      </c>
    </row>
    <row r="81" spans="9:30" x14ac:dyDescent="0.35">
      <c r="I81" s="22" t="s">
        <v>80</v>
      </c>
      <c r="J81" s="10">
        <f>J61</f>
        <v>100</v>
      </c>
      <c r="K81" s="10">
        <f>K61</f>
        <v>41.651192847212535</v>
      </c>
      <c r="L81" s="10">
        <f t="shared" ref="L81:AD81" si="26">L61+$J$81</f>
        <v>118.22095029633481</v>
      </c>
      <c r="M81" s="10">
        <f>M61</f>
        <v>50.044222961949124</v>
      </c>
      <c r="N81" s="10">
        <f t="shared" si="26"/>
        <v>122.28836340860177</v>
      </c>
      <c r="O81" s="10">
        <f>O61</f>
        <v>52.109359340291206</v>
      </c>
      <c r="P81" s="10">
        <f t="shared" si="26"/>
        <v>123.37962956315516</v>
      </c>
      <c r="Q81" s="10">
        <f>Q61</f>
        <v>52.704947919114616</v>
      </c>
      <c r="R81" s="10">
        <f t="shared" si="26"/>
        <v>123.71289471469993</v>
      </c>
      <c r="S81" s="10">
        <f>S61</f>
        <v>52.894923654750016</v>
      </c>
      <c r="T81" s="10">
        <f t="shared" si="26"/>
        <v>123.82266013552852</v>
      </c>
      <c r="U81" s="10">
        <f>U61</f>
        <v>52.958959021793497</v>
      </c>
      <c r="V81" s="10">
        <f t="shared" si="26"/>
        <v>123.86027290034716</v>
      </c>
      <c r="W81" s="10">
        <f>W61</f>
        <v>52.981157943779913</v>
      </c>
      <c r="X81" s="10">
        <f t="shared" si="26"/>
        <v>123.87341869101874</v>
      </c>
      <c r="Y81" s="10">
        <f>Y61</f>
        <v>52.988960946941546</v>
      </c>
      <c r="Z81" s="10">
        <f t="shared" si="26"/>
        <v>123.87805796996412</v>
      </c>
      <c r="AA81" s="10">
        <f>AA61</f>
        <v>52.99172240559696</v>
      </c>
      <c r="AB81" s="10">
        <f t="shared" si="26"/>
        <v>123.87970300924196</v>
      </c>
      <c r="AC81" s="10">
        <f>AC61</f>
        <v>52.992702931467079</v>
      </c>
      <c r="AD81" s="10">
        <f t="shared" si="26"/>
        <v>123.880287683181</v>
      </c>
    </row>
    <row r="82" spans="9:30" x14ac:dyDescent="0.35">
      <c r="I82" s="22" t="s">
        <v>33</v>
      </c>
      <c r="J82" s="10">
        <v>0</v>
      </c>
      <c r="K82" s="10">
        <f t="shared" ref="K82:AD82" si="27">K62</f>
        <v>9.4984649665265426</v>
      </c>
      <c r="L82" s="10">
        <f t="shared" si="27"/>
        <v>8.0842537440544113</v>
      </c>
      <c r="M82" s="10">
        <f t="shared" si="27"/>
        <v>14.82782738781248</v>
      </c>
      <c r="N82" s="10">
        <f t="shared" si="27"/>
        <v>11.310363565639111</v>
      </c>
      <c r="O82" s="10">
        <f t="shared" si="27"/>
        <v>16.717637953472359</v>
      </c>
      <c r="P82" s="10">
        <f t="shared" si="27"/>
        <v>12.405231821653963</v>
      </c>
      <c r="Q82" s="10">
        <f t="shared" si="27"/>
        <v>17.351223695792292</v>
      </c>
      <c r="R82" s="10">
        <f t="shared" si="27"/>
        <v>12.773035809949269</v>
      </c>
      <c r="S82" s="10">
        <f t="shared" si="27"/>
        <v>17.565730918589605</v>
      </c>
      <c r="T82" s="10">
        <f t="shared" si="27"/>
        <v>12.898732887324856</v>
      </c>
      <c r="U82" s="10">
        <f t="shared" si="27"/>
        <v>17.639698270883514</v>
      </c>
      <c r="V82" s="10">
        <f t="shared" si="27"/>
        <v>12.942411606313687</v>
      </c>
      <c r="W82" s="10">
        <f t="shared" si="27"/>
        <v>17.665562349902867</v>
      </c>
      <c r="X82" s="10">
        <f t="shared" si="27"/>
        <v>12.95775926303307</v>
      </c>
      <c r="Y82" s="10">
        <f t="shared" si="27"/>
        <v>17.674684055757208</v>
      </c>
      <c r="Z82" s="10">
        <f t="shared" si="27"/>
        <v>12.963187005683032</v>
      </c>
      <c r="AA82" s="10">
        <f t="shared" si="27"/>
        <v>17.677916526373593</v>
      </c>
      <c r="AB82" s="10">
        <f t="shared" si="27"/>
        <v>12.965113286751668</v>
      </c>
      <c r="AC82" s="10">
        <f t="shared" si="27"/>
        <v>17.679064941767926</v>
      </c>
      <c r="AD82" s="10">
        <f t="shared" si="27"/>
        <v>12.965798171703316</v>
      </c>
    </row>
    <row r="83" spans="9:30" x14ac:dyDescent="0.35">
      <c r="I83" s="22" t="s">
        <v>36</v>
      </c>
      <c r="J83" s="10">
        <v>0</v>
      </c>
      <c r="K83" s="10">
        <f t="shared" ref="K83:AD83" si="28">K63</f>
        <v>5.3754168457457174</v>
      </c>
      <c r="L83" s="10">
        <f t="shared" si="28"/>
        <v>5.0618046793718268</v>
      </c>
      <c r="M83" s="10">
        <f t="shared" si="28"/>
        <v>9.0236172500428786</v>
      </c>
      <c r="N83" s="10">
        <f t="shared" si="28"/>
        <v>7.4476602603421043</v>
      </c>
      <c r="O83" s="10">
        <f t="shared" si="28"/>
        <v>10.515633487595956</v>
      </c>
      <c r="P83" s="10">
        <f t="shared" si="28"/>
        <v>8.3599012994901951</v>
      </c>
      <c r="Q83" s="10">
        <f t="shared" si="28"/>
        <v>11.066861753511358</v>
      </c>
      <c r="R83" s="10">
        <f t="shared" si="28"/>
        <v>8.6909243736572126</v>
      </c>
      <c r="S83" s="10">
        <f t="shared" si="28"/>
        <v>11.265003108853032</v>
      </c>
      <c r="T83" s="10">
        <f t="shared" si="28"/>
        <v>8.8093292768468388</v>
      </c>
      <c r="U83" s="10">
        <f t="shared" si="28"/>
        <v>11.335701213381824</v>
      </c>
      <c r="V83" s="10">
        <f t="shared" si="28"/>
        <v>8.8515262143611348</v>
      </c>
      <c r="W83" s="10">
        <f t="shared" si="28"/>
        <v>11.360883014177233</v>
      </c>
      <c r="X83" s="10">
        <f t="shared" si="28"/>
        <v>8.8665532364500663</v>
      </c>
      <c r="Y83" s="10">
        <f t="shared" si="28"/>
        <v>11.369850297257031</v>
      </c>
      <c r="Z83" s="10">
        <f t="shared" si="28"/>
        <v>8.8719045327852406</v>
      </c>
      <c r="AA83" s="10">
        <f t="shared" si="28"/>
        <v>11.373043814850771</v>
      </c>
      <c r="AB83" s="10">
        <f t="shared" si="28"/>
        <v>8.8738103930518246</v>
      </c>
      <c r="AC83" s="10">
        <f t="shared" si="28"/>
        <v>11.374181239037062</v>
      </c>
      <c r="AD83" s="10">
        <f t="shared" si="28"/>
        <v>8.8744892239091673</v>
      </c>
    </row>
    <row r="84" spans="9:30" x14ac:dyDescent="0.35">
      <c r="I84" s="22" t="s">
        <v>17</v>
      </c>
      <c r="J84" s="10">
        <v>0</v>
      </c>
      <c r="K84" s="10">
        <f t="shared" ref="K84:AD84" si="29">K64</f>
        <v>1.8921337569961685</v>
      </c>
      <c r="L84" s="10">
        <f t="shared" si="29"/>
        <v>3.1841953428743235</v>
      </c>
      <c r="M84" s="10">
        <f t="shared" si="29"/>
        <v>5.0848486939280431</v>
      </c>
      <c r="N84" s="10">
        <f t="shared" si="29"/>
        <v>5.7784055629515301</v>
      </c>
      <c r="O84" s="10">
        <f t="shared" si="29"/>
        <v>6.9719818476665321</v>
      </c>
      <c r="P84" s="10">
        <f t="shared" si="29"/>
        <v>7.0638509008550745</v>
      </c>
      <c r="Q84" s="10">
        <f t="shared" si="29"/>
        <v>7.811739248144896</v>
      </c>
      <c r="R84" s="10">
        <f t="shared" si="29"/>
        <v>7.5974685758781622</v>
      </c>
      <c r="S84" s="10">
        <f t="shared" si="29"/>
        <v>8.1445015248192725</v>
      </c>
      <c r="T84" s="10">
        <f t="shared" si="29"/>
        <v>7.8022976477529067</v>
      </c>
      <c r="U84" s="10">
        <f t="shared" si="29"/>
        <v>8.2694431766992551</v>
      </c>
      <c r="V84" s="10">
        <f t="shared" si="29"/>
        <v>7.878025039540332</v>
      </c>
      <c r="W84" s="10">
        <f t="shared" si="29"/>
        <v>8.3151356514082497</v>
      </c>
      <c r="X84" s="10">
        <f t="shared" si="29"/>
        <v>7.9055074413805544</v>
      </c>
      <c r="Y84" s="10">
        <f t="shared" si="29"/>
        <v>8.3316281552157907</v>
      </c>
      <c r="Z84" s="10">
        <f t="shared" si="29"/>
        <v>7.9153890071775281</v>
      </c>
      <c r="AA84" s="10">
        <f t="shared" si="29"/>
        <v>8.3375420594957834</v>
      </c>
      <c r="AB84" s="10">
        <f t="shared" si="29"/>
        <v>7.9189255210709071</v>
      </c>
      <c r="AC84" s="10">
        <f t="shared" si="29"/>
        <v>8.3396556969201647</v>
      </c>
      <c r="AD84" s="10">
        <f t="shared" si="29"/>
        <v>7.920188254183163</v>
      </c>
    </row>
    <row r="85" spans="9:30" x14ac:dyDescent="0.35">
      <c r="I85" s="24">
        <v>5</v>
      </c>
      <c r="J85" s="10">
        <v>0</v>
      </c>
      <c r="K85" s="10">
        <f t="shared" ref="K85:AD85" si="30">K65</f>
        <v>0.18279158351902694</v>
      </c>
      <c r="L85" s="10">
        <f t="shared" si="30"/>
        <v>1.0757991942807972</v>
      </c>
      <c r="M85" s="10">
        <f t="shared" si="30"/>
        <v>2.3384598871283742</v>
      </c>
      <c r="N85" s="10">
        <f t="shared" si="30"/>
        <v>4.1794861097475504</v>
      </c>
      <c r="O85" s="10">
        <f t="shared" si="30"/>
        <v>6.1604593067126263</v>
      </c>
      <c r="P85" s="10">
        <f t="shared" si="30"/>
        <v>8.5027349993001131</v>
      </c>
      <c r="Q85" s="10">
        <f t="shared" si="30"/>
        <v>10.816214989945513</v>
      </c>
      <c r="R85" s="10">
        <f t="shared" si="30"/>
        <v>13.371924686553049</v>
      </c>
      <c r="S85" s="10">
        <f t="shared" si="30"/>
        <v>15.819415107679745</v>
      </c>
      <c r="T85" s="10">
        <f t="shared" si="30"/>
        <v>18.458003359464744</v>
      </c>
      <c r="U85" s="10">
        <f t="shared" si="30"/>
        <v>20.956214104915674</v>
      </c>
      <c r="V85" s="10">
        <f t="shared" si="30"/>
        <v>23.625614785452413</v>
      </c>
      <c r="W85" s="10">
        <f t="shared" si="30"/>
        <v>26.142447267059676</v>
      </c>
      <c r="X85" s="10">
        <f t="shared" si="30"/>
        <v>28.823061054068187</v>
      </c>
      <c r="Y85" s="10">
        <f t="shared" si="30"/>
        <v>31.346628079971037</v>
      </c>
      <c r="Z85" s="10">
        <f t="shared" si="30"/>
        <v>34.031279205516071</v>
      </c>
      <c r="AA85" s="10">
        <f t="shared" si="30"/>
        <v>36.55726346696585</v>
      </c>
      <c r="AB85" s="10">
        <f t="shared" si="30"/>
        <v>39.243360511774469</v>
      </c>
      <c r="AC85" s="10">
        <f t="shared" si="30"/>
        <v>41.770209117706607</v>
      </c>
      <c r="AD85" s="10">
        <f t="shared" si="30"/>
        <v>44.456822614505306</v>
      </c>
    </row>
    <row r="86" spans="9:30" x14ac:dyDescent="0.35">
      <c r="I86" s="22"/>
    </row>
    <row r="87" spans="9:30" x14ac:dyDescent="0.35">
      <c r="I87" s="22"/>
    </row>
    <row r="88" spans="9:30" x14ac:dyDescent="0.35">
      <c r="I88" s="22"/>
    </row>
    <row r="89" spans="9:30" x14ac:dyDescent="0.35">
      <c r="I89" s="22"/>
    </row>
    <row r="92" spans="9:30" x14ac:dyDescent="0.35">
      <c r="U92" s="10" t="s">
        <v>89</v>
      </c>
    </row>
    <row r="94" spans="9:30" x14ac:dyDescent="0.35">
      <c r="U94" s="10" t="s">
        <v>81</v>
      </c>
      <c r="V94" s="10" t="s">
        <v>86</v>
      </c>
      <c r="X94" s="10" t="s">
        <v>87</v>
      </c>
      <c r="Y94" s="10" t="s">
        <v>85</v>
      </c>
    </row>
    <row r="95" spans="9:30" x14ac:dyDescent="0.35">
      <c r="T95" s="22" t="s">
        <v>14</v>
      </c>
      <c r="U95" s="10">
        <f>X95/$X$100</f>
        <v>0.6012861736334405</v>
      </c>
      <c r="V95" s="10">
        <f>Y95/Y$100</f>
        <v>0.44667750221157604</v>
      </c>
      <c r="X95" s="10">
        <v>187</v>
      </c>
      <c r="Y95" s="10">
        <f>T61</f>
        <v>23.822660135528523</v>
      </c>
      <c r="AA95" s="10">
        <f>X95+Y95</f>
        <v>210.82266013552851</v>
      </c>
    </row>
    <row r="96" spans="9:30" x14ac:dyDescent="0.35">
      <c r="T96" s="22" t="s">
        <v>33</v>
      </c>
      <c r="U96" s="10">
        <f>X96/$X$100</f>
        <v>0.16398713826366559</v>
      </c>
      <c r="V96" s="10">
        <f t="shared" ref="V96:V98" si="31">Y96/Y$100</f>
        <v>0.24185266276002104</v>
      </c>
      <c r="X96" s="10">
        <v>51</v>
      </c>
      <c r="Y96" s="10">
        <f t="shared" ref="Y96:Y98" si="32">T62</f>
        <v>12.898732887324856</v>
      </c>
      <c r="AA96" s="10">
        <f t="shared" ref="AA96:AA98" si="33">X96+Y96</f>
        <v>63.898732887324854</v>
      </c>
    </row>
    <row r="97" spans="20:30" x14ac:dyDescent="0.35">
      <c r="T97" s="22" t="s">
        <v>36</v>
      </c>
      <c r="U97" s="10">
        <f>X97/$X$100</f>
        <v>9.6463022508038579E-2</v>
      </c>
      <c r="V97" s="10">
        <f t="shared" si="31"/>
        <v>0.16517589451199868</v>
      </c>
      <c r="X97" s="10">
        <v>30</v>
      </c>
      <c r="Y97" s="10">
        <f t="shared" si="32"/>
        <v>8.8093292768468388</v>
      </c>
      <c r="AA97" s="10">
        <f t="shared" si="33"/>
        <v>38.809329276846839</v>
      </c>
    </row>
    <row r="98" spans="20:30" x14ac:dyDescent="0.35">
      <c r="T98" s="22" t="s">
        <v>17</v>
      </c>
      <c r="U98" s="10">
        <f>X98/$X$100</f>
        <v>0.13826366559485531</v>
      </c>
      <c r="V98" s="10">
        <f t="shared" si="31"/>
        <v>0.14629394051640421</v>
      </c>
      <c r="X98" s="10">
        <v>43</v>
      </c>
      <c r="Y98" s="10">
        <f t="shared" si="32"/>
        <v>7.8022976477529067</v>
      </c>
      <c r="AA98" s="10">
        <f t="shared" si="33"/>
        <v>50.802297647752908</v>
      </c>
    </row>
    <row r="100" spans="20:30" x14ac:dyDescent="0.35">
      <c r="X100" s="10">
        <f>SUM(X95:X98)</f>
        <v>311</v>
      </c>
      <c r="Y100" s="10">
        <f>SUM(Y95:Y98)</f>
        <v>53.333019947453124</v>
      </c>
      <c r="AA100" s="10">
        <f>X100+Y100</f>
        <v>364.33301994745312</v>
      </c>
    </row>
    <row r="102" spans="20:30" x14ac:dyDescent="0.35">
      <c r="U102" s="10" t="s">
        <v>82</v>
      </c>
      <c r="X102" s="10">
        <f t="shared" ref="X102:Y105" si="34">$AA$100*X95/$AA95*X95/X$100</f>
        <v>194.31398965730801</v>
      </c>
      <c r="Y102" s="10">
        <f t="shared" si="34"/>
        <v>18.38931612299967</v>
      </c>
      <c r="AA102" s="10" t="s">
        <v>83</v>
      </c>
      <c r="AB102" s="10">
        <f>(X95-X102)^2/X102</f>
        <v>0.27529898800159142</v>
      </c>
      <c r="AC102" s="10">
        <f>(Y95-Y102)^2/Y102</f>
        <v>1.6053466567775563</v>
      </c>
    </row>
    <row r="103" spans="20:30" x14ac:dyDescent="0.35">
      <c r="X103" s="10">
        <f t="shared" si="34"/>
        <v>47.685490109736648</v>
      </c>
      <c r="Y103" s="10">
        <f t="shared" si="34"/>
        <v>17.787061637935363</v>
      </c>
      <c r="AB103" s="10">
        <f t="shared" ref="AB103:AC103" si="35">(X96-X103)^2/X103</f>
        <v>0.23038403898905108</v>
      </c>
      <c r="AC103" s="10">
        <f t="shared" si="35"/>
        <v>1.343434821358104</v>
      </c>
    </row>
    <row r="104" spans="20:30" x14ac:dyDescent="0.35">
      <c r="X104" s="10">
        <f t="shared" si="34"/>
        <v>27.167177293563565</v>
      </c>
      <c r="Y104" s="10">
        <f t="shared" si="34"/>
        <v>13.660037997803057</v>
      </c>
      <c r="AB104" s="10">
        <f t="shared" ref="AB104:AC104" si="36">(X97-X104)^2/X104</f>
        <v>0.2953889688054967</v>
      </c>
      <c r="AC104" s="10">
        <f t="shared" si="36"/>
        <v>1.7224970457142901</v>
      </c>
    </row>
    <row r="105" spans="20:30" x14ac:dyDescent="0.35">
      <c r="X105" s="10">
        <f t="shared" si="34"/>
        <v>42.637496928418585</v>
      </c>
      <c r="Y105" s="10">
        <f t="shared" si="34"/>
        <v>8.1858546911943897</v>
      </c>
      <c r="AB105" s="10">
        <f t="shared" ref="AB105:AC105" si="37">(X98-X105)^2/X105</f>
        <v>3.0819932306667486E-3</v>
      </c>
      <c r="AC105" s="10">
        <f t="shared" si="37"/>
        <v>1.7971978629406398E-2</v>
      </c>
    </row>
    <row r="106" spans="20:30" x14ac:dyDescent="0.35">
      <c r="AD106" s="10" t="s">
        <v>84</v>
      </c>
    </row>
    <row r="107" spans="20:30" x14ac:dyDescent="0.35">
      <c r="AB107" s="10">
        <f>SUM(AB102:AB105)</f>
        <v>0.8041539890268059</v>
      </c>
      <c r="AC107" s="10">
        <f>SUM(AC102:AC105)</f>
        <v>4.6892505024793563</v>
      </c>
      <c r="AD107" s="10">
        <f>AB107+AC107</f>
        <v>5.4934044915061619</v>
      </c>
    </row>
    <row r="109" spans="20:30" x14ac:dyDescent="0.35">
      <c r="AD109" s="10">
        <f>_xlfn.CHISQ.DIST.RT(AD107,3)</f>
        <v>0.13903363443799646</v>
      </c>
    </row>
  </sheetData>
  <phoneticPr fontId="5" type="noConversion"/>
  <pageMargins left="0.7" right="0.7" top="0.75" bottom="0.75" header="0.3" footer="0.3"/>
  <pageSetup orientation="portrait" horizontalDpi="300" verticalDpi="300" r:id="rId1"/>
  <ignoredErrors>
    <ignoredError sqref="X20:Z20 AC20 AB23 L81:AA81" formula="1"/>
    <ignoredError sqref="J49:J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Growth rates</vt:lpstr>
      <vt:lpstr>Recruit survival model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Ángela Martínez Quintana</dc:creator>
  <cp:lastModifiedBy>laske</cp:lastModifiedBy>
  <dcterms:created xsi:type="dcterms:W3CDTF">2020-02-01T13:39:47Z</dcterms:created>
  <dcterms:modified xsi:type="dcterms:W3CDTF">2022-06-26T04:13:58Z</dcterms:modified>
</cp:coreProperties>
</file>