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61" windowWidth="9990" windowHeight="9510" activeTab="0"/>
  </bookViews>
  <sheets>
    <sheet name="Questionnaire" sheetId="1" r:id="rId1"/>
    <sheet name="IDVar" sheetId="2" r:id="rId2"/>
    <sheet name="PMAT Rating" sheetId="3" r:id="rId3"/>
  </sheets>
  <definedNames>
    <definedName name="_xlnm.Print_Area" localSheetId="0">'Questionnaire'!$A$1:$EX$75</definedName>
  </definedNames>
  <calcPr fullCalcOnLoad="1"/>
</workbook>
</file>

<file path=xl/comments1.xml><?xml version="1.0" encoding="utf-8"?>
<comments xmlns="http://schemas.openxmlformats.org/spreadsheetml/2006/main">
  <authors>
    <author>umema</author>
    <author>Dell</author>
    <author>MIS-Tahira Asif</author>
    <author>Umema</author>
    <author>suhani</author>
    <author>Umema Hani</author>
  </authors>
  <commentList>
    <comment ref="E1" authorId="0">
      <text>
        <r>
          <rPr>
            <b/>
            <sz val="8"/>
            <rFont val="Tahoma"/>
            <family val="2"/>
          </rPr>
          <t xml:space="preserve">This field captures a broad description of the type of activity this software application is attempting to perform.
§ Command and Control, MIS,
§ Simulation,
§ Communication,
§ Operating Systems,
§ Software Dev. Tools,
§ Diagnostics,
§ Process Control,
§ Testing,
§ Engineering Signal processing, 
§ Utilities and Science
</t>
        </r>
        <r>
          <rPr>
            <sz val="8"/>
            <rFont val="Tahoma"/>
            <family val="2"/>
          </rPr>
          <t xml:space="preserve">
</t>
        </r>
      </text>
    </comment>
    <comment ref="H44" authorId="1">
      <text>
        <r>
          <rPr>
            <b/>
            <sz val="9"/>
            <rFont val="Tahoma"/>
            <family val="2"/>
          </rPr>
          <t>Dell:</t>
        </r>
        <r>
          <rPr>
            <sz val="9"/>
            <rFont val="Tahoma"/>
            <family val="2"/>
          </rPr>
          <t xml:space="preserve">
5/1/2003 to 11/15/2003 is date found in "Project Information" sheet bt as such no duration table found
6M+11 D = 1056 + 99
</t>
        </r>
      </text>
    </comment>
    <comment ref="BP2" authorId="2">
      <text>
        <r>
          <rPr>
            <b/>
            <sz val="8"/>
            <rFont val="Tahoma"/>
            <family val="2"/>
          </rPr>
          <t>Record is started to maintain in our system from 2007</t>
        </r>
        <r>
          <rPr>
            <sz val="9"/>
            <rFont val="Tahoma"/>
            <family val="2"/>
          </rPr>
          <t xml:space="preserve">
</t>
        </r>
      </text>
    </comment>
    <comment ref="BP3" authorId="2">
      <text>
        <r>
          <rPr>
            <b/>
            <sz val="14"/>
            <rFont val="Tahoma"/>
            <family val="2"/>
          </rPr>
          <t>Record is started to maintain in our system from 2007</t>
        </r>
        <r>
          <rPr>
            <sz val="9"/>
            <rFont val="Tahoma"/>
            <family val="2"/>
          </rPr>
          <t xml:space="preserve">
</t>
        </r>
      </text>
    </comment>
    <comment ref="BP4" authorId="2">
      <text>
        <r>
          <rPr>
            <b/>
            <sz val="14"/>
            <rFont val="Tahoma"/>
            <family val="2"/>
          </rPr>
          <t>Record is started to maintain in our system from 2007</t>
        </r>
        <r>
          <rPr>
            <sz val="14"/>
            <rFont val="Tahoma"/>
            <family val="2"/>
          </rPr>
          <t xml:space="preserve">
</t>
        </r>
      </text>
    </comment>
    <comment ref="BP5" authorId="2">
      <text>
        <r>
          <rPr>
            <b/>
            <sz val="14"/>
            <rFont val="Tahoma"/>
            <family val="2"/>
          </rPr>
          <t>Record is started to maintain in our system from 2007</t>
        </r>
      </text>
    </comment>
    <comment ref="BP6" authorId="2">
      <text>
        <r>
          <rPr>
            <b/>
            <sz val="16"/>
            <rFont val="Tahoma"/>
            <family val="2"/>
          </rPr>
          <t>Record is started to maintain in our system from 2007</t>
        </r>
        <r>
          <rPr>
            <sz val="9"/>
            <rFont val="Tahoma"/>
            <family val="2"/>
          </rPr>
          <t xml:space="preserve">
</t>
        </r>
      </text>
    </comment>
    <comment ref="J20" authorId="3">
      <text>
        <r>
          <rPr>
            <b/>
            <sz val="9"/>
            <rFont val="Tahoma"/>
            <family val="2"/>
          </rPr>
          <t>Umema:</t>
        </r>
        <r>
          <rPr>
            <sz val="9"/>
            <rFont val="Tahoma"/>
            <family val="2"/>
          </rPr>
          <t xml:space="preserve">
21 D * 6hr</t>
        </r>
      </text>
    </comment>
    <comment ref="J42" authorId="3">
      <text>
        <r>
          <rPr>
            <b/>
            <sz val="9"/>
            <rFont val="Tahoma"/>
            <family val="2"/>
          </rPr>
          <t>Umema:</t>
        </r>
        <r>
          <rPr>
            <sz val="9"/>
            <rFont val="Tahoma"/>
            <family val="2"/>
          </rPr>
          <t xml:space="preserve">
22D * 8Hr</t>
        </r>
      </text>
    </comment>
    <comment ref="K20" authorId="3">
      <text>
        <r>
          <rPr>
            <b/>
            <sz val="9"/>
            <rFont val="Tahoma"/>
            <family val="2"/>
          </rPr>
          <t>Umema:</t>
        </r>
        <r>
          <rPr>
            <sz val="9"/>
            <rFont val="Tahoma"/>
            <family val="2"/>
          </rPr>
          <t xml:space="preserve">
1 PU = 10 Loc  // REUSE CODE NOT INCLUDED</t>
        </r>
      </text>
    </comment>
    <comment ref="BC43" authorId="3">
      <text>
        <r>
          <rPr>
            <b/>
            <sz val="9"/>
            <rFont val="Tahoma"/>
            <family val="2"/>
          </rPr>
          <t>Umema:</t>
        </r>
        <r>
          <rPr>
            <sz val="9"/>
            <rFont val="Tahoma"/>
            <family val="2"/>
          </rPr>
          <t xml:space="preserve">
3.4
</t>
        </r>
      </text>
    </comment>
    <comment ref="BS1" authorId="3">
      <text>
        <r>
          <rPr>
            <b/>
            <sz val="9"/>
            <rFont val="Tahoma"/>
            <family val="2"/>
          </rPr>
          <t>Umema:</t>
        </r>
        <r>
          <rPr>
            <sz val="9"/>
            <rFont val="Tahoma"/>
            <family val="2"/>
          </rPr>
          <t xml:space="preserve">
world class organizations have DRE &gt; 95%
It Examine defect detection efforts before the product is released to the filed.  Knowing it an organization could target its PI efforts to improve defect detection methods where they can be most effective.
http://www.westfallteam.com/Papers/defect_removal_effectiveness.pdf</t>
        </r>
      </text>
    </comment>
    <comment ref="CJ20" authorId="3">
      <text>
        <r>
          <rPr>
            <b/>
            <sz val="9"/>
            <rFont val="Tahoma"/>
            <family val="2"/>
          </rPr>
          <t>Umema:</t>
        </r>
        <r>
          <rPr>
            <sz val="9"/>
            <rFont val="Tahoma"/>
            <family val="2"/>
          </rPr>
          <t xml:space="preserve">
Twice in a Month</t>
        </r>
      </text>
    </comment>
    <comment ref="CG20" authorId="3">
      <text>
        <r>
          <rPr>
            <b/>
            <sz val="9"/>
            <rFont val="Tahoma"/>
            <family val="2"/>
          </rPr>
          <t>Umema:</t>
        </r>
        <r>
          <rPr>
            <sz val="9"/>
            <rFont val="Tahoma"/>
            <family val="2"/>
          </rPr>
          <t xml:space="preserve">
Used to Calculate: Mean Time between Failure = Mean Time To Failure + Mean Time To Restore.</t>
        </r>
      </text>
    </comment>
    <comment ref="CH20" authorId="3">
      <text>
        <r>
          <rPr>
            <b/>
            <sz val="9"/>
            <rFont val="Tahoma"/>
            <family val="2"/>
          </rPr>
          <t>Umema:</t>
        </r>
        <r>
          <rPr>
            <sz val="9"/>
            <rFont val="Tahoma"/>
            <family val="2"/>
          </rPr>
          <t xml:space="preserve">
Used to Calculate: Mean Time between Failure = Mean Time To Failure + Mean Time To Restore.</t>
        </r>
      </text>
    </comment>
    <comment ref="AL44" authorId="3">
      <text>
        <r>
          <rPr>
            <b/>
            <sz val="9"/>
            <rFont val="Tahoma"/>
            <family val="2"/>
          </rPr>
          <t>Umema:</t>
        </r>
        <r>
          <rPr>
            <sz val="9"/>
            <rFont val="Tahoma"/>
            <family val="2"/>
          </rPr>
          <t xml:space="preserve">
10-14
</t>
        </r>
      </text>
    </comment>
    <comment ref="R1" authorId="3">
      <text>
        <r>
          <rPr>
            <b/>
            <sz val="9"/>
            <rFont val="Tahoma"/>
            <family val="2"/>
          </rPr>
          <t>Umema:</t>
        </r>
        <r>
          <rPr>
            <sz val="9"/>
            <rFont val="Tahoma"/>
            <family val="2"/>
          </rPr>
          <t xml:space="preserve">
No need to converst Reused SW to Equivalent Lines= AAF =0.4(DM) +0.3(CM) +0.4(IM)
Because we have not taken code directly but calculated size from FP, UUCP etc</t>
        </r>
      </text>
    </comment>
    <comment ref="AC1" authorId="3">
      <text>
        <r>
          <rPr>
            <b/>
            <sz val="9"/>
            <rFont val="Tahoma"/>
            <family val="2"/>
          </rPr>
          <t xml:space="preserve">Umema:
</t>
        </r>
        <r>
          <rPr>
            <sz val="9"/>
            <rFont val="Tahoma"/>
            <family val="2"/>
          </rPr>
          <t xml:space="preserve">
a) VL: 50% penalty on interface checking: Very low cohesion, high coupling, spaghetti code. No match between program and application world views. Obscure code; documentation missing, obscure or obsolete. = 50
b) L: 40% : Moderately low cohesion, high coupling. Some correlation between program and application. Some code commentary and headers; some useful documentation. = 40
c) N: 30% : Reasonably well- structured; some weak areas. Moderate correlation between program and application. Moderate level of code commentary, headers, documentations. = 30
d) H: 20% 
e) VH: 10%: Strong modularity, information hiding in data / control structures. Clear match between program and application world-views. Self-descriptive code; documentation up-to-date, well-organized, with design rationale. =10</t>
        </r>
      </text>
    </comment>
    <comment ref="AE1" authorId="3">
      <text>
        <r>
          <rPr>
            <b/>
            <sz val="9"/>
            <rFont val="Tahoma"/>
            <family val="2"/>
          </rPr>
          <t>Umema:</t>
        </r>
        <r>
          <rPr>
            <sz val="9"/>
            <rFont val="Tahoma"/>
            <family val="2"/>
          </rPr>
          <t xml:space="preserve">
a) VL: 0.0: Completely Familier 
b) L: 0.2: Mostely Familier
c) H: 0.4: Some What Familier
d) N: 0.6: Considerably Familiar
e) H: 0.8: Mostly Unfamilier
f) EH: 1.0: Completely Unfamilier</t>
        </r>
      </text>
    </comment>
    <comment ref="AD1" authorId="3">
      <text>
        <r>
          <rPr>
            <b/>
            <sz val="9"/>
            <rFont val="Tahoma"/>
            <family val="2"/>
          </rPr>
          <t xml:space="preserve">Umema:
</t>
        </r>
        <r>
          <rPr>
            <sz val="9"/>
            <rFont val="Tahoma"/>
            <family val="2"/>
          </rPr>
          <t xml:space="preserve">
a) VL: 50% penalty on interface checking: Very low cohesion, high coupling, spaghetti code. No match between program and application world views. Obscure code; documentation missing, obscure or obsolete. 
b) L: 40% : Moderately low cohesion, high coupling. Some correlation between program and application. Some code commentary and headers; some useful documentation. 
c) N: 30% : Reasonably well- structured; some weak areas. Moderate correlation between program and application. Moderate level of code commentary, headers, documentations. 
d) H: 20% 
e) VH: 10%: Strong modularity, information hiding in data / control structures. Clear match between program and application world-views. Self-descriptive code; documentation up-to-date, well-organized, with design rationale. </t>
        </r>
      </text>
    </comment>
    <comment ref="AF1" authorId="3">
      <text>
        <r>
          <rPr>
            <b/>
            <sz val="9"/>
            <rFont val="Tahoma"/>
            <family val="2"/>
          </rPr>
          <t>Umema:</t>
        </r>
        <r>
          <rPr>
            <sz val="9"/>
            <rFont val="Tahoma"/>
            <family val="2"/>
          </rPr>
          <t xml:space="preserve">
a) VL: 0.0: Completely Familier 
b) L: 0.2: Mostely Familier
c) H: 0.4: Some What Familier
d) N: 0.6: Considerably Familiar
e) H: 0.8: Mostly Unfamilier
f) EH: 1.0: Completely Unfamilier</t>
        </r>
      </text>
    </comment>
    <comment ref="T1" authorId="3">
      <text>
        <r>
          <rPr>
            <b/>
            <sz val="9"/>
            <rFont val="Tahoma"/>
            <family val="2"/>
          </rPr>
          <t>Umema:</t>
        </r>
        <r>
          <rPr>
            <sz val="9"/>
            <rFont val="Tahoma"/>
            <family val="2"/>
          </rPr>
          <t xml:space="preserve">
None 0
Basic Module search and doc 2
Some module test and evaluation, doc 4
Considerable module T and E, doc 6
Extensive Module T and E, doc 8</t>
        </r>
      </text>
    </comment>
    <comment ref="U1" authorId="3">
      <text>
        <r>
          <rPr>
            <b/>
            <sz val="9"/>
            <rFont val="Tahoma"/>
            <family val="2"/>
          </rPr>
          <t>Umema:</t>
        </r>
        <r>
          <rPr>
            <sz val="9"/>
            <rFont val="Tahoma"/>
            <family val="2"/>
          </rPr>
          <t xml:space="preserve">
AAF= 0.4 DM + 0.3 CM +0.3 IM
</t>
        </r>
      </text>
    </comment>
    <comment ref="U20" authorId="3">
      <text>
        <r>
          <rPr>
            <b/>
            <sz val="9"/>
            <rFont val="Tahoma"/>
            <family val="2"/>
          </rPr>
          <t>Umema:</t>
        </r>
        <r>
          <rPr>
            <sz val="9"/>
            <rFont val="Tahoma"/>
            <family val="2"/>
          </rPr>
          <t xml:space="preserve">
=0.4*0 + 0.3*0 + 0.3*5 =1.5</t>
        </r>
      </text>
    </comment>
    <comment ref="U42" authorId="3">
      <text>
        <r>
          <rPr>
            <b/>
            <sz val="9"/>
            <rFont val="Tahoma"/>
            <family val="2"/>
          </rPr>
          <t>Umema:</t>
        </r>
        <r>
          <rPr>
            <sz val="9"/>
            <rFont val="Tahoma"/>
            <family val="2"/>
          </rPr>
          <t xml:space="preserve">
=0.4*2 + 0.3*7 + 0.3*1 =3.2
</t>
        </r>
      </text>
    </comment>
    <comment ref="U43" authorId="3">
      <text>
        <r>
          <rPr>
            <b/>
            <sz val="9"/>
            <rFont val="Tahoma"/>
            <family val="2"/>
          </rPr>
          <t>Umema:</t>
        </r>
        <r>
          <rPr>
            <sz val="9"/>
            <rFont val="Tahoma"/>
            <family val="2"/>
          </rPr>
          <t xml:space="preserve">
=0.4*2 + 0.3*5 + 0.3*1 =2.6</t>
        </r>
      </text>
    </comment>
    <comment ref="U44" authorId="3">
      <text>
        <r>
          <rPr>
            <b/>
            <sz val="9"/>
            <rFont val="Tahoma"/>
            <family val="2"/>
          </rPr>
          <t>Umema:</t>
        </r>
        <r>
          <rPr>
            <sz val="9"/>
            <rFont val="Tahoma"/>
            <family val="2"/>
          </rPr>
          <t xml:space="preserve">
=0.4*0 + 0.3*2 + 0.3*0 =0.6</t>
        </r>
      </text>
    </comment>
    <comment ref="V1" authorId="3">
      <text>
        <r>
          <rPr>
            <b/>
            <sz val="9"/>
            <rFont val="Tahoma"/>
            <family val="2"/>
          </rPr>
          <t>Umema:
for AAF &lt;=50</t>
        </r>
        <r>
          <rPr>
            <sz val="9"/>
            <rFont val="Tahoma"/>
            <family val="2"/>
          </rPr>
          <t xml:space="preserve">
AAM= [AA + AAF + (0.02*SU*UNFM)]/100
</t>
        </r>
        <r>
          <rPr>
            <b/>
            <sz val="9"/>
            <rFont val="Tahoma"/>
            <family val="2"/>
          </rPr>
          <t>for AAF &gt;50</t>
        </r>
        <r>
          <rPr>
            <sz val="9"/>
            <rFont val="Tahoma"/>
            <family val="2"/>
          </rPr>
          <t xml:space="preserve">
AAM= [AA + AAF + (SU*UNFM) ] /100</t>
        </r>
      </text>
    </comment>
    <comment ref="G1" authorId="3">
      <text>
        <r>
          <rPr>
            <b/>
            <sz val="9"/>
            <rFont val="Tahoma"/>
            <family val="2"/>
          </rPr>
          <t>Umema:</t>
        </r>
        <r>
          <rPr>
            <sz val="9"/>
            <rFont val="Tahoma"/>
            <family val="2"/>
          </rPr>
          <t xml:space="preserve">
12M * 250D * 6Hrs
</t>
        </r>
      </text>
    </comment>
    <comment ref="N20" authorId="3">
      <text>
        <r>
          <rPr>
            <b/>
            <sz val="9"/>
            <rFont val="Tahoma"/>
            <family val="2"/>
          </rPr>
          <t>Umema:</t>
        </r>
        <r>
          <rPr>
            <sz val="9"/>
            <rFont val="Tahoma"/>
            <family val="2"/>
          </rPr>
          <t xml:space="preserve">
ReusedCode = NonReusedCode * (ReusedCode% / NonReusedCode%)</t>
        </r>
      </text>
    </comment>
    <comment ref="BT1" authorId="3">
      <text>
        <r>
          <rPr>
            <b/>
            <sz val="9"/>
            <rFont val="Tahoma"/>
            <family val="2"/>
          </rPr>
          <t>Umema:</t>
        </r>
        <r>
          <rPr>
            <sz val="9"/>
            <rFont val="Tahoma"/>
            <family val="2"/>
          </rPr>
          <t xml:space="preserve">
DRE =1 Excellent, &lt;=0.8 is Good
The defect removal efficiency (DRE) gives a measure of the development team ability to remove defects prior to release. It is calculated as a ratio of defects resolved to total number of defects found. It is typically measured prior and at the moment of release.
http://www.sdlcmetrics.org/metrics/defect-removal-efficiency</t>
        </r>
      </text>
    </comment>
    <comment ref="BR1" authorId="3">
      <text>
        <r>
          <rPr>
            <b/>
            <sz val="9"/>
            <rFont val="Tahoma"/>
            <family val="2"/>
          </rPr>
          <t>Umema:</t>
        </r>
        <r>
          <rPr>
            <sz val="9"/>
            <rFont val="Tahoma"/>
            <family val="2"/>
          </rPr>
          <t xml:space="preserve">
The defect detection percentage (DDP) gives a measure of the testing effectiveness. It is calculated as a ratio of defects found found prior to release and after release by customers.
http://www.sdlcmetrics.org/metrics/defect-detection-percentage
DDP = Number of defects at the moment of software version release / Number of defects at the moment of software release + escaped defects found.
http://swtestingconcepts.wordpress.com/test-metrics/defect-detection-percentage/</t>
        </r>
      </text>
    </comment>
    <comment ref="K42" authorId="3">
      <text>
        <r>
          <rPr>
            <b/>
            <sz val="9"/>
            <rFont val="Tahoma"/>
            <family val="2"/>
          </rPr>
          <t>Umema:</t>
        </r>
        <r>
          <rPr>
            <sz val="9"/>
            <rFont val="Tahoma"/>
            <family val="2"/>
          </rPr>
          <t xml:space="preserve">
378 UUCPs, FP =0.813 * 378 UUCP, 307.314FP
UFP= 0.815*378 UUCP, 308.07, Avg = 307.692 FP. .Net 60 loc/FP,</t>
        </r>
      </text>
    </comment>
    <comment ref="K44" authorId="3">
      <text>
        <r>
          <rPr>
            <b/>
            <sz val="9"/>
            <rFont val="Tahoma"/>
            <family val="2"/>
          </rPr>
          <t>Umema:</t>
        </r>
        <r>
          <rPr>
            <sz val="9"/>
            <rFont val="Tahoma"/>
            <family val="2"/>
          </rPr>
          <t xml:space="preserve">
183.8 . power builder fend, sql server backend. loc/fp =28+31/2. 
= 29.5 LOC/FP</t>
        </r>
      </text>
    </comment>
    <comment ref="K43" authorId="3">
      <text>
        <r>
          <rPr>
            <b/>
            <sz val="9"/>
            <rFont val="Tahoma"/>
            <family val="2"/>
          </rPr>
          <t>Umema:</t>
        </r>
        <r>
          <rPr>
            <sz val="9"/>
            <rFont val="Tahoma"/>
            <family val="2"/>
          </rPr>
          <t xml:space="preserve">
230 UUCPs, FP=0.813 * 230 UCP, 186.99
UFP=0.815*230 UCP, 187.45, Avg = 187.22 FP. ASP.Net 69/FP,</t>
        </r>
      </text>
    </comment>
    <comment ref="M42" authorId="3">
      <text>
        <r>
          <rPr>
            <b/>
            <sz val="9"/>
            <rFont val="Tahoma"/>
            <family val="2"/>
          </rPr>
          <t>Umema:</t>
        </r>
        <r>
          <rPr>
            <sz val="9"/>
            <rFont val="Tahoma"/>
            <family val="2"/>
          </rPr>
          <t xml:space="preserve">
Total Code * Non Reused Code %
</t>
        </r>
      </text>
    </comment>
    <comment ref="BJ22" authorId="3">
      <text>
        <r>
          <rPr>
            <b/>
            <sz val="9"/>
            <rFont val="Tahoma"/>
            <family val="0"/>
          </rPr>
          <t>Umema:</t>
        </r>
        <r>
          <rPr>
            <sz val="9"/>
            <rFont val="Tahoma"/>
            <family val="0"/>
          </rPr>
          <t xml:space="preserve">
1= No Removal
0= Identification = Removal
#Div/0! = 0 defects identified
Number &lt; 0, few defects were removed
Number &gt; 0 and &lt; 1, higher number of defects were removed</t>
        </r>
      </text>
    </comment>
    <comment ref="BJ1" authorId="3">
      <text>
        <r>
          <rPr>
            <b/>
            <sz val="9"/>
            <rFont val="Tahoma"/>
            <family val="0"/>
          </rPr>
          <t>Umema:</t>
        </r>
        <r>
          <rPr>
            <sz val="9"/>
            <rFont val="Tahoma"/>
            <family val="0"/>
          </rPr>
          <t xml:space="preserve">
1= No Removal
0= Identification = Removal
#Div/0! = 0 defects identified
Number &lt; 0, few defects were removed
Number &gt; 0 and &lt; 1: 
as much as closer to 0 = higher number of defects were removed
if as much closer to 1 = minimal number of defects were removed</t>
        </r>
      </text>
    </comment>
    <comment ref="BG1" authorId="3">
      <text>
        <r>
          <rPr>
            <b/>
            <sz val="9"/>
            <rFont val="Tahoma"/>
            <family val="2"/>
          </rPr>
          <t xml:space="preserve">Umema:
</t>
        </r>
        <r>
          <rPr>
            <sz val="9"/>
            <rFont val="Tahoma"/>
            <family val="2"/>
          </rPr>
          <t>we could not distinguish  in cases of If Zero defects were identifed or All identified defects were removed</t>
        </r>
      </text>
    </comment>
    <comment ref="BM1" authorId="3">
      <text>
        <r>
          <rPr>
            <b/>
            <sz val="9"/>
            <rFont val="Tahoma"/>
            <family val="2"/>
          </rPr>
          <t>Umema:</t>
        </r>
        <r>
          <rPr>
            <sz val="9"/>
            <rFont val="Tahoma"/>
            <family val="2"/>
          </rPr>
          <t xml:space="preserve">
1= No Removal
0= Identification = Removal
#Div/0! = 0 defects identified
Number &lt; 0, few defects were removed
Number &gt; 0 and &lt; 1: 
as much as closer to 0 = higher number of defects were removed
if as much closer to 1 = minimal number of defects were removed</t>
        </r>
      </text>
    </comment>
    <comment ref="BX1" authorId="3">
      <text>
        <r>
          <rPr>
            <b/>
            <sz val="9"/>
            <rFont val="Tahoma"/>
            <family val="2"/>
          </rPr>
          <t>Umema:</t>
        </r>
        <r>
          <rPr>
            <sz val="9"/>
            <rFont val="Tahoma"/>
            <family val="2"/>
          </rPr>
          <t xml:space="preserve">
1 = Number of FR Demanded are equal to Number of FR Delivered to the customer
&lt; 0   Number of FR Demanded are Lesser Than the Number of FR Delivered to the customer
&gt; 1 Number of FR Demanded are Greater Than Number of FR Delivered to the customer
0  Not possible
</t>
        </r>
      </text>
    </comment>
    <comment ref="BZ1" authorId="3">
      <text>
        <r>
          <rPr>
            <b/>
            <sz val="9"/>
            <rFont val="Tahoma"/>
            <family val="2"/>
          </rPr>
          <t>Umema:</t>
        </r>
        <r>
          <rPr>
            <sz val="9"/>
            <rFont val="Tahoma"/>
            <family val="2"/>
          </rPr>
          <t xml:space="preserve">
1 = Number of FR Changed are equal to Number of FR Demanded by the customer
&lt; 0  Number of FR Changed are Lesser Than the Number of FR Demanded by the customer
close to 1 High changes, more lesser than 0 less changes in requirements
&gt; 1   Number of FR Changed are Greater Than Number of FR Demanded  to the customer (rarely possible)
0  Number of FR Demanded are ZERO   Not possible</t>
        </r>
      </text>
    </comment>
    <comment ref="CA1" authorId="3">
      <text>
        <r>
          <rPr>
            <b/>
            <sz val="9"/>
            <rFont val="Tahoma"/>
            <family val="2"/>
          </rPr>
          <t>Umema:</t>
        </r>
        <r>
          <rPr>
            <sz val="9"/>
            <rFont val="Tahoma"/>
            <family val="2"/>
          </rPr>
          <t xml:space="preserve">
CPI = ( Earned Value / Actual Value) Or = (Budget Cost of Work Performed / Actual Cost of Work Performed). It defines how many $ worth of work we are getting from each $ spent. CPI &gt; 1 is good, it means funds are being used wisely.
CPI &lt; 1 is Bad, it means Funds are over utlized  </t>
        </r>
      </text>
    </comment>
    <comment ref="CB1" authorId="3">
      <text>
        <r>
          <rPr>
            <b/>
            <sz val="9"/>
            <rFont val="Tahoma"/>
            <family val="2"/>
          </rPr>
          <t>Umema:</t>
        </r>
        <r>
          <rPr>
            <sz val="9"/>
            <rFont val="Tahoma"/>
            <family val="2"/>
          </rPr>
          <t xml:space="preserve">
SPI = ( Earned Value / Planned Value) Or = (Budget Cost of Work Performed / Budget Cost of Work Scheduled). It means Project team is progressing at X% of the rate original planned. </t>
        </r>
      </text>
    </comment>
    <comment ref="CC44" authorId="3">
      <text>
        <r>
          <rPr>
            <b/>
            <sz val="9"/>
            <rFont val="Tahoma"/>
            <family val="2"/>
          </rPr>
          <t>Umema:</t>
        </r>
        <r>
          <rPr>
            <sz val="9"/>
            <rFont val="Tahoma"/>
            <family val="2"/>
          </rPr>
          <t xml:space="preserve">
Reason of asking extra queries inspite of attending training sessions could be the unavailability of end user during training sessions. Another reason is sue to high turnover of technical staff
</t>
        </r>
      </text>
    </comment>
    <comment ref="CA44" authorId="3">
      <text>
        <r>
          <rPr>
            <b/>
            <sz val="9"/>
            <rFont val="Tahoma"/>
            <family val="2"/>
          </rPr>
          <t>Umema:</t>
        </r>
        <r>
          <rPr>
            <sz val="9"/>
            <rFont val="Tahoma"/>
            <family val="2"/>
          </rPr>
          <t xml:space="preserve">
Effort Estimation Accuracy (EEA) = Actual Effort / Planned Effort</t>
        </r>
      </text>
    </comment>
    <comment ref="CB44" authorId="3">
      <text>
        <r>
          <rPr>
            <b/>
            <sz val="9"/>
            <rFont val="Tahoma"/>
            <family val="2"/>
          </rPr>
          <t>Umema:</t>
        </r>
        <r>
          <rPr>
            <sz val="9"/>
            <rFont val="Tahoma"/>
            <family val="2"/>
          </rPr>
          <t xml:space="preserve">
Schedule Variance Percentage (SVP)= ((Actual Duration– Plan Duration) / Plan Duration) * 100 </t>
        </r>
      </text>
    </comment>
    <comment ref="BZ42" authorId="3">
      <text>
        <r>
          <rPr>
            <b/>
            <sz val="9"/>
            <rFont val="Tahoma"/>
            <family val="0"/>
          </rPr>
          <t>Umema:</t>
        </r>
        <r>
          <rPr>
            <sz val="9"/>
            <rFont val="Tahoma"/>
            <family val="0"/>
          </rPr>
          <t xml:space="preserve">
7.89% changes
</t>
        </r>
      </text>
    </comment>
    <comment ref="BZ43" authorId="3">
      <text>
        <r>
          <rPr>
            <b/>
            <sz val="9"/>
            <rFont val="Tahoma"/>
            <family val="0"/>
          </rPr>
          <t>Umema:</t>
        </r>
        <r>
          <rPr>
            <sz val="9"/>
            <rFont val="Tahoma"/>
            <family val="0"/>
          </rPr>
          <t xml:space="preserve">
77% changes</t>
        </r>
      </text>
    </comment>
    <comment ref="AO20" authorId="3">
      <text>
        <r>
          <rPr>
            <b/>
            <sz val="9"/>
            <rFont val="Tahoma"/>
            <family val="2"/>
          </rPr>
          <t>Umema:</t>
        </r>
        <r>
          <rPr>
            <sz val="9"/>
            <rFont val="Tahoma"/>
            <family val="2"/>
          </rPr>
          <t xml:space="preserve">
- means Under Estimated and Consumption is More</t>
        </r>
      </text>
    </comment>
    <comment ref="AO1" authorId="3">
      <text>
        <r>
          <rPr>
            <b/>
            <sz val="9"/>
            <rFont val="Tahoma"/>
            <family val="0"/>
          </rPr>
          <t>Umema:</t>
        </r>
        <r>
          <rPr>
            <sz val="9"/>
            <rFont val="Tahoma"/>
            <family val="0"/>
          </rPr>
          <t xml:space="preserve">
-  Over Estimation
+ Under Estimation
0 No Variance</t>
        </r>
      </text>
    </comment>
    <comment ref="BQ44" authorId="4">
      <text>
        <r>
          <rPr>
            <b/>
            <sz val="8"/>
            <rFont val="Tahoma"/>
            <family val="0"/>
          </rPr>
          <t>suhani:</t>
        </r>
        <r>
          <rPr>
            <sz val="8"/>
            <rFont val="Tahoma"/>
            <family val="0"/>
          </rPr>
          <t xml:space="preserve">
Do not depends on SPI.  When Product fault is corrected updations are made in documentation aswell</t>
        </r>
      </text>
    </comment>
    <comment ref="BY1" authorId="4">
      <text>
        <r>
          <rPr>
            <b/>
            <sz val="8"/>
            <rFont val="Tahoma"/>
            <family val="0"/>
          </rPr>
          <t>suhani:</t>
        </r>
        <r>
          <rPr>
            <sz val="8"/>
            <rFont val="Tahoma"/>
            <family val="0"/>
          </rPr>
          <t xml:space="preserve">
In compliant to Requirement Volatality Value
</t>
        </r>
      </text>
    </comment>
    <comment ref="CE44" authorId="4">
      <text>
        <r>
          <rPr>
            <b/>
            <sz val="8"/>
            <rFont val="Tahoma"/>
            <family val="0"/>
          </rPr>
          <t>suhani:</t>
        </r>
        <r>
          <rPr>
            <sz val="8"/>
            <rFont val="Tahoma"/>
            <family val="0"/>
          </rPr>
          <t xml:space="preserve">
Covered in CMMI RD. depends on effectiveness of UAT. Not depends on SPI</t>
        </r>
      </text>
    </comment>
    <comment ref="BU1" authorId="4">
      <text>
        <r>
          <rPr>
            <b/>
            <sz val="8"/>
            <rFont val="Tahoma"/>
            <family val="0"/>
          </rPr>
          <t xml:space="preserve">suhani:
</t>
        </r>
        <r>
          <rPr>
            <sz val="8"/>
            <rFont val="Tahoma"/>
            <family val="0"/>
          </rPr>
          <t xml:space="preserve">
 Should be tunned with Risk Revisions</t>
        </r>
      </text>
    </comment>
    <comment ref="A42" authorId="3">
      <text>
        <r>
          <rPr>
            <b/>
            <sz val="9"/>
            <rFont val="Tahoma"/>
            <family val="0"/>
          </rPr>
          <t>Umema:</t>
        </r>
        <r>
          <rPr>
            <sz val="9"/>
            <rFont val="Tahoma"/>
            <family val="0"/>
          </rPr>
          <t xml:space="preserve">
System'sLtd
</t>
        </r>
      </text>
    </comment>
    <comment ref="A43" authorId="3">
      <text>
        <r>
          <rPr>
            <b/>
            <sz val="9"/>
            <rFont val="Tahoma"/>
            <family val="0"/>
          </rPr>
          <t>Umema:</t>
        </r>
        <r>
          <rPr>
            <sz val="9"/>
            <rFont val="Tahoma"/>
            <family val="0"/>
          </rPr>
          <t xml:space="preserve">
System'sLtd</t>
        </r>
      </text>
    </comment>
    <comment ref="Y2" authorId="3">
      <text>
        <r>
          <rPr>
            <b/>
            <sz val="9"/>
            <rFont val="Tahoma"/>
            <family val="2"/>
          </rPr>
          <t>Umema:</t>
        </r>
        <r>
          <rPr>
            <sz val="9"/>
            <rFont val="Tahoma"/>
            <family val="2"/>
          </rPr>
          <t xml:space="preserve">
9 value by SKM,   percntage ranging is from 8 to 10 % per module .</t>
        </r>
      </text>
    </comment>
    <comment ref="R2" authorId="3">
      <text>
        <r>
          <rPr>
            <b/>
            <sz val="9"/>
            <rFont val="Tahoma"/>
            <family val="0"/>
          </rPr>
          <t>Umema:</t>
        </r>
        <r>
          <rPr>
            <sz val="9"/>
            <rFont val="Tahoma"/>
            <family val="0"/>
          </rPr>
          <t xml:space="preserve">
reusability is 15 to 20 %</t>
        </r>
      </text>
    </comment>
    <comment ref="AA2" authorId="3">
      <text>
        <r>
          <rPr>
            <b/>
            <sz val="9"/>
            <rFont val="Tahoma"/>
            <family val="2"/>
          </rPr>
          <t>Umema:</t>
        </r>
        <r>
          <rPr>
            <sz val="9"/>
            <rFont val="Tahoma"/>
            <family val="2"/>
          </rPr>
          <t xml:space="preserve">
52 - 60  %
</t>
        </r>
      </text>
    </comment>
    <comment ref="AE2" authorId="3">
      <text>
        <r>
          <rPr>
            <b/>
            <sz val="9"/>
            <rFont val="Tahoma"/>
            <family val="2"/>
          </rPr>
          <t>Umema:</t>
        </r>
        <r>
          <rPr>
            <sz val="9"/>
            <rFont val="Tahoma"/>
            <family val="2"/>
          </rPr>
          <t xml:space="preserve">
EH</t>
        </r>
      </text>
    </comment>
    <comment ref="AX1" authorId="3">
      <text>
        <r>
          <rPr>
            <b/>
            <sz val="9"/>
            <rFont val="Tahoma"/>
            <family val="0"/>
          </rPr>
          <t>Umema:</t>
        </r>
        <r>
          <rPr>
            <sz val="9"/>
            <rFont val="Tahoma"/>
            <family val="0"/>
          </rPr>
          <t xml:space="preserve">
50KDSI
Organic:              2KDSI, 8KDSI, 32KDSI, 128KDSI, 512KDSI
code and unit test: 42,       40,       38,         36
integration and test:16,      19,       22,         25
300KDSI
Semidetached:     2KDSI, 8KDSI, 32KDSI, 128KDSI, 512KDSI
code and unit test: 37      35,       33,         31,           29
integration and test:19,    22,        25,        28,           31
300KDSI
</t>
        </r>
      </text>
    </comment>
    <comment ref="O1" authorId="3">
      <text>
        <r>
          <rPr>
            <b/>
            <sz val="9"/>
            <rFont val="Tahoma"/>
            <family val="0"/>
          </rPr>
          <t>Umema:</t>
        </r>
        <r>
          <rPr>
            <sz val="9"/>
            <rFont val="Tahoma"/>
            <family val="0"/>
          </rPr>
          <t xml:space="preserve">
50KDSI
Organic:              2KDSI, 8KDSI, 32KDSI, 128KDSI, 512KDSI
code and unit test: 42,       40,       38,         36
integration and test:16,      19,       22,         25
300KDSI
Semidetached:     2KDSI, 8KDSI, 32KDSI, 128KDSI, 512KDSI
code and unit test: 37      35,       33,         31,           29
integration and test:19,    22,        25,        28,           31
300KDSI</t>
        </r>
      </text>
    </comment>
    <comment ref="AX35" authorId="3">
      <text>
        <r>
          <rPr>
            <b/>
            <sz val="9"/>
            <rFont val="Tahoma"/>
            <family val="2"/>
          </rPr>
          <t>Umema:</t>
        </r>
        <r>
          <rPr>
            <sz val="9"/>
            <rFont val="Tahoma"/>
            <family val="2"/>
          </rPr>
          <t xml:space="preserve">
code reuse % = 17.5 %</t>
        </r>
      </text>
    </comment>
    <comment ref="AX20" authorId="3">
      <text>
        <r>
          <rPr>
            <b/>
            <sz val="9"/>
            <rFont val="Tahoma"/>
            <family val="2"/>
          </rPr>
          <t>Umema:</t>
        </r>
        <r>
          <rPr>
            <sz val="9"/>
            <rFont val="Tahoma"/>
            <family val="2"/>
          </rPr>
          <t xml:space="preserve">
code reuse % =11%</t>
        </r>
      </text>
    </comment>
    <comment ref="AX42" authorId="3">
      <text>
        <r>
          <rPr>
            <b/>
            <sz val="9"/>
            <rFont val="Tahoma"/>
            <family val="2"/>
          </rPr>
          <t>Umema:</t>
        </r>
        <r>
          <rPr>
            <sz val="9"/>
            <rFont val="Tahoma"/>
            <family val="2"/>
          </rPr>
          <t xml:space="preserve">
30%</t>
        </r>
      </text>
    </comment>
    <comment ref="AX44" authorId="3">
      <text>
        <r>
          <rPr>
            <b/>
            <sz val="9"/>
            <rFont val="Tahoma"/>
            <family val="2"/>
          </rPr>
          <t>Umema:</t>
        </r>
        <r>
          <rPr>
            <sz val="9"/>
            <rFont val="Tahoma"/>
            <family val="2"/>
          </rPr>
          <t xml:space="preserve">
50%</t>
        </r>
      </text>
    </comment>
    <comment ref="AX49" authorId="3">
      <text>
        <r>
          <rPr>
            <b/>
            <sz val="9"/>
            <rFont val="Tahoma"/>
            <family val="2"/>
          </rPr>
          <t>Umema:</t>
        </r>
        <r>
          <rPr>
            <sz val="9"/>
            <rFont val="Tahoma"/>
            <family val="2"/>
          </rPr>
          <t xml:space="preserve">
60%</t>
        </r>
      </text>
    </comment>
    <comment ref="AX58" authorId="3">
      <text>
        <r>
          <rPr>
            <b/>
            <sz val="9"/>
            <rFont val="Tahoma"/>
            <family val="2"/>
          </rPr>
          <t>Umema:</t>
        </r>
        <r>
          <rPr>
            <sz val="9"/>
            <rFont val="Tahoma"/>
            <family val="2"/>
          </rPr>
          <t xml:space="preserve">
75%</t>
        </r>
      </text>
    </comment>
    <comment ref="AX2" authorId="3">
      <text>
        <r>
          <rPr>
            <b/>
            <sz val="9"/>
            <rFont val="Tahoma"/>
            <family val="2"/>
          </rPr>
          <t>Umema:</t>
        </r>
        <r>
          <rPr>
            <sz val="9"/>
            <rFont val="Tahoma"/>
            <family val="2"/>
          </rPr>
          <t xml:space="preserve">
code reuse % =5%</t>
        </r>
      </text>
    </comment>
    <comment ref="K2" authorId="3">
      <text>
        <r>
          <rPr>
            <b/>
            <sz val="9"/>
            <rFont val="Tahoma"/>
            <family val="2"/>
          </rPr>
          <t>Umema:</t>
        </r>
        <r>
          <rPr>
            <sz val="9"/>
            <rFont val="Tahoma"/>
            <family val="2"/>
          </rPr>
          <t xml:space="preserve">
1 PU = 10 Loc</t>
        </r>
      </text>
    </comment>
    <comment ref="AL2" authorId="3">
      <text>
        <r>
          <rPr>
            <b/>
            <sz val="9"/>
            <rFont val="Tahoma"/>
            <family val="2"/>
          </rPr>
          <t>Umema:</t>
        </r>
        <r>
          <rPr>
            <sz val="9"/>
            <rFont val="Tahoma"/>
            <family val="2"/>
          </rPr>
          <t xml:space="preserve">
actually 6 people</t>
        </r>
      </text>
    </comment>
    <comment ref="H2" authorId="3">
      <text>
        <r>
          <rPr>
            <b/>
            <sz val="9"/>
            <rFont val="Tahoma"/>
            <family val="2"/>
          </rPr>
          <t>Umema:</t>
        </r>
        <r>
          <rPr>
            <sz val="9"/>
            <rFont val="Tahoma"/>
            <family val="2"/>
          </rPr>
          <t xml:space="preserve">
1 PU = 100 minute time  Time = 55 minute Effort
= 0.55 Manpower</t>
        </r>
      </text>
    </comment>
    <comment ref="Q2" authorId="3">
      <text>
        <r>
          <rPr>
            <b/>
            <sz val="9"/>
            <rFont val="Tahoma"/>
            <family val="2"/>
          </rPr>
          <t>Umema:</t>
        </r>
        <r>
          <rPr>
            <sz val="9"/>
            <rFont val="Tahoma"/>
            <family val="2"/>
          </rPr>
          <t xml:space="preserve">
Oracle                                    43.8   = 42
Oracle Dev 2K/Forms   42.0   = 35
Oracle Developer/2000 23 
Java = 52.6</t>
        </r>
      </text>
    </comment>
    <comment ref="Q42" authorId="3">
      <text>
        <r>
          <rPr>
            <b/>
            <sz val="9"/>
            <rFont val="Tahoma"/>
            <family val="2"/>
          </rPr>
          <t>Umema:</t>
        </r>
        <r>
          <rPr>
            <sz val="9"/>
            <rFont val="Tahoma"/>
            <family val="2"/>
          </rPr>
          <t xml:space="preserve">
378 UUCPs, FP =0.813 * 378 UUCP, 307.314FP
UFP= 0.815*378 UUCP, 308.07, Avg = 307.692 FP. .Net 60 loc/FP,</t>
        </r>
      </text>
    </comment>
    <comment ref="Q43" authorId="3">
      <text>
        <r>
          <rPr>
            <b/>
            <sz val="9"/>
            <rFont val="Tahoma"/>
            <family val="2"/>
          </rPr>
          <t>Umema:</t>
        </r>
        <r>
          <rPr>
            <sz val="9"/>
            <rFont val="Tahoma"/>
            <family val="2"/>
          </rPr>
          <t xml:space="preserve">
230 UUCPs, FP=0.813 * 230 UCP, 186.99
UFP=0.815*230 UCP, 187.45, Avg = 187.22 FP. ASP.Net 69/FP,</t>
        </r>
      </text>
    </comment>
    <comment ref="Q44" authorId="3">
      <text>
        <r>
          <rPr>
            <b/>
            <sz val="9"/>
            <rFont val="Tahoma"/>
            <family val="2"/>
          </rPr>
          <t>Umema:</t>
        </r>
        <r>
          <rPr>
            <sz val="9"/>
            <rFont val="Tahoma"/>
            <family val="2"/>
          </rPr>
          <t xml:space="preserve">
183.8 . power builder fend, sql server backend. loc/fp =28+31/2. 
= 29.5 LOC/FP</t>
        </r>
      </text>
    </comment>
    <comment ref="BN1" authorId="3">
      <text>
        <r>
          <rPr>
            <b/>
            <sz val="9"/>
            <rFont val="Tahoma"/>
            <family val="0"/>
          </rPr>
          <t>Umema:</t>
        </r>
        <r>
          <rPr>
            <sz val="9"/>
            <rFont val="Tahoma"/>
            <family val="0"/>
          </rPr>
          <t xml:space="preserve">
</t>
        </r>
      </text>
    </comment>
    <comment ref="BR60" authorId="3">
      <text>
        <r>
          <rPr>
            <b/>
            <sz val="9"/>
            <rFont val="Tahoma"/>
            <family val="0"/>
          </rPr>
          <t>Umema:</t>
        </r>
        <r>
          <rPr>
            <sz val="9"/>
            <rFont val="Tahoma"/>
            <family val="0"/>
          </rPr>
          <t xml:space="preserve">
Both pre and post defects are ZERO</t>
        </r>
      </text>
    </comment>
    <comment ref="BR44" authorId="3">
      <text>
        <r>
          <rPr>
            <b/>
            <sz val="9"/>
            <rFont val="Tahoma"/>
            <family val="0"/>
          </rPr>
          <t>Umema:</t>
        </r>
        <r>
          <rPr>
            <sz val="9"/>
            <rFont val="Tahoma"/>
            <family val="0"/>
          </rPr>
          <t xml:space="preserve">
pre are ZERO
Post are not Zero</t>
        </r>
      </text>
    </comment>
    <comment ref="BT11" authorId="3">
      <text>
        <r>
          <rPr>
            <b/>
            <sz val="9"/>
            <rFont val="Tahoma"/>
            <family val="0"/>
          </rPr>
          <t>Umema:</t>
        </r>
        <r>
          <rPr>
            <sz val="9"/>
            <rFont val="Tahoma"/>
            <family val="0"/>
          </rPr>
          <t xml:space="preserve">
No Pre Found
No Pre Removed 
ZERO</t>
        </r>
      </text>
    </comment>
    <comment ref="B42" authorId="3">
      <text>
        <r>
          <rPr>
            <b/>
            <sz val="9"/>
            <rFont val="Tahoma"/>
            <family val="0"/>
          </rPr>
          <t>Umema:</t>
        </r>
        <r>
          <rPr>
            <sz val="9"/>
            <rFont val="Tahoma"/>
            <family val="0"/>
          </rPr>
          <t xml:space="preserve">
System'sLtd
</t>
        </r>
      </text>
    </comment>
    <comment ref="B43" authorId="3">
      <text>
        <r>
          <rPr>
            <b/>
            <sz val="9"/>
            <rFont val="Tahoma"/>
            <family val="0"/>
          </rPr>
          <t>Umema:</t>
        </r>
        <r>
          <rPr>
            <sz val="9"/>
            <rFont val="Tahoma"/>
            <family val="0"/>
          </rPr>
          <t xml:space="preserve">
System'sLtd</t>
        </r>
      </text>
    </comment>
    <comment ref="CT1" authorId="0">
      <text>
        <r>
          <rPr>
            <b/>
            <sz val="8"/>
            <rFont val="Tahoma"/>
            <family val="2"/>
          </rPr>
          <t>umema:</t>
        </r>
        <r>
          <rPr>
            <sz val="8"/>
            <rFont val="Tahoma"/>
            <family val="2"/>
          </rPr>
          <t xml:space="preserve">
Only mark Level if its all Goals have been Institutionalized. In case of ISO ranking ignore this Field.</t>
        </r>
      </text>
    </comment>
    <comment ref="DO18" authorId="3">
      <text>
        <r>
          <rPr>
            <b/>
            <sz val="9"/>
            <rFont val="Tahoma"/>
            <family val="0"/>
          </rPr>
          <t>Umema:</t>
        </r>
        <r>
          <rPr>
            <sz val="9"/>
            <rFont val="Tahoma"/>
            <family val="0"/>
          </rPr>
          <t xml:space="preserve">
skilss are totally dependednt on Programmers</t>
        </r>
      </text>
    </comment>
    <comment ref="DL20" authorId="3">
      <text>
        <r>
          <rPr>
            <b/>
            <sz val="9"/>
            <rFont val="Tahoma"/>
            <family val="2"/>
          </rPr>
          <t>Umema:</t>
        </r>
        <r>
          <rPr>
            <sz val="9"/>
            <rFont val="Tahoma"/>
            <family val="2"/>
          </rPr>
          <t xml:space="preserve">
MARKED Low in sheet</t>
        </r>
      </text>
    </comment>
    <comment ref="DM20" authorId="3">
      <text>
        <r>
          <rPr>
            <b/>
            <sz val="9"/>
            <rFont val="Tahoma"/>
            <family val="2"/>
          </rPr>
          <t>Umema:</t>
        </r>
        <r>
          <rPr>
            <sz val="9"/>
            <rFont val="Tahoma"/>
            <family val="2"/>
          </rPr>
          <t xml:space="preserve">
72%
</t>
        </r>
      </text>
    </comment>
    <comment ref="ED20" authorId="3">
      <text>
        <r>
          <rPr>
            <b/>
            <sz val="9"/>
            <rFont val="Tahoma"/>
            <family val="2"/>
          </rPr>
          <t>Umema:</t>
        </r>
        <r>
          <rPr>
            <sz val="9"/>
            <rFont val="Tahoma"/>
            <family val="2"/>
          </rPr>
          <t xml:space="preserve">
30% more stretched out</t>
        </r>
      </text>
    </comment>
    <comment ref="DB42" authorId="3">
      <text>
        <r>
          <rPr>
            <b/>
            <sz val="9"/>
            <rFont val="Tahoma"/>
            <family val="2"/>
          </rPr>
          <t>Umema:</t>
        </r>
        <r>
          <rPr>
            <sz val="9"/>
            <rFont val="Tahoma"/>
            <family val="2"/>
          </rPr>
          <t xml:space="preserve">
VH</t>
        </r>
      </text>
    </comment>
    <comment ref="DF42" authorId="3">
      <text>
        <r>
          <rPr>
            <b/>
            <sz val="9"/>
            <rFont val="Tahoma"/>
            <family val="2"/>
          </rPr>
          <t>Umema:</t>
        </r>
        <r>
          <rPr>
            <sz val="9"/>
            <rFont val="Tahoma"/>
            <family val="2"/>
          </rPr>
          <t xml:space="preserve">
I don’t know</t>
        </r>
      </text>
    </comment>
    <comment ref="DH42" authorId="3">
      <text>
        <r>
          <rPr>
            <b/>
            <sz val="9"/>
            <rFont val="Tahoma"/>
            <family val="2"/>
          </rPr>
          <t>Umema:</t>
        </r>
        <r>
          <rPr>
            <sz val="9"/>
            <rFont val="Tahoma"/>
            <family val="2"/>
          </rPr>
          <t xml:space="preserve">
I don’t know</t>
        </r>
      </text>
    </comment>
    <comment ref="ED42" authorId="3">
      <text>
        <r>
          <rPr>
            <b/>
            <sz val="9"/>
            <rFont val="Tahoma"/>
            <family val="2"/>
          </rPr>
          <t>Umema:</t>
        </r>
        <r>
          <rPr>
            <sz val="9"/>
            <rFont val="Tahoma"/>
            <family val="2"/>
          </rPr>
          <t xml:space="preserve">
100% as it is</t>
        </r>
      </text>
    </comment>
    <comment ref="EF42" authorId="3">
      <text>
        <r>
          <rPr>
            <b/>
            <sz val="9"/>
            <rFont val="Tahoma"/>
            <family val="2"/>
          </rPr>
          <t>Umema:</t>
        </r>
        <r>
          <rPr>
            <sz val="9"/>
            <rFont val="Tahoma"/>
            <family val="2"/>
          </rPr>
          <t xml:space="preserve">
I don’t know</t>
        </r>
      </text>
    </comment>
    <comment ref="DB43" authorId="3">
      <text>
        <r>
          <rPr>
            <b/>
            <sz val="9"/>
            <rFont val="Tahoma"/>
            <family val="2"/>
          </rPr>
          <t>Umema:</t>
        </r>
        <r>
          <rPr>
            <sz val="9"/>
            <rFont val="Tahoma"/>
            <family val="2"/>
          </rPr>
          <t xml:space="preserve">
VH</t>
        </r>
      </text>
    </comment>
    <comment ref="ED43" authorId="3">
      <text>
        <r>
          <rPr>
            <b/>
            <sz val="9"/>
            <rFont val="Tahoma"/>
            <family val="2"/>
          </rPr>
          <t>Umema:</t>
        </r>
        <r>
          <rPr>
            <sz val="9"/>
            <rFont val="Tahoma"/>
            <family val="2"/>
          </rPr>
          <t xml:space="preserve">
15% shrinked</t>
        </r>
      </text>
    </comment>
    <comment ref="EF43" authorId="3">
      <text>
        <r>
          <rPr>
            <b/>
            <sz val="9"/>
            <rFont val="Tahoma"/>
            <family val="2"/>
          </rPr>
          <t>Umema:</t>
        </r>
        <r>
          <rPr>
            <sz val="9"/>
            <rFont val="Tahoma"/>
            <family val="2"/>
          </rPr>
          <t xml:space="preserve">
30% extra budget given</t>
        </r>
      </text>
    </comment>
    <comment ref="CZ44" authorId="3">
      <text>
        <r>
          <rPr>
            <b/>
            <sz val="9"/>
            <rFont val="Tahoma"/>
            <family val="0"/>
          </rPr>
          <t>Umema:</t>
        </r>
        <r>
          <rPr>
            <sz val="9"/>
            <rFont val="Tahoma"/>
            <family val="0"/>
          </rPr>
          <t xml:space="preserve">
50% code reuse</t>
        </r>
      </text>
    </comment>
    <comment ref="ED44" authorId="3">
      <text>
        <r>
          <rPr>
            <b/>
            <sz val="9"/>
            <rFont val="Tahoma"/>
            <family val="2"/>
          </rPr>
          <t>Umema:</t>
        </r>
        <r>
          <rPr>
            <sz val="9"/>
            <rFont val="Tahoma"/>
            <family val="2"/>
          </rPr>
          <t xml:space="preserve">
25% shrinked</t>
        </r>
      </text>
    </comment>
    <comment ref="CZ49" authorId="3">
      <text>
        <r>
          <rPr>
            <b/>
            <sz val="9"/>
            <rFont val="Tahoma"/>
            <family val="0"/>
          </rPr>
          <t>Umema:</t>
        </r>
        <r>
          <rPr>
            <sz val="9"/>
            <rFont val="Tahoma"/>
            <family val="0"/>
          </rPr>
          <t xml:space="preserve">
60% code reuse</t>
        </r>
      </text>
    </comment>
    <comment ref="CZ58" authorId="3">
      <text>
        <r>
          <rPr>
            <b/>
            <sz val="9"/>
            <rFont val="Tahoma"/>
            <family val="2"/>
          </rPr>
          <t>Umema:</t>
        </r>
        <r>
          <rPr>
            <sz val="9"/>
            <rFont val="Tahoma"/>
            <family val="2"/>
          </rPr>
          <t xml:space="preserve">
75% code reuse</t>
        </r>
      </text>
    </comment>
    <comment ref="A45" authorId="3">
      <text>
        <r>
          <rPr>
            <b/>
            <sz val="9"/>
            <rFont val="Tahoma"/>
            <family val="0"/>
          </rPr>
          <t>Umema:</t>
        </r>
        <r>
          <rPr>
            <sz val="9"/>
            <rFont val="Tahoma"/>
            <family val="0"/>
          </rPr>
          <t xml:space="preserve">
System'sLtd</t>
        </r>
      </text>
    </comment>
    <comment ref="B45" authorId="3">
      <text>
        <r>
          <rPr>
            <b/>
            <sz val="9"/>
            <rFont val="Tahoma"/>
            <family val="0"/>
          </rPr>
          <t>Umema:</t>
        </r>
        <r>
          <rPr>
            <sz val="9"/>
            <rFont val="Tahoma"/>
            <family val="0"/>
          </rPr>
          <t xml:space="preserve">
System'sLtd</t>
        </r>
      </text>
    </comment>
    <comment ref="K45" authorId="3">
      <text>
        <r>
          <rPr>
            <b/>
            <sz val="9"/>
            <rFont val="Tahoma"/>
            <family val="2"/>
          </rPr>
          <t>Umema:</t>
        </r>
        <r>
          <rPr>
            <sz val="9"/>
            <rFont val="Tahoma"/>
            <family val="2"/>
          </rPr>
          <t xml:space="preserve">
230 UUCPs, FP=0.813 * 230 UCP, 186.99
UFP=0.815*230 UCP, 187.45, Avg = 187.22 FP. ASP.Net 69/FP,</t>
        </r>
      </text>
    </comment>
    <comment ref="Q45" authorId="3">
      <text>
        <r>
          <rPr>
            <b/>
            <sz val="9"/>
            <rFont val="Tahoma"/>
            <family val="2"/>
          </rPr>
          <t>Umema:</t>
        </r>
        <r>
          <rPr>
            <sz val="9"/>
            <rFont val="Tahoma"/>
            <family val="2"/>
          </rPr>
          <t xml:space="preserve">
230 UUCPs, FP=0.813 * 230 UCP, 186.99
UFP=0.815*230 UCP, 187.45, Avg = 187.22 FP. ASP.Net 69/FP,</t>
        </r>
      </text>
    </comment>
    <comment ref="U45" authorId="3">
      <text>
        <r>
          <rPr>
            <b/>
            <sz val="9"/>
            <rFont val="Tahoma"/>
            <family val="2"/>
          </rPr>
          <t>Umema:</t>
        </r>
        <r>
          <rPr>
            <sz val="9"/>
            <rFont val="Tahoma"/>
            <family val="2"/>
          </rPr>
          <t xml:space="preserve">
=0.4*2 + 0.3*5 + 0.3*1 =2.6</t>
        </r>
      </text>
    </comment>
    <comment ref="BC45" authorId="3">
      <text>
        <r>
          <rPr>
            <b/>
            <sz val="9"/>
            <rFont val="Tahoma"/>
            <family val="2"/>
          </rPr>
          <t>Umema:</t>
        </r>
        <r>
          <rPr>
            <sz val="9"/>
            <rFont val="Tahoma"/>
            <family val="2"/>
          </rPr>
          <t xml:space="preserve">
3.4
</t>
        </r>
      </text>
    </comment>
    <comment ref="BZ45" authorId="3">
      <text>
        <r>
          <rPr>
            <b/>
            <sz val="9"/>
            <rFont val="Tahoma"/>
            <family val="0"/>
          </rPr>
          <t>Umema:</t>
        </r>
        <r>
          <rPr>
            <sz val="9"/>
            <rFont val="Tahoma"/>
            <family val="0"/>
          </rPr>
          <t xml:space="preserve">
77% changes</t>
        </r>
      </text>
    </comment>
    <comment ref="DB45" authorId="3">
      <text>
        <r>
          <rPr>
            <b/>
            <sz val="9"/>
            <rFont val="Tahoma"/>
            <family val="2"/>
          </rPr>
          <t>Umema:</t>
        </r>
        <r>
          <rPr>
            <sz val="9"/>
            <rFont val="Tahoma"/>
            <family val="2"/>
          </rPr>
          <t xml:space="preserve">
VH</t>
        </r>
      </text>
    </comment>
    <comment ref="ED45" authorId="3">
      <text>
        <r>
          <rPr>
            <b/>
            <sz val="9"/>
            <rFont val="Tahoma"/>
            <family val="2"/>
          </rPr>
          <t>Umema:</t>
        </r>
        <r>
          <rPr>
            <sz val="9"/>
            <rFont val="Tahoma"/>
            <family val="2"/>
          </rPr>
          <t xml:space="preserve">
15% shrinked</t>
        </r>
      </text>
    </comment>
    <comment ref="EF45" authorId="3">
      <text>
        <r>
          <rPr>
            <b/>
            <sz val="9"/>
            <rFont val="Tahoma"/>
            <family val="2"/>
          </rPr>
          <t>Umema:</t>
        </r>
        <r>
          <rPr>
            <sz val="9"/>
            <rFont val="Tahoma"/>
            <family val="2"/>
          </rPr>
          <t xml:space="preserve">
30% extra budget given</t>
        </r>
      </text>
    </comment>
    <comment ref="A46" authorId="3">
      <text>
        <r>
          <rPr>
            <b/>
            <sz val="9"/>
            <rFont val="Tahoma"/>
            <family val="0"/>
          </rPr>
          <t>Umema:</t>
        </r>
        <r>
          <rPr>
            <sz val="9"/>
            <rFont val="Tahoma"/>
            <family val="0"/>
          </rPr>
          <t xml:space="preserve">
System'sLtd
</t>
        </r>
      </text>
    </comment>
    <comment ref="B46" authorId="3">
      <text>
        <r>
          <rPr>
            <b/>
            <sz val="9"/>
            <rFont val="Tahoma"/>
            <family val="0"/>
          </rPr>
          <t>Umema:</t>
        </r>
        <r>
          <rPr>
            <sz val="9"/>
            <rFont val="Tahoma"/>
            <family val="0"/>
          </rPr>
          <t xml:space="preserve">
System'sLtd
</t>
        </r>
      </text>
    </comment>
    <comment ref="J46" authorId="3">
      <text>
        <r>
          <rPr>
            <b/>
            <sz val="9"/>
            <rFont val="Tahoma"/>
            <family val="2"/>
          </rPr>
          <t>Umema:</t>
        </r>
        <r>
          <rPr>
            <sz val="9"/>
            <rFont val="Tahoma"/>
            <family val="2"/>
          </rPr>
          <t xml:space="preserve">
22D * 8Hr</t>
        </r>
      </text>
    </comment>
    <comment ref="K46" authorId="3">
      <text>
        <r>
          <rPr>
            <b/>
            <sz val="9"/>
            <rFont val="Tahoma"/>
            <family val="2"/>
          </rPr>
          <t>Umema:</t>
        </r>
        <r>
          <rPr>
            <sz val="9"/>
            <rFont val="Tahoma"/>
            <family val="2"/>
          </rPr>
          <t xml:space="preserve">
378 UUCPs, FP =0.813 * 378 UUCP, 307.314FP
UFP= 0.815*378 UUCP, 308.07, Avg = 307.692 FP. .Net 60 loc/FP,</t>
        </r>
      </text>
    </comment>
    <comment ref="M46" authorId="3">
      <text>
        <r>
          <rPr>
            <b/>
            <sz val="9"/>
            <rFont val="Tahoma"/>
            <family val="2"/>
          </rPr>
          <t>Umema:</t>
        </r>
        <r>
          <rPr>
            <sz val="9"/>
            <rFont val="Tahoma"/>
            <family val="2"/>
          </rPr>
          <t xml:space="preserve">
Total Code * Non Reused Code %
</t>
        </r>
      </text>
    </comment>
    <comment ref="Q46" authorId="3">
      <text>
        <r>
          <rPr>
            <b/>
            <sz val="9"/>
            <rFont val="Tahoma"/>
            <family val="2"/>
          </rPr>
          <t>Umema:</t>
        </r>
        <r>
          <rPr>
            <sz val="9"/>
            <rFont val="Tahoma"/>
            <family val="2"/>
          </rPr>
          <t xml:space="preserve">
378 UUCPs, FP =0.813 * 378 UUCP, 307.314FP
UFP= 0.815*378 UUCP, 308.07, Avg = 307.692 FP. .Net 60 loc/FP,</t>
        </r>
      </text>
    </comment>
    <comment ref="U46" authorId="3">
      <text>
        <r>
          <rPr>
            <b/>
            <sz val="9"/>
            <rFont val="Tahoma"/>
            <family val="2"/>
          </rPr>
          <t>Umema:</t>
        </r>
        <r>
          <rPr>
            <sz val="9"/>
            <rFont val="Tahoma"/>
            <family val="2"/>
          </rPr>
          <t xml:space="preserve">
=0.4*2 + 0.3*7 + 0.3*1 =3.2
</t>
        </r>
      </text>
    </comment>
    <comment ref="AX46" authorId="3">
      <text>
        <r>
          <rPr>
            <b/>
            <sz val="9"/>
            <rFont val="Tahoma"/>
            <family val="2"/>
          </rPr>
          <t>Umema:</t>
        </r>
        <r>
          <rPr>
            <sz val="9"/>
            <rFont val="Tahoma"/>
            <family val="2"/>
          </rPr>
          <t xml:space="preserve">
30%</t>
        </r>
      </text>
    </comment>
    <comment ref="BZ46" authorId="3">
      <text>
        <r>
          <rPr>
            <b/>
            <sz val="9"/>
            <rFont val="Tahoma"/>
            <family val="0"/>
          </rPr>
          <t>Umema:</t>
        </r>
        <r>
          <rPr>
            <sz val="9"/>
            <rFont val="Tahoma"/>
            <family val="0"/>
          </rPr>
          <t xml:space="preserve">
7.89% changes
</t>
        </r>
      </text>
    </comment>
    <comment ref="DB46" authorId="3">
      <text>
        <r>
          <rPr>
            <b/>
            <sz val="9"/>
            <rFont val="Tahoma"/>
            <family val="2"/>
          </rPr>
          <t>Umema:</t>
        </r>
        <r>
          <rPr>
            <sz val="9"/>
            <rFont val="Tahoma"/>
            <family val="2"/>
          </rPr>
          <t xml:space="preserve">
VH</t>
        </r>
      </text>
    </comment>
    <comment ref="DF46" authorId="3">
      <text>
        <r>
          <rPr>
            <b/>
            <sz val="9"/>
            <rFont val="Tahoma"/>
            <family val="2"/>
          </rPr>
          <t>Umema:</t>
        </r>
        <r>
          <rPr>
            <sz val="9"/>
            <rFont val="Tahoma"/>
            <family val="2"/>
          </rPr>
          <t xml:space="preserve">
I don’t know</t>
        </r>
      </text>
    </comment>
    <comment ref="DH46" authorId="3">
      <text>
        <r>
          <rPr>
            <b/>
            <sz val="9"/>
            <rFont val="Tahoma"/>
            <family val="2"/>
          </rPr>
          <t>Umema:</t>
        </r>
        <r>
          <rPr>
            <sz val="9"/>
            <rFont val="Tahoma"/>
            <family val="2"/>
          </rPr>
          <t xml:space="preserve">
I don’t know</t>
        </r>
      </text>
    </comment>
    <comment ref="ED46" authorId="3">
      <text>
        <r>
          <rPr>
            <b/>
            <sz val="9"/>
            <rFont val="Tahoma"/>
            <family val="2"/>
          </rPr>
          <t>Umema:</t>
        </r>
        <r>
          <rPr>
            <sz val="9"/>
            <rFont val="Tahoma"/>
            <family val="2"/>
          </rPr>
          <t xml:space="preserve">
100% as it is</t>
        </r>
      </text>
    </comment>
    <comment ref="EF46" authorId="3">
      <text>
        <r>
          <rPr>
            <b/>
            <sz val="9"/>
            <rFont val="Tahoma"/>
            <family val="2"/>
          </rPr>
          <t>Umema:</t>
        </r>
        <r>
          <rPr>
            <sz val="9"/>
            <rFont val="Tahoma"/>
            <family val="2"/>
          </rPr>
          <t xml:space="preserve">
I don’t know</t>
        </r>
      </text>
    </comment>
    <comment ref="H1" authorId="5">
      <text>
        <r>
          <rPr>
            <b/>
            <sz val="9"/>
            <rFont val="Tahoma"/>
            <family val="2"/>
          </rPr>
          <t>Umema Hani:</t>
        </r>
        <r>
          <rPr>
            <sz val="9"/>
            <rFont val="Tahoma"/>
            <family val="2"/>
          </rPr>
          <t xml:space="preserve">
Later will be calculated using COCOMO-II model</t>
        </r>
      </text>
    </comment>
    <comment ref="A47" authorId="3">
      <text>
        <r>
          <rPr>
            <b/>
            <sz val="9"/>
            <rFont val="Tahoma"/>
            <family val="0"/>
          </rPr>
          <t>Umema:</t>
        </r>
        <r>
          <rPr>
            <sz val="9"/>
            <rFont val="Tahoma"/>
            <family val="0"/>
          </rPr>
          <t xml:space="preserve">
System'sLtd</t>
        </r>
      </text>
    </comment>
    <comment ref="B47" authorId="3">
      <text>
        <r>
          <rPr>
            <b/>
            <sz val="9"/>
            <rFont val="Tahoma"/>
            <family val="0"/>
          </rPr>
          <t>Umema:</t>
        </r>
        <r>
          <rPr>
            <sz val="9"/>
            <rFont val="Tahoma"/>
            <family val="0"/>
          </rPr>
          <t xml:space="preserve">
System'sLtd</t>
        </r>
      </text>
    </comment>
    <comment ref="K47" authorId="3">
      <text>
        <r>
          <rPr>
            <b/>
            <sz val="9"/>
            <rFont val="Tahoma"/>
            <family val="2"/>
          </rPr>
          <t>Umema:</t>
        </r>
        <r>
          <rPr>
            <sz val="9"/>
            <rFont val="Tahoma"/>
            <family val="2"/>
          </rPr>
          <t xml:space="preserve">
230 UUCPs, FP=0.813 * 230 UCP, 186.99
UFP=0.815*230 UCP, 187.45, Avg = 187.22 FP. ASP.Net 69/FP,</t>
        </r>
      </text>
    </comment>
    <comment ref="Q47" authorId="3">
      <text>
        <r>
          <rPr>
            <b/>
            <sz val="9"/>
            <rFont val="Tahoma"/>
            <family val="2"/>
          </rPr>
          <t>Umema:</t>
        </r>
        <r>
          <rPr>
            <sz val="9"/>
            <rFont val="Tahoma"/>
            <family val="2"/>
          </rPr>
          <t xml:space="preserve">
230 UUCPs, FP=0.813 * 230 UCP, 186.99
UFP=0.815*230 UCP, 187.45, Avg = 187.22 FP. ASP.Net 69/FP,</t>
        </r>
      </text>
    </comment>
    <comment ref="U47" authorId="3">
      <text>
        <r>
          <rPr>
            <b/>
            <sz val="9"/>
            <rFont val="Tahoma"/>
            <family val="2"/>
          </rPr>
          <t>Umema:</t>
        </r>
        <r>
          <rPr>
            <sz val="9"/>
            <rFont val="Tahoma"/>
            <family val="2"/>
          </rPr>
          <t xml:space="preserve">
=0.4*2 + 0.3*5 + 0.3*1 =2.6</t>
        </r>
      </text>
    </comment>
    <comment ref="BC47" authorId="3">
      <text>
        <r>
          <rPr>
            <b/>
            <sz val="9"/>
            <rFont val="Tahoma"/>
            <family val="2"/>
          </rPr>
          <t>Umema:</t>
        </r>
        <r>
          <rPr>
            <sz val="9"/>
            <rFont val="Tahoma"/>
            <family val="2"/>
          </rPr>
          <t xml:space="preserve">
3.4
</t>
        </r>
      </text>
    </comment>
    <comment ref="BZ47" authorId="3">
      <text>
        <r>
          <rPr>
            <b/>
            <sz val="9"/>
            <rFont val="Tahoma"/>
            <family val="0"/>
          </rPr>
          <t>Umema:</t>
        </r>
        <r>
          <rPr>
            <sz val="9"/>
            <rFont val="Tahoma"/>
            <family val="0"/>
          </rPr>
          <t xml:space="preserve">
77% changes</t>
        </r>
      </text>
    </comment>
    <comment ref="DB47" authorId="3">
      <text>
        <r>
          <rPr>
            <b/>
            <sz val="9"/>
            <rFont val="Tahoma"/>
            <family val="2"/>
          </rPr>
          <t>Umema:</t>
        </r>
        <r>
          <rPr>
            <sz val="9"/>
            <rFont val="Tahoma"/>
            <family val="2"/>
          </rPr>
          <t xml:space="preserve">
VH</t>
        </r>
      </text>
    </comment>
    <comment ref="ED47" authorId="3">
      <text>
        <r>
          <rPr>
            <b/>
            <sz val="9"/>
            <rFont val="Tahoma"/>
            <family val="2"/>
          </rPr>
          <t>Umema:</t>
        </r>
        <r>
          <rPr>
            <sz val="9"/>
            <rFont val="Tahoma"/>
            <family val="2"/>
          </rPr>
          <t xml:space="preserve">
15% shrinked</t>
        </r>
      </text>
    </comment>
    <comment ref="EF47" authorId="3">
      <text>
        <r>
          <rPr>
            <b/>
            <sz val="9"/>
            <rFont val="Tahoma"/>
            <family val="2"/>
          </rPr>
          <t>Umema:</t>
        </r>
        <r>
          <rPr>
            <sz val="9"/>
            <rFont val="Tahoma"/>
            <family val="2"/>
          </rPr>
          <t xml:space="preserve">
30% extra budget given</t>
        </r>
      </text>
    </comment>
    <comment ref="AX53" authorId="3">
      <text>
        <r>
          <rPr>
            <b/>
            <sz val="9"/>
            <rFont val="Tahoma"/>
            <family val="2"/>
          </rPr>
          <t>Umema:</t>
        </r>
        <r>
          <rPr>
            <sz val="9"/>
            <rFont val="Tahoma"/>
            <family val="2"/>
          </rPr>
          <t xml:space="preserve">
60%</t>
        </r>
      </text>
    </comment>
    <comment ref="CZ53" authorId="3">
      <text>
        <r>
          <rPr>
            <b/>
            <sz val="9"/>
            <rFont val="Tahoma"/>
            <family val="0"/>
          </rPr>
          <t>Umema:</t>
        </r>
        <r>
          <rPr>
            <sz val="9"/>
            <rFont val="Tahoma"/>
            <family val="0"/>
          </rPr>
          <t xml:space="preserve">
60% code reuse</t>
        </r>
      </text>
    </comment>
    <comment ref="CA2" authorId="5">
      <text>
        <r>
          <rPr>
            <b/>
            <sz val="9"/>
            <rFont val="Tahoma"/>
            <family val="2"/>
          </rPr>
          <t>Umema Hani:</t>
        </r>
        <r>
          <rPr>
            <sz val="9"/>
            <rFont val="Tahoma"/>
            <family val="2"/>
          </rPr>
          <t xml:space="preserve">
low maturity org do not maintain EVA</t>
        </r>
      </text>
    </comment>
    <comment ref="CB2" authorId="5">
      <text>
        <r>
          <rPr>
            <b/>
            <sz val="9"/>
            <rFont val="Tahoma"/>
            <family val="2"/>
          </rPr>
          <t>Umema Hani:</t>
        </r>
        <r>
          <rPr>
            <sz val="9"/>
            <rFont val="Tahoma"/>
            <family val="2"/>
          </rPr>
          <t xml:space="preserve">
low maturity org do not maintain EVA</t>
        </r>
      </text>
    </comment>
  </commentList>
</comments>
</file>

<file path=xl/comments2.xml><?xml version="1.0" encoding="utf-8"?>
<comments xmlns="http://schemas.openxmlformats.org/spreadsheetml/2006/main">
  <authors>
    <author>zeeshanmi</author>
    <author>umema</author>
  </authors>
  <commentList>
    <comment ref="S3" authorId="0">
      <text>
        <r>
          <rPr>
            <b/>
            <sz val="8"/>
            <rFont val="Tahoma"/>
            <family val="2"/>
          </rPr>
          <t>zeeshanmi:</t>
        </r>
        <r>
          <rPr>
            <sz val="8"/>
            <rFont val="Tahoma"/>
            <family val="2"/>
          </rPr>
          <t xml:space="preserve">
50 to 75%
</t>
        </r>
      </text>
    </comment>
    <comment ref="R5" authorId="0">
      <text>
        <r>
          <rPr>
            <sz val="8"/>
            <rFont val="Tahoma"/>
            <family val="2"/>
          </rPr>
          <t xml:space="preserve">wideband
</t>
        </r>
      </text>
    </comment>
    <comment ref="S5" authorId="0">
      <text>
        <r>
          <rPr>
            <b/>
            <sz val="8"/>
            <rFont val="Tahoma"/>
            <family val="2"/>
          </rPr>
          <t>zeeshanmi:</t>
        </r>
        <r>
          <rPr>
            <sz val="8"/>
            <rFont val="Tahoma"/>
            <family val="2"/>
          </rPr>
          <t xml:space="preserve">
Normal </t>
        </r>
      </text>
    </comment>
    <comment ref="R6" authorId="0">
      <text>
        <r>
          <rPr>
            <sz val="8"/>
            <rFont val="Tahoma"/>
            <family val="2"/>
          </rPr>
          <t xml:space="preserve">Just chatting
</t>
        </r>
      </text>
    </comment>
    <comment ref="R8" authorId="0">
      <text>
        <r>
          <rPr>
            <b/>
            <sz val="8"/>
            <rFont val="Tahoma"/>
            <family val="2"/>
          </rPr>
          <t>zeeshanmi:</t>
        </r>
        <r>
          <rPr>
            <sz val="8"/>
            <rFont val="Tahoma"/>
            <family val="2"/>
          </rPr>
          <t xml:space="preserve">
Client visit
different cities</t>
        </r>
      </text>
    </comment>
    <comment ref="G1" authorId="1">
      <text>
        <r>
          <rPr>
            <b/>
            <sz val="8"/>
            <rFont val="Tahoma"/>
            <family val="2"/>
          </rPr>
          <t>umema:</t>
        </r>
        <r>
          <rPr>
            <sz val="8"/>
            <rFont val="Tahoma"/>
            <family val="2"/>
          </rPr>
          <t xml:space="preserve">
Only mark Level if its all Goals have been Institutionalized. In case of ISO ranking ignore this Field.</t>
        </r>
      </text>
    </comment>
  </commentList>
</comments>
</file>

<file path=xl/sharedStrings.xml><?xml version="1.0" encoding="utf-8"?>
<sst xmlns="http://schemas.openxmlformats.org/spreadsheetml/2006/main" count="2676" uniqueCount="451">
  <si>
    <t>Total Effort in Hour (Planned Value)</t>
  </si>
  <si>
    <t>Almost Always</t>
  </si>
  <si>
    <t>(S)</t>
  </si>
  <si>
    <t>(U/NR)</t>
  </si>
  <si>
    <t>(NR)</t>
  </si>
  <si>
    <t>(NA)</t>
  </si>
  <si>
    <t>Don’t Know</t>
  </si>
  <si>
    <t xml:space="preserve"># of Working Hours in One Month </t>
  </si>
  <si>
    <t>Very Often</t>
  </si>
  <si>
    <t>About Half</t>
  </si>
  <si>
    <t>Some Times</t>
  </si>
  <si>
    <t>Rarely If Ever</t>
  </si>
  <si>
    <t>Process Areas CMMI</t>
  </si>
  <si>
    <t>Continious PI</t>
  </si>
  <si>
    <t>Product and Process Quality</t>
  </si>
  <si>
    <t>Competent People and Heroics</t>
  </si>
  <si>
    <t>Level 1: Initial</t>
  </si>
  <si>
    <t>Level 2: Repeatable</t>
  </si>
  <si>
    <t>Level 4: Quantitatively Managed</t>
  </si>
  <si>
    <t>Level 5: Optimizing</t>
  </si>
  <si>
    <t>KPA CMM-SW</t>
  </si>
  <si>
    <t>21: OEI (v1.1): Organizational Environment for Integration</t>
  </si>
  <si>
    <t>Process Standardization / Engineering Processes and Organizational Support</t>
  </si>
  <si>
    <t>Basic Project Management Processes</t>
  </si>
  <si>
    <t>Does Not Apply</t>
  </si>
  <si>
    <r>
      <t>S:</t>
    </r>
    <r>
      <rPr>
        <sz val="10"/>
        <rFont val="Times New Roman"/>
        <family val="1"/>
      </rPr>
      <t xml:space="preserve"> </t>
    </r>
    <r>
      <rPr>
        <b/>
        <sz val="10"/>
        <rFont val="Times New Roman"/>
        <family val="1"/>
      </rPr>
      <t xml:space="preserve">Almost Always (over 90% of the time): </t>
    </r>
    <r>
      <rPr>
        <sz val="10"/>
        <rFont val="Times New Roman"/>
        <family val="1"/>
      </rPr>
      <t>when the goals are consistently achieved and are well established in standard operating procedures.</t>
    </r>
  </si>
  <si>
    <r>
      <t>U/NR:</t>
    </r>
    <r>
      <rPr>
        <sz val="10"/>
        <rFont val="Times New Roman"/>
        <family val="1"/>
      </rPr>
      <t xml:space="preserve"> </t>
    </r>
    <r>
      <rPr>
        <b/>
        <sz val="10"/>
        <rFont val="Times New Roman"/>
        <family val="1"/>
      </rPr>
      <t>Frequently (about 60 to 90% of the time):</t>
    </r>
    <r>
      <rPr>
        <sz val="10"/>
        <rFont val="Times New Roman"/>
        <family val="1"/>
      </rPr>
      <t xml:space="preserve"> when the goals are achieved relatively often, but sometimes are omitted under difficult circumstances.</t>
    </r>
  </si>
  <si>
    <r>
      <t xml:space="preserve">NR: About Half (about 40 to 60% of the time): </t>
    </r>
    <r>
      <rPr>
        <sz val="10"/>
        <rFont val="Times New Roman"/>
        <family val="1"/>
      </rPr>
      <t>when the goals are achieved about half of the time.</t>
    </r>
  </si>
  <si>
    <r>
      <t>NR: Occasionally (about 10 to 40% of the time):</t>
    </r>
    <r>
      <rPr>
        <sz val="10"/>
        <rFont val="Times New Roman"/>
        <family val="1"/>
      </rPr>
      <t xml:space="preserve"> when the goals are sometimes achieved, but less often.</t>
    </r>
  </si>
  <si>
    <r>
      <t>NR: Rarely If Ever (less than 10% of the time):</t>
    </r>
    <r>
      <rPr>
        <sz val="10"/>
        <rFont val="Times New Roman"/>
        <family val="1"/>
      </rPr>
      <t xml:space="preserve"> when the goals are rarely if ever achieved.</t>
    </r>
  </si>
  <si>
    <r>
      <t>NA:</t>
    </r>
    <r>
      <rPr>
        <sz val="10"/>
        <rFont val="Times New Roman"/>
        <family val="1"/>
      </rPr>
      <t xml:space="preserve"> </t>
    </r>
    <r>
      <rPr>
        <b/>
        <sz val="10"/>
        <rFont val="Times New Roman"/>
        <family val="1"/>
      </rPr>
      <t>Does Not Apply:</t>
    </r>
    <r>
      <rPr>
        <sz val="10"/>
        <rFont val="Times New Roman"/>
        <family val="1"/>
      </rPr>
      <t xml:space="preserve"> when you have the required knowledge about your project or organization and the KPA, but you feel the KPA does not apply to your circumstances (e.g. Subcontract Management).</t>
    </r>
  </si>
  <si>
    <r>
      <t>NR: Don't Know:</t>
    </r>
    <r>
      <rPr>
        <sz val="10"/>
        <rFont val="Times New Roman"/>
        <family val="1"/>
      </rPr>
      <t xml:space="preserve"> when you are uncertain about how to respond for the KPA.</t>
    </r>
  </si>
  <si>
    <t>18: IT(v1.1): Integrated Team</t>
  </si>
  <si>
    <t>19: ISM (v1.1): Integrated Service Management</t>
  </si>
  <si>
    <t>&gt; 90%</t>
  </si>
  <si>
    <t>60 to 90%</t>
  </si>
  <si>
    <t>40 to 60%</t>
  </si>
  <si>
    <t>10 to 40%</t>
  </si>
  <si>
    <t>&lt; 10%</t>
  </si>
  <si>
    <t>Level 3: Defind</t>
  </si>
  <si>
    <t>iterative Waterfall Model</t>
  </si>
  <si>
    <t>Command and Control</t>
  </si>
  <si>
    <t>EH</t>
  </si>
  <si>
    <t>L</t>
  </si>
  <si>
    <t>N</t>
  </si>
  <si>
    <t>VH</t>
  </si>
  <si>
    <t>VL</t>
  </si>
  <si>
    <t>H</t>
  </si>
  <si>
    <t>ML 3</t>
  </si>
  <si>
    <t>Supply/ Demand</t>
  </si>
  <si>
    <t>Incremental</t>
  </si>
  <si>
    <t>Business Application</t>
  </si>
  <si>
    <t>Waterfall with Feedback Loop</t>
  </si>
  <si>
    <t>Prototype</t>
  </si>
  <si>
    <t>Financial</t>
  </si>
  <si>
    <t>ML 5.</t>
  </si>
  <si>
    <t>Total Effort in Hours (Actual Value) 1</t>
  </si>
  <si>
    <t>Software Size (PU | UUCP | Funtion Points)</t>
  </si>
  <si>
    <t>None</t>
  </si>
  <si>
    <t>none ---&gt; towards ISO</t>
  </si>
  <si>
    <t>none</t>
  </si>
  <si>
    <t>ISO</t>
  </si>
  <si>
    <t>ISO --&gt; towards CMMI</t>
  </si>
  <si>
    <t xml:space="preserve">ISO 1 yr </t>
  </si>
  <si>
    <t>ISO 1 year</t>
  </si>
  <si>
    <t xml:space="preserve">none </t>
  </si>
  <si>
    <t xml:space="preserve">ISO --&gt; towards CMMI </t>
  </si>
  <si>
    <t>iso 3 yr</t>
  </si>
  <si>
    <t>iso 1 yr</t>
  </si>
  <si>
    <t>ISO 2  yrs 2004 sept</t>
  </si>
  <si>
    <t># of Post-Release or Delivered Defects in Code Identified by Customer</t>
  </si>
  <si>
    <t>0. PROCESS COMPLIANCE: Your Organization's Process Maturity Ranking at the time of attempting  individual Software Development Project</t>
  </si>
  <si>
    <t>Assessment and Assimilation needed = AA Inc</t>
  </si>
  <si>
    <t>3 degree modification in Design, Code and Integration = AAF</t>
  </si>
  <si>
    <t>Automatically Translated Code = ATC=(1-(AT/100))</t>
  </si>
  <si>
    <t>2. INTRO: Type of Project</t>
  </si>
  <si>
    <t>4. INTRO: Software Development Life Cycle (SDLC) being used</t>
  </si>
  <si>
    <t>5. Process Efficiency: Project Duration, CycleTime, Time to Market, Elapsed Time (Actual Value) in Hours</t>
  </si>
  <si>
    <t>6. Process Efficiency:  Project Duration, CycleTime, Time to Market, Elapsed Time (Planned Value) in Hours</t>
  </si>
  <si>
    <t>Non Reused Code Size</t>
  </si>
  <si>
    <t>Reused Code Size</t>
  </si>
  <si>
    <t>Adaptation Adjustment Modifier = AAM= [AA + AAF + (0.02*SU*UNFM)] /100</t>
  </si>
  <si>
    <r>
      <t xml:space="preserve">08: RD: Requirement Development </t>
    </r>
    <r>
      <rPr>
        <b/>
        <sz val="8"/>
        <rFont val="Verdana"/>
        <family val="2"/>
      </rPr>
      <t>EngMng</t>
    </r>
  </si>
  <si>
    <r>
      <t xml:space="preserve">09: TS: Technical Solution </t>
    </r>
    <r>
      <rPr>
        <b/>
        <sz val="8"/>
        <rFont val="Verdana"/>
        <family val="2"/>
      </rPr>
      <t>EngMng</t>
    </r>
  </si>
  <si>
    <r>
      <t xml:space="preserve">23: QPM: Quantitative Project Management </t>
    </r>
    <r>
      <rPr>
        <b/>
        <sz val="8"/>
        <rFont val="Verdana"/>
        <family val="2"/>
      </rPr>
      <t>ProjMng</t>
    </r>
  </si>
  <si>
    <r>
      <t>17: RSKM: Risk Management</t>
    </r>
    <r>
      <rPr>
        <b/>
        <sz val="8"/>
        <rFont val="Verdana"/>
        <family val="2"/>
      </rPr>
      <t xml:space="preserve"> ProjMng</t>
    </r>
  </si>
  <si>
    <r>
      <t xml:space="preserve">22: OPP: Organizational Process Performance </t>
    </r>
    <r>
      <rPr>
        <b/>
        <sz val="8"/>
        <rFont val="Verdana"/>
        <family val="2"/>
      </rPr>
      <t>ProMng</t>
    </r>
  </si>
  <si>
    <r>
      <t xml:space="preserve">05: MA: Measurement and Analysis </t>
    </r>
    <r>
      <rPr>
        <b/>
        <sz val="8"/>
        <rFont val="Verdana"/>
        <family val="2"/>
      </rPr>
      <t>Support</t>
    </r>
  </si>
  <si>
    <t>Level 4</t>
  </si>
  <si>
    <t>Level 5</t>
  </si>
  <si>
    <t>Level 3</t>
  </si>
  <si>
    <t>Level 2</t>
  </si>
  <si>
    <t>ML 5. ISO</t>
  </si>
  <si>
    <t>ML 5, ISO</t>
  </si>
  <si>
    <t>CMMI2 1 yrs 2008</t>
  </si>
  <si>
    <t xml:space="preserve">Total  Software Size LOC (Reused + Non Reused) </t>
  </si>
  <si>
    <t xml:space="preserve">8. Final Equivalent Software Size LOC </t>
  </si>
  <si>
    <r>
      <t xml:space="preserve"> Maintenance Code Size: Software Understanding Increment (</t>
    </r>
    <r>
      <rPr>
        <b/>
        <sz val="10"/>
        <rFont val="Verdana"/>
        <family val="2"/>
      </rPr>
      <t xml:space="preserve">SU) </t>
    </r>
  </si>
  <si>
    <r>
      <t xml:space="preserve">Maintenance Code Size: Programmer Unfamiliarity </t>
    </r>
    <r>
      <rPr>
        <b/>
        <sz val="10"/>
        <rFont val="Verdana"/>
        <family val="2"/>
      </rPr>
      <t>(UNFM)</t>
    </r>
  </si>
  <si>
    <r>
      <t>Maintenance Code Size: Software Understanding Increment (</t>
    </r>
    <r>
      <rPr>
        <b/>
        <sz val="10"/>
        <rFont val="Verdana"/>
        <family val="2"/>
      </rPr>
      <t xml:space="preserve">SU) </t>
    </r>
  </si>
  <si>
    <t xml:space="preserve">Reused Code = % of reused code * Software Size </t>
  </si>
  <si>
    <r>
      <t xml:space="preserve">12. Adjusted Equivalent Maintenance Code Size </t>
    </r>
    <r>
      <rPr>
        <sz val="10"/>
        <rFont val="Verdana"/>
        <family val="2"/>
      </rPr>
      <t xml:space="preserve"> = Base Code Size * (Code Added and Modified/Base Code Size) * [1+(SU/100)* UNFM]</t>
    </r>
  </si>
  <si>
    <t>13. Product Unit Price in $ (Actual Cost) = Effort Actual * Avg Salary per hour</t>
  </si>
  <si>
    <t>14. Product Unit Price in $ (Planned Cost) = Effort Actual * Avg Salary per hour</t>
  </si>
  <si>
    <t>16. Avg. Salary Drawn by a Technical personnel per hour in $</t>
  </si>
  <si>
    <t>17.  Men Power: Team Size | Number of Technical people worked for project  (ACTUAL)</t>
  </si>
  <si>
    <t>20. Total Effort in Hours (Actual Value)</t>
  </si>
  <si>
    <t>21. Total Effort in Hour (Planned Value)</t>
  </si>
  <si>
    <r>
      <t xml:space="preserve">24. Effort Distribution: Percentage of Effort spent in </t>
    </r>
    <r>
      <rPr>
        <b/>
        <sz val="10"/>
        <rFont val="Verdana"/>
        <family val="2"/>
      </rPr>
      <t>Training,</t>
    </r>
    <r>
      <rPr>
        <sz val="10"/>
        <rFont val="Verdana"/>
        <family val="2"/>
      </rPr>
      <t xml:space="preserve"> out of Total Effort [14]</t>
    </r>
  </si>
  <si>
    <r>
      <t xml:space="preserve">25. Effort Distribution: Percentage of Effort spent in </t>
    </r>
    <r>
      <rPr>
        <b/>
        <sz val="10"/>
        <rFont val="Verdana"/>
        <family val="2"/>
      </rPr>
      <t>Testing,</t>
    </r>
    <r>
      <rPr>
        <sz val="10"/>
        <rFont val="Verdana"/>
        <family val="2"/>
      </rPr>
      <t xml:space="preserve"> out of Total Effort [14]</t>
    </r>
  </si>
  <si>
    <r>
      <t xml:space="preserve">26. Effort Distribution: Percentage of Effort spent in conducting </t>
    </r>
    <r>
      <rPr>
        <b/>
        <sz val="10"/>
        <rFont val="Verdana"/>
        <family val="2"/>
      </rPr>
      <t>Peer Reviews</t>
    </r>
    <r>
      <rPr>
        <sz val="10"/>
        <rFont val="Verdana"/>
        <family val="2"/>
      </rPr>
      <t>, out of Total Effort  [14]</t>
    </r>
  </si>
  <si>
    <r>
      <t xml:space="preserve">27. Effort Distribution: Percentage of Effort spent in </t>
    </r>
    <r>
      <rPr>
        <b/>
        <sz val="10"/>
        <rFont val="Verdana"/>
        <family val="2"/>
      </rPr>
      <t>Team Meetings</t>
    </r>
    <r>
      <rPr>
        <sz val="10"/>
        <rFont val="Verdana"/>
        <family val="2"/>
      </rPr>
      <t>, out of Total Effort  [14]</t>
    </r>
  </si>
  <si>
    <r>
      <t xml:space="preserve">28. Effort Distribution: Percentage of Effort spent in </t>
    </r>
    <r>
      <rPr>
        <b/>
        <sz val="10"/>
        <rFont val="Verdana"/>
        <family val="2"/>
      </rPr>
      <t>Rework</t>
    </r>
    <r>
      <rPr>
        <sz val="10"/>
        <rFont val="Verdana"/>
        <family val="2"/>
      </rPr>
      <t xml:space="preserve"> out of total Effort [14]</t>
    </r>
  </si>
  <si>
    <r>
      <rPr>
        <b/>
        <sz val="10"/>
        <rFont val="Verdana"/>
        <family val="2"/>
      </rPr>
      <t>29. Process Efficiency:</t>
    </r>
    <r>
      <rPr>
        <sz val="10"/>
        <rFont val="Verdana"/>
        <family val="2"/>
      </rPr>
      <t xml:space="preserve"> Productivity = Output/Input = Code LOC/ Effort person hours</t>
    </r>
  </si>
  <si>
    <r>
      <t xml:space="preserve">46. Product Compliance: # of Functional </t>
    </r>
    <r>
      <rPr>
        <b/>
        <sz val="10"/>
        <rFont val="Verdana"/>
        <family val="2"/>
      </rPr>
      <t>Requirements Demanded</t>
    </r>
    <r>
      <rPr>
        <sz val="10"/>
        <rFont val="Verdana"/>
        <family val="2"/>
      </rPr>
      <t xml:space="preserve"> by Customer, Signed off in SRS</t>
    </r>
  </si>
  <si>
    <r>
      <t xml:space="preserve">47.   Product Compliance:  # of Functional </t>
    </r>
    <r>
      <rPr>
        <b/>
        <sz val="10"/>
        <rFont val="Verdana"/>
        <family val="2"/>
      </rPr>
      <t>Requirements Delivered</t>
    </r>
    <r>
      <rPr>
        <sz val="10"/>
        <rFont val="Verdana"/>
        <family val="2"/>
      </rPr>
      <t xml:space="preserve"> to Customer, out of signed off requirements [36]</t>
    </r>
  </si>
  <si>
    <r>
      <t xml:space="preserve">49. Product Stability: # of Functional </t>
    </r>
    <r>
      <rPr>
        <b/>
        <sz val="10"/>
        <rFont val="Verdana"/>
        <family val="2"/>
      </rPr>
      <t>Requirements</t>
    </r>
    <r>
      <rPr>
        <sz val="10"/>
        <rFont val="Verdana"/>
        <family val="2"/>
      </rPr>
      <t xml:space="preserve"> </t>
    </r>
    <r>
      <rPr>
        <b/>
        <sz val="10"/>
        <rFont val="Verdana"/>
        <family val="2"/>
      </rPr>
      <t>Changed</t>
    </r>
    <r>
      <rPr>
        <sz val="10"/>
        <rFont val="Verdana"/>
        <family val="2"/>
      </rPr>
      <t xml:space="preserve"> (Added or Deleted) after once SRS get signed off</t>
    </r>
  </si>
  <si>
    <r>
      <t>50. Product Stability:</t>
    </r>
    <r>
      <rPr>
        <b/>
        <sz val="10"/>
        <rFont val="Verdana"/>
        <family val="2"/>
      </rPr>
      <t xml:space="preserve"> Requirement Volitality</t>
    </r>
    <r>
      <rPr>
        <sz val="10"/>
        <rFont val="Verdana"/>
        <family val="2"/>
      </rPr>
      <t>= # of Functional Requirements Changed / # of Functional Requirements Demanded</t>
    </r>
  </si>
  <si>
    <t>52. Usibility: Operator Error</t>
  </si>
  <si>
    <t xml:space="preserve">53.Usibility:  Percent Comfortability of Operator in Operating Computer </t>
  </si>
  <si>
    <r>
      <t xml:space="preserve">54. Reliability: </t>
    </r>
    <r>
      <rPr>
        <b/>
        <sz val="10"/>
        <rFont val="Verdana"/>
        <family val="2"/>
      </rPr>
      <t>Mean Time to Failure</t>
    </r>
    <r>
      <rPr>
        <sz val="10"/>
        <rFont val="Verdana"/>
        <family val="2"/>
      </rPr>
      <t xml:space="preserve"> (Failure Time), (Hours)</t>
    </r>
  </si>
  <si>
    <r>
      <t xml:space="preserve">55. Maintainability: </t>
    </r>
    <r>
      <rPr>
        <b/>
        <sz val="10"/>
        <rFont val="Verdana"/>
        <family val="2"/>
      </rPr>
      <t>Mean Time to Restore from Failure,</t>
    </r>
    <r>
      <rPr>
        <sz val="10"/>
        <rFont val="Verdana"/>
        <family val="2"/>
      </rPr>
      <t xml:space="preserve"> Installation Time (Hours)</t>
    </r>
  </si>
  <si>
    <r>
      <rPr>
        <sz val="10"/>
        <rFont val="Verdana"/>
        <family val="2"/>
      </rPr>
      <t xml:space="preserve">56. </t>
    </r>
    <r>
      <rPr>
        <b/>
        <sz val="10"/>
        <rFont val="Verdana"/>
        <family val="2"/>
      </rPr>
      <t>Mean Time Between Failure</t>
    </r>
    <r>
      <rPr>
        <sz val="10"/>
        <rFont val="Verdana"/>
        <family val="2"/>
      </rPr>
      <t xml:space="preserve"> in hours</t>
    </r>
  </si>
  <si>
    <r>
      <t xml:space="preserve">57. Risks:  </t>
    </r>
    <r>
      <rPr>
        <b/>
        <sz val="10"/>
        <rFont val="Verdana"/>
        <family val="2"/>
      </rPr>
      <t># of times  Evaluated Potential Risks</t>
    </r>
    <r>
      <rPr>
        <sz val="10"/>
        <rFont val="Verdana"/>
        <family val="2"/>
      </rPr>
      <t xml:space="preserve"> during project lifecycle</t>
    </r>
  </si>
  <si>
    <t xml:space="preserve">7. Schedule Variance, Project Delays, Ahead of Schedule = (A - P)/A, - Over est, </t>
  </si>
  <si>
    <t xml:space="preserve">19. Men Power Variance, Prediction Accuracy = (A - P) / A </t>
  </si>
  <si>
    <t>22. Effort Variance, Prediction Accuracy = (A-P)/A</t>
  </si>
  <si>
    <r>
      <t xml:space="preserve">31. Functional Correctness:  # of </t>
    </r>
    <r>
      <rPr>
        <b/>
        <sz val="10"/>
        <color indexed="9"/>
        <rFont val="Verdana"/>
        <family val="2"/>
      </rPr>
      <t>Defects Removed</t>
    </r>
    <r>
      <rPr>
        <sz val="10"/>
        <color indexed="9"/>
        <rFont val="Verdana"/>
        <family val="2"/>
      </rPr>
      <t xml:space="preserve"> from the identifed ones in [23]</t>
    </r>
  </si>
  <si>
    <r>
      <t>33.  Process Effectiveness:Functional Correctness:  # of</t>
    </r>
    <r>
      <rPr>
        <b/>
        <sz val="10"/>
        <color indexed="9"/>
        <rFont val="Verdana"/>
        <family val="2"/>
      </rPr>
      <t xml:space="preserve"> Defects Identified in (Code)</t>
    </r>
    <r>
      <rPr>
        <sz val="10"/>
        <color indexed="9"/>
        <rFont val="Verdana"/>
        <family val="2"/>
      </rPr>
      <t xml:space="preserve">  by internal QA or Inspection</t>
    </r>
  </si>
  <si>
    <r>
      <t xml:space="preserve">34. Functional Correctness:  # of </t>
    </r>
    <r>
      <rPr>
        <b/>
        <sz val="10"/>
        <color indexed="9"/>
        <rFont val="Verdana"/>
        <family val="2"/>
      </rPr>
      <t>Defects Removed</t>
    </r>
    <r>
      <rPr>
        <sz val="10"/>
        <color indexed="9"/>
        <rFont val="Verdana"/>
        <family val="2"/>
      </rPr>
      <t xml:space="preserve"> from the identifed ones in [26]</t>
    </r>
  </si>
  <si>
    <r>
      <t>36.  Process Effectiveness:Functional Correctness: # of</t>
    </r>
    <r>
      <rPr>
        <b/>
        <sz val="10"/>
        <color indexed="9"/>
        <rFont val="Verdana"/>
        <family val="2"/>
      </rPr>
      <t xml:space="preserve"> Defects Identified in (Design and Architecture)</t>
    </r>
    <r>
      <rPr>
        <sz val="10"/>
        <color indexed="9"/>
        <rFont val="Verdana"/>
        <family val="2"/>
      </rPr>
      <t xml:space="preserve">  by internal QA or Inspection</t>
    </r>
  </si>
  <si>
    <r>
      <t xml:space="preserve">37. Functional Correctness: # of </t>
    </r>
    <r>
      <rPr>
        <b/>
        <sz val="10"/>
        <color indexed="9"/>
        <rFont val="Verdana"/>
        <family val="2"/>
      </rPr>
      <t>Defects Removed</t>
    </r>
    <r>
      <rPr>
        <sz val="10"/>
        <color indexed="9"/>
        <rFont val="Verdana"/>
        <family val="2"/>
      </rPr>
      <t xml:space="preserve"> from the identifed ones in [29]</t>
    </r>
  </si>
  <si>
    <t>35. Functional Correctness: # of defects left in Code = I - R</t>
  </si>
  <si>
    <t>38. Functional Correctness:  # of defects left in Design and Architecture = I - R</t>
  </si>
  <si>
    <r>
      <t xml:space="preserve">45. Process Effectiveness: # of Review Changes or </t>
    </r>
    <r>
      <rPr>
        <b/>
        <sz val="10"/>
        <color indexed="9"/>
        <rFont val="Verdana"/>
        <family val="2"/>
      </rPr>
      <t>Revisions</t>
    </r>
    <r>
      <rPr>
        <sz val="10"/>
        <color indexed="9"/>
        <rFont val="Verdana"/>
        <family val="2"/>
      </rPr>
      <t xml:space="preserve"> </t>
    </r>
    <r>
      <rPr>
        <b/>
        <sz val="10"/>
        <color indexed="9"/>
        <rFont val="Verdana"/>
        <family val="2"/>
      </rPr>
      <t>in Project Plan Document</t>
    </r>
    <r>
      <rPr>
        <sz val="10"/>
        <color indexed="9"/>
        <rFont val="Verdana"/>
        <family val="2"/>
      </rPr>
      <t xml:space="preserve">, once it has developed </t>
    </r>
  </si>
  <si>
    <r>
      <t xml:space="preserve"> Customer Satisfaction: # of </t>
    </r>
    <r>
      <rPr>
        <b/>
        <sz val="10"/>
        <color indexed="9"/>
        <rFont val="Verdana"/>
        <family val="2"/>
      </rPr>
      <t xml:space="preserve">Customer  Support Queries on </t>
    </r>
    <r>
      <rPr>
        <sz val="10"/>
        <color indexed="9"/>
        <rFont val="Verdana"/>
        <family val="2"/>
      </rPr>
      <t>with</t>
    </r>
    <r>
      <rPr>
        <b/>
        <sz val="10"/>
        <color indexed="9"/>
        <rFont val="Verdana"/>
        <family val="2"/>
      </rPr>
      <t xml:space="preserve"> </t>
    </r>
    <r>
      <rPr>
        <sz val="10"/>
        <color indexed="9"/>
        <rFont val="Verdana"/>
        <family val="2"/>
      </rPr>
      <t>No extra charages</t>
    </r>
  </si>
  <si>
    <r>
      <t xml:space="preserve">51. Customer Satisfaction: Percentage of </t>
    </r>
    <r>
      <rPr>
        <b/>
        <sz val="10"/>
        <color indexed="9"/>
        <rFont val="Verdana"/>
        <family val="2"/>
      </rPr>
      <t>Customer  Support Queries Resolved</t>
    </r>
    <r>
      <rPr>
        <sz val="10"/>
        <color indexed="9"/>
        <rFont val="Verdana"/>
        <family val="2"/>
      </rPr>
      <t xml:space="preserve"> with  No extra charages</t>
    </r>
  </si>
  <si>
    <r>
      <t xml:space="preserve">40.  Process Effectiveness:Functional Correctness: </t>
    </r>
    <r>
      <rPr>
        <b/>
        <sz val="10"/>
        <color indexed="9"/>
        <rFont val="Verdana"/>
        <family val="2"/>
      </rPr>
      <t xml:space="preserve"> # of Post-Release or Delivered Defects in Code</t>
    </r>
    <r>
      <rPr>
        <sz val="10"/>
        <color indexed="9"/>
        <rFont val="Verdana"/>
        <family val="2"/>
      </rPr>
      <t xml:space="preserve"> in 6 months Identified by Customer</t>
    </r>
  </si>
  <si>
    <r>
      <t xml:space="preserve">41. Functional Correctness: # of </t>
    </r>
    <r>
      <rPr>
        <b/>
        <sz val="10"/>
        <color indexed="9"/>
        <rFont val="Verdana"/>
        <family val="2"/>
      </rPr>
      <t xml:space="preserve">Post-Release or Delivered Defects in Documentation </t>
    </r>
    <r>
      <rPr>
        <sz val="10"/>
        <color indexed="9"/>
        <rFont val="Verdana"/>
        <family val="2"/>
      </rPr>
      <t>Identified by Customer</t>
    </r>
  </si>
  <si>
    <r>
      <rPr>
        <sz val="10"/>
        <rFont val="Verdana"/>
        <family val="2"/>
      </rPr>
      <t xml:space="preserve">43. Functional Correctness: </t>
    </r>
    <r>
      <rPr>
        <b/>
        <sz val="10"/>
        <rFont val="Verdana"/>
        <family val="2"/>
      </rPr>
      <t>Defect Removal Effectiveness</t>
    </r>
    <r>
      <rPr>
        <sz val="10"/>
        <rFont val="Verdana"/>
        <family val="2"/>
      </rPr>
      <t xml:space="preserve"> = </t>
    </r>
    <r>
      <rPr>
        <b/>
        <sz val="10"/>
        <rFont val="Verdana"/>
        <family val="2"/>
      </rPr>
      <t xml:space="preserve"> DRE</t>
    </r>
    <r>
      <rPr>
        <sz val="10"/>
        <rFont val="Verdana"/>
        <family val="2"/>
      </rPr>
      <t xml:space="preserve"> = (Prerelease defects Found * 100) / (Prerelease defects + Postrelease defects)</t>
    </r>
  </si>
  <si>
    <r>
      <rPr>
        <sz val="10"/>
        <rFont val="Verdana"/>
        <family val="2"/>
      </rPr>
      <t xml:space="preserve">44. Functional Correctness: </t>
    </r>
    <r>
      <rPr>
        <b/>
        <sz val="10"/>
        <rFont val="Verdana"/>
        <family val="2"/>
      </rPr>
      <t>Defect Removal Efficiency</t>
    </r>
    <r>
      <rPr>
        <sz val="10"/>
        <rFont val="Verdana"/>
        <family val="2"/>
      </rPr>
      <t xml:space="preserve"> =</t>
    </r>
    <r>
      <rPr>
        <b/>
        <sz val="10"/>
        <rFont val="Verdana"/>
        <family val="2"/>
      </rPr>
      <t xml:space="preserve"> DRE = </t>
    </r>
    <r>
      <rPr>
        <sz val="10"/>
        <rFont val="Verdana"/>
        <family val="2"/>
      </rPr>
      <t>Prerelease defects Resolved / Prerelease defects Found</t>
    </r>
  </si>
  <si>
    <r>
      <rPr>
        <sz val="10"/>
        <rFont val="Verdana"/>
        <family val="2"/>
      </rPr>
      <t xml:space="preserve">48. Technology Suitability: Product Compliance: </t>
    </r>
    <r>
      <rPr>
        <b/>
        <sz val="10"/>
        <rFont val="Verdana"/>
        <family val="2"/>
      </rPr>
      <t>Requirement Completetion Ratio</t>
    </r>
    <r>
      <rPr>
        <sz val="10"/>
        <rFont val="Verdana"/>
        <family val="2"/>
      </rPr>
      <t xml:space="preserve"> = # of Functional Requirements Demanded / # of Functional Requirements Deliverd</t>
    </r>
  </si>
  <si>
    <r>
      <t xml:space="preserve">04: PPQA: Product and Process Quality Assurance </t>
    </r>
    <r>
      <rPr>
        <b/>
        <sz val="8"/>
        <color indexed="55"/>
        <rFont val="Verdana"/>
        <family val="2"/>
      </rPr>
      <t>Support</t>
    </r>
  </si>
  <si>
    <r>
      <t xml:space="preserve">10: PI: Process Integration </t>
    </r>
    <r>
      <rPr>
        <b/>
        <sz val="8"/>
        <color indexed="17"/>
        <rFont val="Verdana"/>
        <family val="2"/>
      </rPr>
      <t>EngMng</t>
    </r>
  </si>
  <si>
    <r>
      <t xml:space="preserve">12: VAL: Validation </t>
    </r>
    <r>
      <rPr>
        <b/>
        <sz val="8"/>
        <color indexed="55"/>
        <rFont val="Verdana"/>
        <family val="2"/>
      </rPr>
      <t>EngMng</t>
    </r>
  </si>
  <si>
    <r>
      <t xml:space="preserve">13: OPF (v1.1) or (v1.2): Organizational Process Focuss </t>
    </r>
    <r>
      <rPr>
        <b/>
        <sz val="8"/>
        <color indexed="51"/>
        <rFont val="Verdana"/>
        <family val="2"/>
      </rPr>
      <t>ProMng</t>
    </r>
  </si>
  <si>
    <r>
      <t xml:space="preserve">14: OPD (v1.1) or (v1.2): Organizational Process Defination </t>
    </r>
    <r>
      <rPr>
        <b/>
        <sz val="8"/>
        <color indexed="50"/>
        <rFont val="Verdana"/>
        <family val="2"/>
      </rPr>
      <t>ProMng</t>
    </r>
  </si>
  <si>
    <r>
      <t>15: OT: Organizational Training</t>
    </r>
    <r>
      <rPr>
        <b/>
        <sz val="8"/>
        <color indexed="12"/>
        <rFont val="Verdana"/>
        <family val="2"/>
      </rPr>
      <t xml:space="preserve"> ProMng</t>
    </r>
  </si>
  <si>
    <r>
      <t>16: IPM+IPPD (v1.1) or (v1.2): Integrated Project Management for Integrated Process and Product Development</t>
    </r>
    <r>
      <rPr>
        <b/>
        <sz val="8"/>
        <color indexed="17"/>
        <rFont val="Verdana"/>
        <family val="2"/>
      </rPr>
      <t xml:space="preserve"> ProjMng</t>
    </r>
  </si>
  <si>
    <r>
      <t xml:space="preserve">20: DAR: Decision Analysis and Resolution </t>
    </r>
    <r>
      <rPr>
        <b/>
        <sz val="8"/>
        <rFont val="Verdana"/>
        <family val="2"/>
      </rPr>
      <t>Support</t>
    </r>
  </si>
  <si>
    <r>
      <t xml:space="preserve">01: REQM: Requirement Management </t>
    </r>
    <r>
      <rPr>
        <b/>
        <sz val="8"/>
        <color indexed="10"/>
        <rFont val="Verdana"/>
        <family val="2"/>
      </rPr>
      <t>EngMng</t>
    </r>
  </si>
  <si>
    <r>
      <t xml:space="preserve">02: PP: Project Planning </t>
    </r>
    <r>
      <rPr>
        <b/>
        <sz val="8"/>
        <color indexed="40"/>
        <rFont val="Verdana"/>
        <family val="2"/>
      </rPr>
      <t>ProjMng</t>
    </r>
  </si>
  <si>
    <r>
      <t xml:space="preserve">03: PMC: Project Monitioring and Control </t>
    </r>
    <r>
      <rPr>
        <b/>
        <sz val="8"/>
        <color indexed="14"/>
        <rFont val="Verdana"/>
        <family val="2"/>
      </rPr>
      <t>ProjMng</t>
    </r>
  </si>
  <si>
    <r>
      <t xml:space="preserve">06: CM: Change Management  </t>
    </r>
    <r>
      <rPr>
        <b/>
        <sz val="8"/>
        <color indexed="20"/>
        <rFont val="Verdana"/>
        <family val="2"/>
      </rPr>
      <t>Support</t>
    </r>
  </si>
  <si>
    <r>
      <t xml:space="preserve">07: SAM: Supplier Agrement Management (valid if have supplier support) </t>
    </r>
    <r>
      <rPr>
        <b/>
        <sz val="8"/>
        <color indexed="11"/>
        <rFont val="Verdana"/>
        <family val="2"/>
      </rPr>
      <t>ProjMng</t>
    </r>
  </si>
  <si>
    <t>01: REQM: Requirement Management (REQM)</t>
  </si>
  <si>
    <t>02: PP: Project Planning (PP)</t>
  </si>
  <si>
    <r>
      <t xml:space="preserve">03: </t>
    </r>
    <r>
      <rPr>
        <sz val="8"/>
        <color indexed="10"/>
        <rFont val="Verdana"/>
        <family val="2"/>
      </rPr>
      <t xml:space="preserve">PMC: Project Tracking (OPP) </t>
    </r>
    <r>
      <rPr>
        <sz val="8"/>
        <color indexed="14"/>
        <rFont val="Verdana"/>
        <family val="2"/>
      </rPr>
      <t>and Oversignt (PMC)</t>
    </r>
  </si>
  <si>
    <t>04: Software Subcontract Management (SAM)</t>
  </si>
  <si>
    <t>05: Software Quality Assurance (PPQA)</t>
  </si>
  <si>
    <r>
      <t xml:space="preserve">06: SCM: Software Configuration  Management (CM) (OPP) </t>
    </r>
    <r>
      <rPr>
        <sz val="8"/>
        <color indexed="45"/>
        <rFont val="Verdana"/>
        <family val="2"/>
      </rPr>
      <t>(CAR)</t>
    </r>
  </si>
  <si>
    <r>
      <t xml:space="preserve">Organization Process Focus (OPF) </t>
    </r>
    <r>
      <rPr>
        <b/>
        <sz val="8"/>
        <color indexed="13"/>
        <rFont val="Verdana"/>
        <family val="2"/>
      </rPr>
      <t>(OPP)</t>
    </r>
  </si>
  <si>
    <t>Organization Process Defination (OPD)</t>
  </si>
  <si>
    <t>Training Program (OT)</t>
  </si>
  <si>
    <r>
      <t xml:space="preserve">11: VER: verification </t>
    </r>
    <r>
      <rPr>
        <b/>
        <sz val="8"/>
        <color indexed="13"/>
        <rFont val="Verdana"/>
        <family val="2"/>
      </rPr>
      <t>EngMng</t>
    </r>
  </si>
  <si>
    <r>
      <t>Integrated Sof</t>
    </r>
    <r>
      <rPr>
        <sz val="8"/>
        <color indexed="10"/>
        <rFont val="Verdana"/>
        <family val="2"/>
      </rPr>
      <t xml:space="preserve">tware Managemet </t>
    </r>
    <r>
      <rPr>
        <sz val="8"/>
        <color indexed="57"/>
        <rFont val="Verdana"/>
        <family val="2"/>
      </rPr>
      <t>(IPM)</t>
    </r>
  </si>
  <si>
    <r>
      <t xml:space="preserve">Software Product </t>
    </r>
    <r>
      <rPr>
        <sz val="8"/>
        <color indexed="45"/>
        <rFont val="Verdana"/>
        <family val="2"/>
      </rPr>
      <t>Engineering, (CAR)</t>
    </r>
    <r>
      <rPr>
        <sz val="8"/>
        <color indexed="57"/>
        <rFont val="Verdana"/>
        <family val="2"/>
      </rPr>
      <t xml:space="preserve"> (IPM)</t>
    </r>
  </si>
  <si>
    <r>
      <t xml:space="preserve">Intergroup </t>
    </r>
    <r>
      <rPr>
        <sz val="8"/>
        <color indexed="20"/>
        <rFont val="Verdana"/>
        <family val="2"/>
      </rPr>
      <t xml:space="preserve">Coordination </t>
    </r>
    <r>
      <rPr>
        <sz val="8"/>
        <color indexed="17"/>
        <rFont val="Verdana"/>
        <family val="2"/>
      </rPr>
      <t>(PI)</t>
    </r>
    <r>
      <rPr>
        <sz val="8"/>
        <color indexed="20"/>
        <rFont val="Verdana"/>
        <family val="2"/>
      </rPr>
      <t>, (IT)</t>
    </r>
  </si>
  <si>
    <t>Peer Reviews (VER)</t>
  </si>
  <si>
    <r>
      <t>Quantitative Process</t>
    </r>
    <r>
      <rPr>
        <b/>
        <sz val="8"/>
        <rFont val="Verdana"/>
        <family val="2"/>
      </rPr>
      <t xml:space="preserve"> </t>
    </r>
    <r>
      <rPr>
        <b/>
        <sz val="8"/>
        <color indexed="15"/>
        <rFont val="Verdana"/>
        <family val="2"/>
      </rPr>
      <t>Management</t>
    </r>
    <r>
      <rPr>
        <sz val="8"/>
        <color indexed="15"/>
        <rFont val="Verdana"/>
        <family val="2"/>
      </rPr>
      <t xml:space="preserve"> </t>
    </r>
    <r>
      <rPr>
        <b/>
        <sz val="8"/>
        <color indexed="13"/>
        <rFont val="Verdana"/>
        <family val="2"/>
      </rPr>
      <t>(OPP)</t>
    </r>
    <r>
      <rPr>
        <sz val="8"/>
        <rFont val="Verdana"/>
        <family val="2"/>
      </rPr>
      <t xml:space="preserve">, </t>
    </r>
    <r>
      <rPr>
        <sz val="8"/>
        <color indexed="15"/>
        <rFont val="Verdana"/>
        <family val="2"/>
      </rPr>
      <t xml:space="preserve">(QPM) </t>
    </r>
    <r>
      <rPr>
        <sz val="8"/>
        <color indexed="45"/>
        <rFont val="Verdana"/>
        <family val="2"/>
      </rPr>
      <t>(CAR)</t>
    </r>
  </si>
  <si>
    <r>
      <t xml:space="preserve">Software Quality Management (IPM) </t>
    </r>
    <r>
      <rPr>
        <sz val="8"/>
        <color indexed="13"/>
        <rFont val="Verdana"/>
        <family val="2"/>
      </rPr>
      <t>(OPP)</t>
    </r>
  </si>
  <si>
    <r>
      <t>Defect</t>
    </r>
    <r>
      <rPr>
        <sz val="8"/>
        <rFont val="Verdana"/>
        <family val="2"/>
      </rPr>
      <t xml:space="preserve"> </t>
    </r>
    <r>
      <rPr>
        <sz val="8"/>
        <color indexed="45"/>
        <rFont val="Verdana"/>
        <family val="2"/>
      </rPr>
      <t xml:space="preserve">Prevention </t>
    </r>
    <r>
      <rPr>
        <sz val="8"/>
        <color indexed="46"/>
        <rFont val="Verdana"/>
        <family val="2"/>
      </rPr>
      <t xml:space="preserve">(OID) </t>
    </r>
    <r>
      <rPr>
        <sz val="8"/>
        <color indexed="45"/>
        <rFont val="Verdana"/>
        <family val="2"/>
      </rPr>
      <t>(CAR)</t>
    </r>
  </si>
  <si>
    <t>Technology Change Mangement (OID)</t>
  </si>
  <si>
    <t>Process Change Management (OID)</t>
  </si>
  <si>
    <r>
      <t>24: OID: Organizational Innovation and Deployment</t>
    </r>
    <r>
      <rPr>
        <b/>
        <sz val="8"/>
        <color indexed="46"/>
        <rFont val="Verdana"/>
        <family val="2"/>
      </rPr>
      <t xml:space="preserve"> ProMng</t>
    </r>
  </si>
  <si>
    <r>
      <t xml:space="preserve">25: CAR: Casual Analysis and Resolution </t>
    </r>
    <r>
      <rPr>
        <b/>
        <sz val="8"/>
        <color indexed="45"/>
        <rFont val="Verdana"/>
        <family val="2"/>
      </rPr>
      <t>Support</t>
    </r>
  </si>
  <si>
    <t>CMM3, CMMI3</t>
  </si>
  <si>
    <t>CMM4, CMMI4</t>
  </si>
  <si>
    <t>CMM4, CMMI 4</t>
  </si>
  <si>
    <t>CMM4, CMMi 4</t>
  </si>
  <si>
    <t>cmmi2 1 yr</t>
  </si>
  <si>
    <t>cmmi2 2 yr</t>
  </si>
  <si>
    <t>CMMI2</t>
  </si>
  <si>
    <t>CMMI2 yrs</t>
  </si>
  <si>
    <t>10a. Percentage of "Reused Code" in "Software Size"</t>
  </si>
  <si>
    <t>11a. Percentage of Code Discarded, due to Requirement Volatility (BREAK, REVAL)</t>
  </si>
  <si>
    <t xml:space="preserve"> 11b. Discarded Code due to Requirement Volitality, from Final Equivalent Software Size LOC</t>
  </si>
  <si>
    <t>In Maintenance:  Percentage of Code Added and Modified during Maintenance Period within 6 months only and also taking for Development period</t>
  </si>
  <si>
    <t xml:space="preserve">In Maintenance: Code Added and Modified </t>
  </si>
  <si>
    <t>10b. Equivalent Reused Code   Size = Reused Code * AAM * ATC</t>
  </si>
  <si>
    <t xml:space="preserve">EL </t>
  </si>
  <si>
    <t>15. Product Cost Variance, Prediction Accuracy = (A - P) / A, - Over Estimation</t>
  </si>
  <si>
    <t>Analyst Capability (ACAP)</t>
  </si>
  <si>
    <t xml:space="preserve">Programmer Capability (PCAP) </t>
  </si>
  <si>
    <t>Project's Annual Personnel Turnover or Conitnuity (PCON)</t>
  </si>
  <si>
    <t>Manager Experience (MEXP)</t>
  </si>
  <si>
    <t>Team Experience with Applications (AEXP)</t>
  </si>
  <si>
    <t>Team Experience with Platform (PEXP)</t>
  </si>
  <si>
    <t xml:space="preserve">Team's Language and Tool Experience (LTEX) </t>
  </si>
  <si>
    <t xml:space="preserve">Use of Software Tools (TOOL) </t>
  </si>
  <si>
    <t xml:space="preserve"> Multi Site Development, SITE Location and Communication (SITE)</t>
  </si>
  <si>
    <t xml:space="preserve">Required Development Schedule (SCED) </t>
  </si>
  <si>
    <t>Budget Pressure (BUDG)</t>
  </si>
  <si>
    <t>The major attributes that should be considered in this rating are Analysis and Design ability, efficiency and thoroughness, and the ability to communicate and cooperate. The rating should not consider the level of experience of the analyst; that is rated with AEXP. Analysts that fall in the 15th percentile are rated very low and those that fall in the 95th percentile are rated as very high.</t>
  </si>
  <si>
    <t>Evaluation should be based on the capability of the programmers as a team rather than as individuals. Major factors which should be considered in the rating are ability, efficiency and thoroughness, and the ability to communicate and cooperate. The experience of the programmer should not be considered here; it is rated with AEXP. A very low rated programmer team is in the 15th percentile and a very high rated programmer team is in the 95th percentile.</t>
  </si>
  <si>
    <t>This denotes number of personnel goes out and or comes in to the project. The rating scale is in terms of the project’s annual personnel turnover: from 3%, very high, to 48%, very low.</t>
  </si>
  <si>
    <t>This rating is dependent on the level of applications (with this type of application) experience of the project manager managing the software system. A very low rating is for Management experience of less than 3 years A very high rating is for experience of 6 years or more.</t>
  </si>
  <si>
    <t>This rating is dependent on the level of applications experience of the project team with this type of application (i.e. both Analysts and Programmers, etc.) developing the software system. A very low rating is for application experience of less than 2 months. A very high rating is for experience of 6 years or more.</t>
  </si>
  <si>
    <t>The average platform experience for the development team. Platform Experience includes know how of graphic user interface, database, networking, and distributed middleware capabilities. A very low rating is for Platform experience of less than 2 months. A very high rating is for experience of 6 years or more.</t>
  </si>
  <si>
    <r>
      <t xml:space="preserve">This is a measure of the level of </t>
    </r>
    <r>
      <rPr>
        <b/>
        <sz val="8"/>
        <rFont val="Verdana"/>
        <family val="2"/>
      </rPr>
      <t>Programming Language</t>
    </r>
    <r>
      <rPr>
        <sz val="8"/>
        <rFont val="Verdana"/>
        <family val="2"/>
      </rPr>
      <t xml:space="preserve"> and </t>
    </r>
    <r>
      <rPr>
        <b/>
        <sz val="8"/>
        <rFont val="Verdana"/>
        <family val="2"/>
      </rPr>
      <t>Software Tool</t>
    </r>
    <r>
      <rPr>
        <sz val="8"/>
        <rFont val="Verdana"/>
        <family val="2"/>
      </rPr>
      <t xml:space="preserve"> experience of the project team. Tools may includes those used for, performing requirements and design representation and analysis, configuration management, document extraction, library management, program style and formatting, consistency checking, etc. A low rating given for experience of less than 2 months. A very high rating is given for experience of 6 or more years.</t>
    </r>
  </si>
  <si>
    <t>The tool rating ranges from simple edit and code, very low, to integrated lifecycle management tools, very high.</t>
  </si>
  <si>
    <r>
      <t xml:space="preserve">Given the increasing frequency of multisite developments, and indications that multisite development effects are significant. It determines aassessment and averaging of two factors: </t>
    </r>
    <r>
      <rPr>
        <b/>
        <sz val="8"/>
        <rFont val="Verdana"/>
        <family val="2"/>
      </rPr>
      <t>1. Site collocation (from fully collocated to international distribution) and 2. Communication Support (from surface mail and some phone access to full interactive multimedia)</t>
    </r>
  </si>
  <si>
    <t xml:space="preserve">This rating measures the schedule constraint imposed on the project team developing the software. The ratings are defined in terms of the percentage of schedule stretch-out or acceleration with respect to a nominal schedule for a project requiring a given amount of effort. </t>
  </si>
  <si>
    <t>This rating measures the Budget constraint imposed on the project team developing the software. The ratings are defined in terms of the percentage of Budget increased or reduced with respect to a nominal Budget for a project requiring a given amount of effort.  Note: May be High and Very high ratings practically does not exists in reality.</t>
  </si>
  <si>
    <t>a. VL: &lt;= 15th Percentile</t>
  </si>
  <si>
    <t>a.  VL: &gt;= 48% Continuity per year</t>
  </si>
  <si>
    <t>a.  VL: &lt;= 2 years</t>
  </si>
  <si>
    <t>a.  VL: &lt;= 2 months</t>
  </si>
  <si>
    <t xml:space="preserve">a. VL: &lt;= 2 months </t>
  </si>
  <si>
    <t>a. VL: &lt;= 2 months</t>
  </si>
  <si>
    <t>a. VL: Edit, code, debug</t>
  </si>
  <si>
    <t>a. VL: 1. International, 2. Some phone, mail</t>
  </si>
  <si>
    <t>a. VL: 75% of nominal</t>
  </si>
  <si>
    <t>b. L: 35h percentile. CMMI Level 2</t>
  </si>
  <si>
    <t>b. L: 35h percentile</t>
  </si>
  <si>
    <t>b. L: 24% Countinuity per year</t>
  </si>
  <si>
    <t>b.  L: 3 years</t>
  </si>
  <si>
    <t>b.  L: 6 months</t>
  </si>
  <si>
    <t>b. L: 6 months</t>
  </si>
  <si>
    <t>b. L: Simple, front end back end CASE little integration. CMMI Level 1</t>
  </si>
  <si>
    <t>b. L: 1. Multi-city and Multi-company, 2. Individual phone, FAX</t>
  </si>
  <si>
    <t>b. L: 85% of nominal</t>
  </si>
  <si>
    <t>c. N: 55th percentile. CMMI Level --&gt; 3</t>
  </si>
  <si>
    <t>c. N: 55th percentile</t>
  </si>
  <si>
    <t>c. N: 12% Countinuity per year</t>
  </si>
  <si>
    <t>c. N: 4 year</t>
  </si>
  <si>
    <t>c. N: 1 year</t>
  </si>
  <si>
    <t>c.  N: 1 year</t>
  </si>
  <si>
    <t>c. N: Basic lifecycle tools moderately integrated.  CMMI Level 2</t>
  </si>
  <si>
    <t>c. N: 1. Multi-city or Multi-company, 2. Narrowband email</t>
  </si>
  <si>
    <t xml:space="preserve">c. N: 100% </t>
  </si>
  <si>
    <t>d. H: 75th percentile. CMMI Level 3</t>
  </si>
  <si>
    <t>d. H: 75th percentile</t>
  </si>
  <si>
    <t>d. H: 6% Countinuity per year</t>
  </si>
  <si>
    <t>d. H: 5 years</t>
  </si>
  <si>
    <t>d. H: 3 years</t>
  </si>
  <si>
    <t>d. H: Strong, mature life cycle tools, moderately integrated. CMMI Level 3</t>
  </si>
  <si>
    <t>d. H: 1. Same city or metro. Area, 2. Wideband electronic communication.</t>
  </si>
  <si>
    <t xml:space="preserve">d. H: 130% </t>
  </si>
  <si>
    <t>e. I DON'T KNOW</t>
  </si>
  <si>
    <t>e. VH: &gt;= 90 percentile. CMMI Level 3 and Above</t>
  </si>
  <si>
    <t>e. VH: &gt;= 90 percentile</t>
  </si>
  <si>
    <t>e. VH: &lt;= 3% Countinuity per year</t>
  </si>
  <si>
    <t>e. VH: &gt;= 6 years</t>
  </si>
  <si>
    <t>e. VH: Strong mature, proactive life cycle tools, well integrated with processes, methods reuse. CMMI Level 4-5</t>
  </si>
  <si>
    <t>e. VH: 1. Same building or complex, 2. Wideband elect. comm, occasional video conf.</t>
  </si>
  <si>
    <t>e. VH: 160%</t>
  </si>
  <si>
    <t>f. I DON'T KNOW</t>
  </si>
  <si>
    <t>f.  I DON'T KNOW</t>
  </si>
  <si>
    <t>f. EH: 1. Fully collocated, 2. Interactive multimedia</t>
  </si>
  <si>
    <t>g. I DON'T KNOW</t>
  </si>
  <si>
    <t xml:space="preserve">Project's Resembellance to Previously developed projects, Precedentedness (PREC) </t>
  </si>
  <si>
    <t>Degree of Conformance Enforced to Requirements and Schedule, Development. Flexibility (FLEX)</t>
  </si>
  <si>
    <t xml:space="preserve">Architecture / Risk Resolution (RESL) </t>
  </si>
  <si>
    <t>Stakeholder Sticking Together, Cohesion (TEAM)</t>
  </si>
  <si>
    <t xml:space="preserve"> Process Maturity Ranking (PMAT)</t>
  </si>
  <si>
    <t xml:space="preserve">Required Software Reliability (RELY) </t>
  </si>
  <si>
    <t>Data Size (DATA)</t>
  </si>
  <si>
    <r>
      <t xml:space="preserve">If the product is </t>
    </r>
    <r>
      <rPr>
        <b/>
        <sz val="8"/>
        <rFont val="Verdana"/>
        <family val="2"/>
      </rPr>
      <t>similar to several</t>
    </r>
    <r>
      <rPr>
        <sz val="8"/>
        <rFont val="Verdana"/>
        <family val="2"/>
      </rPr>
      <t xml:space="preserve"> that have been develop. </t>
    </r>
  </si>
  <si>
    <t>It captures the amount of constraints/conditions the product has to meet. The more flexible the requirements, schedules, interfaces, etc.</t>
  </si>
  <si>
    <r>
      <t>This cost driver is a combination of (Design throughness by Product Design Review (PDR) and Risk Elimination by PDR. It also relates rating with RUP/MBASE Life Cycle Architecture (LCA) as well as waterfall PDR.</t>
    </r>
    <r>
      <rPr>
        <b/>
        <sz val="8"/>
        <rFont val="Verdana"/>
        <family val="2"/>
      </rPr>
      <t xml:space="preserve"> It captures the thoroughness of definition and freedom from risk of the software architecture used for the product.  RESL rating is Subjective Weighted Average of the listed 7 Characterstics, 
 Note: Due to high turnover rate the 7th Characterstic in Extra High Level is not possible to occure. Means Project Manger is not Very Senior or May be Higher Management who allocates budget is not Cooperative or willing to make extra investments.</t>
    </r>
  </si>
  <si>
    <t>Accounts for sources of project turbulence (disorder) and extra effort due to difficulties in synchronizing project's stakeholders like (users, customers, developers, main tainers, interfacers and others)</t>
  </si>
  <si>
    <t>PMAT Rating'!A1</t>
  </si>
  <si>
    <r>
      <t xml:space="preserve">This is the measure of the extent to which the software must perform its intended function over a period of time. If the effect of a software failure is only slight inconvenience then RELY is low. If a failure would risk human life then RELY is very high. </t>
    </r>
    <r>
      <rPr>
        <b/>
        <sz val="8"/>
        <rFont val="Verdana"/>
        <family val="2"/>
      </rPr>
      <t xml:space="preserve">If the developed software is installed and the failure of the software leads to ...  </t>
    </r>
  </si>
  <si>
    <t>This measure attempts to capture the affect large data requirements have on product development. The rating is determined by calculating D/P. Data = Number of bytes of data in DB at the end of testing / SLOC. Example: DATA is rated as low if D/P is less than 10 and it is very high if it is greater than 1000.</t>
  </si>
  <si>
    <r>
      <t xml:space="preserve">a. VL: Thoroughly/Indepth un-Similar: </t>
    </r>
    <r>
      <rPr>
        <sz val="8"/>
        <rFont val="Verdana"/>
        <family val="2"/>
      </rPr>
      <t xml:space="preserve">1. </t>
    </r>
    <r>
      <rPr>
        <b/>
        <sz val="8"/>
        <rFont val="Verdana"/>
        <family val="2"/>
      </rPr>
      <t>General</t>
    </r>
    <r>
      <rPr>
        <sz val="8"/>
        <rFont val="Verdana"/>
        <family val="2"/>
      </rPr>
      <t xml:space="preserve"> Organizational understanding of product objectives. 2. </t>
    </r>
    <r>
      <rPr>
        <b/>
        <sz val="8"/>
        <rFont val="Verdana"/>
        <family val="2"/>
      </rPr>
      <t>Moderate</t>
    </r>
    <r>
      <rPr>
        <sz val="8"/>
        <rFont val="Verdana"/>
        <family val="2"/>
      </rPr>
      <t xml:space="preserve"> Experience in working with related software systems, 3. </t>
    </r>
    <r>
      <rPr>
        <b/>
        <sz val="8"/>
        <rFont val="Verdana"/>
        <family val="2"/>
      </rPr>
      <t>Extensive</t>
    </r>
    <r>
      <rPr>
        <sz val="8"/>
        <rFont val="Verdana"/>
        <family val="2"/>
      </rPr>
      <t xml:space="preserve"> Concurrent development of associated new hardware and Operational Procedures, 4. </t>
    </r>
    <r>
      <rPr>
        <b/>
        <sz val="8"/>
        <rFont val="Verdana"/>
        <family val="2"/>
      </rPr>
      <t>Considerable</t>
    </r>
    <r>
      <rPr>
        <sz val="8"/>
        <rFont val="Verdana"/>
        <family val="2"/>
      </rPr>
      <t xml:space="preserve"> need for innovative dataprocessing architectures, algorithms. Embedded &gt;30,000 dsi. CMMI Level 1-2</t>
    </r>
  </si>
  <si>
    <r>
      <t xml:space="preserve">a. VL: Rigorous: </t>
    </r>
    <r>
      <rPr>
        <sz val="8"/>
        <rFont val="Verdana"/>
        <family val="2"/>
      </rPr>
      <t xml:space="preserve">1. Need for </t>
    </r>
    <r>
      <rPr>
        <b/>
        <sz val="8"/>
        <rFont val="Verdana"/>
        <family val="2"/>
      </rPr>
      <t>Full</t>
    </r>
    <r>
      <rPr>
        <sz val="8"/>
        <rFont val="Verdana"/>
        <family val="2"/>
      </rPr>
      <t xml:space="preserve"> software conformance with pre-established requirements. 2. Need for </t>
    </r>
    <r>
      <rPr>
        <b/>
        <sz val="8"/>
        <rFont val="Verdana"/>
        <family val="2"/>
      </rPr>
      <t>Full</t>
    </r>
    <r>
      <rPr>
        <sz val="8"/>
        <rFont val="Verdana"/>
        <family val="2"/>
      </rPr>
      <t xml:space="preserve"> Software Conformance with external interface Specifications. 3. Combination of </t>
    </r>
    <r>
      <rPr>
        <b/>
        <sz val="8"/>
        <rFont val="Verdana"/>
        <family val="2"/>
      </rPr>
      <t>High</t>
    </r>
    <r>
      <rPr>
        <sz val="8"/>
        <rFont val="Verdana"/>
        <family val="2"/>
      </rPr>
      <t xml:space="preserve"> inflexibilities above with premium on early completion.</t>
    </r>
  </si>
  <si>
    <r>
      <t>a. VL: Little 20% freedom from risk</t>
    </r>
    <r>
      <rPr>
        <sz val="8"/>
        <rFont val="Verdana"/>
        <family val="2"/>
      </rPr>
      <t xml:space="preserve">: </t>
    </r>
    <r>
      <rPr>
        <b/>
        <sz val="8"/>
        <rFont val="Verdana"/>
        <family val="2"/>
      </rPr>
      <t>1.</t>
    </r>
    <r>
      <rPr>
        <sz val="8"/>
        <rFont val="Verdana"/>
        <family val="2"/>
      </rPr>
      <t xml:space="preserve"> Risk Management Plan (RMP) identifies </t>
    </r>
    <r>
      <rPr>
        <b/>
        <sz val="8"/>
        <rFont val="Verdana"/>
        <family val="2"/>
      </rPr>
      <t>No</t>
    </r>
    <r>
      <rPr>
        <sz val="8"/>
        <rFont val="Verdana"/>
        <family val="2"/>
      </rPr>
      <t xml:space="preserve"> Critical Risk Items, and establishes </t>
    </r>
    <r>
      <rPr>
        <b/>
        <sz val="8"/>
        <rFont val="Verdana"/>
        <family val="2"/>
      </rPr>
      <t>No</t>
    </r>
    <r>
      <rPr>
        <sz val="8"/>
        <rFont val="Verdana"/>
        <family val="2"/>
      </rPr>
      <t xml:space="preserve"> milestones for resolving them by PDR. </t>
    </r>
    <r>
      <rPr>
        <b/>
        <sz val="8"/>
        <rFont val="Verdana"/>
        <family val="2"/>
      </rPr>
      <t>2.</t>
    </r>
    <r>
      <rPr>
        <sz val="8"/>
        <rFont val="Verdana"/>
        <family val="2"/>
      </rPr>
      <t xml:space="preserve"> </t>
    </r>
    <r>
      <rPr>
        <b/>
        <sz val="8"/>
        <rFont val="Verdana"/>
        <family val="2"/>
      </rPr>
      <t>No</t>
    </r>
    <r>
      <rPr>
        <sz val="8"/>
        <rFont val="Verdana"/>
        <family val="2"/>
      </rPr>
      <t xml:space="preserve"> Schedule, Budget and internal milestones defined compatible with RMP </t>
    </r>
    <r>
      <rPr>
        <b/>
        <sz val="8"/>
        <rFont val="Verdana"/>
        <family val="2"/>
      </rPr>
      <t>3.</t>
    </r>
    <r>
      <rPr>
        <sz val="8"/>
        <rFont val="Verdana"/>
        <family val="2"/>
      </rPr>
      <t xml:space="preserve"> About </t>
    </r>
    <r>
      <rPr>
        <b/>
        <sz val="8"/>
        <rFont val="Verdana"/>
        <family val="2"/>
      </rPr>
      <t xml:space="preserve">5% </t>
    </r>
    <r>
      <rPr>
        <sz val="8"/>
        <rFont val="Verdana"/>
        <family val="2"/>
      </rPr>
      <t xml:space="preserve">schedule is devoting to establishing architecture  for general product objective. </t>
    </r>
    <r>
      <rPr>
        <b/>
        <sz val="8"/>
        <rFont val="Verdana"/>
        <family val="2"/>
      </rPr>
      <t>4.</t>
    </r>
    <r>
      <rPr>
        <sz val="8"/>
        <rFont val="Verdana"/>
        <family val="2"/>
      </rPr>
      <t xml:space="preserve"> around </t>
    </r>
    <r>
      <rPr>
        <b/>
        <sz val="8"/>
        <rFont val="Verdana"/>
        <family val="2"/>
      </rPr>
      <t>20%</t>
    </r>
    <r>
      <rPr>
        <sz val="8"/>
        <rFont val="Verdana"/>
        <family val="2"/>
      </rPr>
      <t xml:space="preserve"> of requirement of top Architects available for project. </t>
    </r>
    <r>
      <rPr>
        <b/>
        <sz val="8"/>
        <rFont val="Verdana"/>
        <family val="2"/>
      </rPr>
      <t>5.</t>
    </r>
    <r>
      <rPr>
        <sz val="8"/>
        <rFont val="Verdana"/>
        <family val="2"/>
      </rPr>
      <t xml:space="preserve"> </t>
    </r>
    <r>
      <rPr>
        <b/>
        <sz val="8"/>
        <rFont val="Verdana"/>
        <family val="2"/>
      </rPr>
      <t>No</t>
    </r>
    <r>
      <rPr>
        <sz val="8"/>
        <rFont val="Verdana"/>
        <family val="2"/>
      </rPr>
      <t xml:space="preserve"> tool support for resolving risks, developing and verifying arch. </t>
    </r>
    <r>
      <rPr>
        <b/>
        <sz val="8"/>
        <rFont val="Verdana"/>
        <family val="2"/>
      </rPr>
      <t>6.</t>
    </r>
    <r>
      <rPr>
        <sz val="8"/>
        <rFont val="Verdana"/>
        <family val="2"/>
      </rPr>
      <t xml:space="preserve"> Extreme level of uncertainity in arch. drivers(mission, user interface, COTS, hardware, technology, performance). </t>
    </r>
    <r>
      <rPr>
        <b/>
        <sz val="8"/>
        <rFont val="Verdana"/>
        <family val="2"/>
      </rPr>
      <t>7.</t>
    </r>
    <r>
      <rPr>
        <sz val="8"/>
        <rFont val="Verdana"/>
        <family val="2"/>
      </rPr>
      <t xml:space="preserve"> Greater than </t>
    </r>
    <r>
      <rPr>
        <b/>
        <sz val="8"/>
        <rFont val="Verdana"/>
        <family val="2"/>
      </rPr>
      <t>&gt; 10</t>
    </r>
    <r>
      <rPr>
        <sz val="8"/>
        <rFont val="Verdana"/>
        <family val="2"/>
      </rPr>
      <t xml:space="preserve">  number of Criticality of Risk Items.</t>
    </r>
  </si>
  <si>
    <r>
      <t>a. VL: Very difficult interactions:</t>
    </r>
    <r>
      <rPr>
        <sz val="8"/>
        <rFont val="Verdana"/>
        <family val="2"/>
      </rPr>
      <t xml:space="preserve"> 1. Little Consistency of stakeholder objectives and cultures, 2. Little ability, willingness of stakeholder's objectives, 3. No experience of stakeholders in Operating as a team, 4. No stateholder's team building to acheive shared vision and commitments</t>
    </r>
  </si>
  <si>
    <t>a. VL: CMMI Level 1 (lower level) equivalent. OR CMM Level 1. OR Incase of ISO Certified mark Yes/No</t>
  </si>
  <si>
    <r>
      <t>a. VL: Slightly inconvenience to the users</t>
    </r>
    <r>
      <rPr>
        <sz val="8"/>
        <rFont val="Verdana"/>
        <family val="2"/>
      </rPr>
      <t xml:space="preserve">: 1. RE and Prod design phase, contains little detail many TBDs, little verification, Minimal QA, CM, draft user manual, test plans, Minimal PDR. 2. Detailed Design: basic design information, Minimal QA, CM, Draft User manual, test plans, Informal design inspections. 3. Code and Unit testing: No test procedures, Minimal path test, standards check, Minimal QA, CM, I/O and off nominal tests, and usermanuals. 4. Integration and Test: No test procedures, Many requirements untested, Minimal QA, CM, stress, off-nominal tests, as-built documentation. CMMI LeveL =1 </t>
    </r>
  </si>
  <si>
    <t>a. L: &lt;1000 bytes</t>
  </si>
  <si>
    <r>
      <t>b. L: Largely/mostly un-Similar:</t>
    </r>
    <r>
      <rPr>
        <sz val="8"/>
        <rFont val="Verdana"/>
        <family val="2"/>
      </rPr>
      <t xml:space="preserve"> </t>
    </r>
  </si>
  <si>
    <r>
      <t xml:space="preserve">b. L: Occasional relaxation: </t>
    </r>
  </si>
  <si>
    <r>
      <t>b. L: Some (40%)</t>
    </r>
    <r>
      <rPr>
        <sz val="8"/>
        <rFont val="Verdana"/>
        <family val="2"/>
      </rPr>
      <t xml:space="preserve">: 1. Risk Management Plan  identifies </t>
    </r>
    <r>
      <rPr>
        <b/>
        <sz val="8"/>
        <rFont val="Verdana"/>
        <family val="2"/>
      </rPr>
      <t>Little</t>
    </r>
    <r>
      <rPr>
        <sz val="8"/>
        <rFont val="Verdana"/>
        <family val="2"/>
      </rPr>
      <t xml:space="preserve"> Critical Risk Items, and establishes milestones for resolving them by PDR. 2. </t>
    </r>
    <r>
      <rPr>
        <b/>
        <sz val="8"/>
        <rFont val="Verdana"/>
        <family val="2"/>
      </rPr>
      <t>Little</t>
    </r>
    <r>
      <rPr>
        <sz val="8"/>
        <rFont val="Verdana"/>
        <family val="2"/>
      </rPr>
      <t xml:space="preserve"> Schedule, Budget and internal milestones defined compatible with RMP 3. About </t>
    </r>
    <r>
      <rPr>
        <b/>
        <sz val="8"/>
        <rFont val="Verdana"/>
        <family val="2"/>
      </rPr>
      <t>10%</t>
    </r>
    <r>
      <rPr>
        <sz val="8"/>
        <rFont val="Verdana"/>
        <family val="2"/>
      </rPr>
      <t xml:space="preserve"> schedule is devoting to establishing architecture  for general product objective. 4. around </t>
    </r>
    <r>
      <rPr>
        <b/>
        <sz val="8"/>
        <rFont val="Verdana"/>
        <family val="2"/>
      </rPr>
      <t>40%</t>
    </r>
    <r>
      <rPr>
        <sz val="8"/>
        <rFont val="Verdana"/>
        <family val="2"/>
      </rPr>
      <t xml:space="preserve"> of requirement of top Architects available for project. 5. </t>
    </r>
    <r>
      <rPr>
        <b/>
        <sz val="8"/>
        <rFont val="Verdana"/>
        <family val="2"/>
      </rPr>
      <t>Little</t>
    </r>
    <r>
      <rPr>
        <sz val="8"/>
        <rFont val="Verdana"/>
        <family val="2"/>
      </rPr>
      <t xml:space="preserve"> tool support for resolving risks, developing and verifying arch. 6. </t>
    </r>
    <r>
      <rPr>
        <b/>
        <sz val="8"/>
        <rFont val="Verdana"/>
        <family val="2"/>
      </rPr>
      <t>Significant</t>
    </r>
    <r>
      <rPr>
        <sz val="8"/>
        <rFont val="Verdana"/>
        <family val="2"/>
      </rPr>
      <t xml:space="preserve"> level of uncertainity in arch. drivers(mission, user interface, COTS, hardware, technology, performance). 7. </t>
    </r>
    <r>
      <rPr>
        <b/>
        <sz val="8"/>
        <rFont val="Verdana"/>
        <family val="2"/>
      </rPr>
      <t>5-10</t>
    </r>
    <r>
      <rPr>
        <sz val="8"/>
        <rFont val="Verdana"/>
        <family val="2"/>
      </rPr>
      <t xml:space="preserve"> Criticality of Risk Items. CMMI Level 3 </t>
    </r>
  </si>
  <si>
    <r>
      <t>b. L: Some difficult interactions:</t>
    </r>
    <r>
      <rPr>
        <sz val="8"/>
        <rFont val="Verdana"/>
        <family val="2"/>
      </rPr>
      <t xml:space="preserve"> 1. Some Consistency of stakeholder objectives and cultures, 2. Some ability, willingness of stakeholder's objectives, 3. Little experience of stakeholders in operating as a team, 4. Little stateholder's team building to acheive shared vision and commitments</t>
    </r>
  </si>
  <si>
    <t>b. L: CMMI level 1 (upper level) equivalent. OR CMM Level 1. OR Incase of ISO Certified mark Yes/No</t>
  </si>
  <si>
    <r>
      <t>b. L: Easily recoverable losses to the users</t>
    </r>
    <r>
      <rPr>
        <sz val="8"/>
        <rFont val="Verdana"/>
        <family val="2"/>
      </rPr>
      <t>: 1. RE and Prod design phase: basic detail  Frequent TBDs, verification, Basic QA, CM, draft user manual, test plans, standards. 2. Detailed Design: Moderate information, Basic QA, CM, Draft User manual, test plans 3. Code and Unit testing: Minimal test procedures, Partial path test, standards check, Basic QA, CM, and usermanuals. Partial I/O and off nominal tests 4. Integration and Test: Minimal test procedures, Frequent requirements untested, Basic QA, CM, usermanual. Partial stress, off-nominal tests. CMMI LeveL --&gt; 2</t>
    </r>
  </si>
  <si>
    <t>b. N: 1001 to 10,000 bytes</t>
  </si>
  <si>
    <r>
      <t>c. N: Somewhat/abit un-Simillar:</t>
    </r>
    <r>
      <rPr>
        <sz val="8"/>
        <rFont val="Verdana"/>
        <family val="2"/>
      </rPr>
      <t xml:space="preserve"> 1. </t>
    </r>
    <r>
      <rPr>
        <b/>
        <sz val="8"/>
        <rFont val="Verdana"/>
        <family val="2"/>
      </rPr>
      <t>Considerable</t>
    </r>
    <r>
      <rPr>
        <sz val="8"/>
        <rFont val="Verdana"/>
        <family val="2"/>
      </rPr>
      <t xml:space="preserve"> Organizational understanding of product objectives. 2. </t>
    </r>
    <r>
      <rPr>
        <b/>
        <sz val="8"/>
        <rFont val="Verdana"/>
        <family val="2"/>
      </rPr>
      <t>Considerable</t>
    </r>
    <r>
      <rPr>
        <sz val="8"/>
        <rFont val="Verdana"/>
        <family val="2"/>
      </rPr>
      <t xml:space="preserve"> Experience in working with related software systems, 3. </t>
    </r>
    <r>
      <rPr>
        <b/>
        <sz val="8"/>
        <rFont val="Verdana"/>
        <family val="2"/>
      </rPr>
      <t>Moderate</t>
    </r>
    <r>
      <rPr>
        <sz val="8"/>
        <rFont val="Verdana"/>
        <family val="2"/>
      </rPr>
      <t xml:space="preserve"> Concurrent development of associated new hardware and Operational Procedures, 4. </t>
    </r>
    <r>
      <rPr>
        <b/>
        <sz val="8"/>
        <rFont val="Verdana"/>
        <family val="2"/>
      </rPr>
      <t>Some</t>
    </r>
    <r>
      <rPr>
        <sz val="8"/>
        <rFont val="Verdana"/>
        <family val="2"/>
      </rPr>
      <t xml:space="preserve"> need for innovative dataprocessing architectures, algorithms. semidetached. CMMI Level 3-4</t>
    </r>
  </si>
  <si>
    <r>
      <t xml:space="preserve">c. N: some relaxation: </t>
    </r>
    <r>
      <rPr>
        <sz val="8"/>
        <rFont val="Verdana"/>
        <family val="2"/>
      </rPr>
      <t xml:space="preserve">1. Need for </t>
    </r>
    <r>
      <rPr>
        <b/>
        <sz val="8"/>
        <rFont val="Verdana"/>
        <family val="2"/>
      </rPr>
      <t>Considerable</t>
    </r>
    <r>
      <rPr>
        <sz val="8"/>
        <rFont val="Verdana"/>
        <family val="2"/>
      </rPr>
      <t xml:space="preserve"> software conformance with pre-established requirements. 2. Need for </t>
    </r>
    <r>
      <rPr>
        <b/>
        <sz val="8"/>
        <rFont val="Verdana"/>
        <family val="2"/>
      </rPr>
      <t>Considerable</t>
    </r>
    <r>
      <rPr>
        <sz val="8"/>
        <rFont val="Verdana"/>
        <family val="2"/>
      </rPr>
      <t xml:space="preserve"> Software Conformance with external interface Specifications. 3. Combination of </t>
    </r>
    <r>
      <rPr>
        <b/>
        <sz val="8"/>
        <rFont val="Verdana"/>
        <family val="2"/>
      </rPr>
      <t>Medium</t>
    </r>
    <r>
      <rPr>
        <sz val="8"/>
        <rFont val="Verdana"/>
        <family val="2"/>
      </rPr>
      <t xml:space="preserve"> inflexibilities above with premium on early completion.</t>
    </r>
  </si>
  <si>
    <r>
      <t>c. N: Often (60%)</t>
    </r>
    <r>
      <rPr>
        <sz val="8"/>
        <rFont val="Verdana"/>
        <family val="2"/>
      </rPr>
      <t xml:space="preserve">: 1. Risk Management Plan identifies </t>
    </r>
    <r>
      <rPr>
        <b/>
        <sz val="8"/>
        <rFont val="Verdana"/>
        <family val="2"/>
      </rPr>
      <t>Some</t>
    </r>
    <r>
      <rPr>
        <sz val="8"/>
        <rFont val="Verdana"/>
        <family val="2"/>
      </rPr>
      <t xml:space="preserve"> Critical Risk Items, and establishes  milestones for resolving them by PDR. 2. </t>
    </r>
    <r>
      <rPr>
        <b/>
        <sz val="8"/>
        <rFont val="Verdana"/>
        <family val="2"/>
      </rPr>
      <t>Some</t>
    </r>
    <r>
      <rPr>
        <sz val="8"/>
        <rFont val="Verdana"/>
        <family val="2"/>
      </rPr>
      <t xml:space="preserve"> Schedule, Budget and internal milestones defined compatible with RMP 3. About </t>
    </r>
    <r>
      <rPr>
        <b/>
        <sz val="8"/>
        <rFont val="Verdana"/>
        <family val="2"/>
      </rPr>
      <t>17%</t>
    </r>
    <r>
      <rPr>
        <sz val="8"/>
        <rFont val="Verdana"/>
        <family val="2"/>
      </rPr>
      <t xml:space="preserve"> schedule is devoting to establishing architecture  for general product objective. 4. around </t>
    </r>
    <r>
      <rPr>
        <b/>
        <sz val="8"/>
        <rFont val="Verdana"/>
        <family val="2"/>
      </rPr>
      <t>60%</t>
    </r>
    <r>
      <rPr>
        <sz val="8"/>
        <rFont val="Verdana"/>
        <family val="2"/>
      </rPr>
      <t xml:space="preserve"> of requirement of top Architects available for project. 5. </t>
    </r>
    <r>
      <rPr>
        <b/>
        <sz val="8"/>
        <rFont val="Verdana"/>
        <family val="2"/>
      </rPr>
      <t>Some</t>
    </r>
    <r>
      <rPr>
        <sz val="8"/>
        <rFont val="Verdana"/>
        <family val="2"/>
      </rPr>
      <t xml:space="preserve"> tool support for resolving risks, developing and verifying arch. 6. </t>
    </r>
    <r>
      <rPr>
        <b/>
        <sz val="8"/>
        <rFont val="Verdana"/>
        <family val="2"/>
      </rPr>
      <t>Considerable</t>
    </r>
    <r>
      <rPr>
        <sz val="8"/>
        <rFont val="Verdana"/>
        <family val="2"/>
      </rPr>
      <t xml:space="preserve"> level of uncertainity in arch. drivers(mission, user interface, COTS, hardware, technology, performance). 7. </t>
    </r>
    <r>
      <rPr>
        <b/>
        <sz val="8"/>
        <rFont val="Verdana"/>
        <family val="2"/>
      </rPr>
      <t xml:space="preserve">2-4 </t>
    </r>
    <r>
      <rPr>
        <sz val="8"/>
        <rFont val="Verdana"/>
        <family val="2"/>
      </rPr>
      <t xml:space="preserve"> Criticality of Risk Items. CMMI Level 3 </t>
    </r>
  </si>
  <si>
    <r>
      <t>c. N: Basically co-operative interactions:</t>
    </r>
    <r>
      <rPr>
        <sz val="8"/>
        <rFont val="Verdana"/>
        <family val="2"/>
      </rPr>
      <t xml:space="preserve"> 1. Basic Consistency of stakeholder objectives and cultures, 2. Basic ability, willingness of stakeholder's objectives, 3. Little experience of stakeholders in operating as a team, 4. Little stateholder's team building to acheive shared vision and commitments</t>
    </r>
  </si>
  <si>
    <t>c. N: CMMI Level 2 equivalent. OR CMM Level 2. OR Incase of ISO Certified mark Yes/No</t>
  </si>
  <si>
    <t>c. N: M oderate easily recoverable losses to users:</t>
  </si>
  <si>
    <t>c. H: 10,001 to 100,000 bytes</t>
  </si>
  <si>
    <r>
      <t>d. H: Generally/mostly familiar:</t>
    </r>
    <r>
      <rPr>
        <sz val="8"/>
        <rFont val="Verdana"/>
        <family val="2"/>
      </rPr>
      <t xml:space="preserve"> 1. </t>
    </r>
    <r>
      <rPr>
        <b/>
        <sz val="8"/>
        <rFont val="Verdana"/>
        <family val="2"/>
      </rPr>
      <t>Considerable</t>
    </r>
    <r>
      <rPr>
        <sz val="8"/>
        <rFont val="Verdana"/>
        <family val="2"/>
      </rPr>
      <t xml:space="preserve"> Organizational understanding of product objectives. 2. </t>
    </r>
    <r>
      <rPr>
        <b/>
        <sz val="8"/>
        <rFont val="Verdana"/>
        <family val="2"/>
      </rPr>
      <t>Considerable</t>
    </r>
    <r>
      <rPr>
        <sz val="8"/>
        <rFont val="Verdana"/>
        <family val="2"/>
      </rPr>
      <t xml:space="preserve"> Experience in working with related software systems, 3. </t>
    </r>
    <r>
      <rPr>
        <b/>
        <sz val="8"/>
        <rFont val="Verdana"/>
        <family val="2"/>
      </rPr>
      <t>Moderate</t>
    </r>
    <r>
      <rPr>
        <sz val="8"/>
        <rFont val="Verdana"/>
        <family val="2"/>
      </rPr>
      <t xml:space="preserve"> Concurrent development of associated new hardware and Operational Procedures, 4. </t>
    </r>
    <r>
      <rPr>
        <b/>
        <sz val="8"/>
        <rFont val="Verdana"/>
        <family val="2"/>
      </rPr>
      <t>Some</t>
    </r>
    <r>
      <rPr>
        <sz val="8"/>
        <rFont val="Verdana"/>
        <family val="2"/>
      </rPr>
      <t xml:space="preserve"> need for innovative dataprocessing architectures, algorithms. Semidetached &lt;30,000 dsi. CMMI Level 4</t>
    </r>
  </si>
  <si>
    <r>
      <t>d. H: general conformity:</t>
    </r>
    <r>
      <rPr>
        <sz val="8"/>
        <rFont val="Verdana"/>
        <family val="2"/>
      </rPr>
      <t xml:space="preserve"> 1. Need for </t>
    </r>
    <r>
      <rPr>
        <b/>
        <sz val="8"/>
        <rFont val="Verdana"/>
        <family val="2"/>
      </rPr>
      <t>Considerable</t>
    </r>
    <r>
      <rPr>
        <sz val="8"/>
        <rFont val="Verdana"/>
        <family val="2"/>
      </rPr>
      <t xml:space="preserve"> software conformance with pre-established requirements. 2. Need for </t>
    </r>
    <r>
      <rPr>
        <b/>
        <sz val="8"/>
        <rFont val="Verdana"/>
        <family val="2"/>
      </rPr>
      <t>Considerable</t>
    </r>
    <r>
      <rPr>
        <sz val="8"/>
        <rFont val="Verdana"/>
        <family val="2"/>
      </rPr>
      <t xml:space="preserve"> Software Conformance with external interface Specifications. 3. Combination of </t>
    </r>
    <r>
      <rPr>
        <b/>
        <sz val="8"/>
        <rFont val="Verdana"/>
        <family val="2"/>
      </rPr>
      <t>Medium</t>
    </r>
    <r>
      <rPr>
        <sz val="8"/>
        <rFont val="Verdana"/>
        <family val="2"/>
      </rPr>
      <t xml:space="preserve"> inflexibilities above with premium on early completion.</t>
    </r>
  </si>
  <si>
    <r>
      <t>d. Generally(75%)</t>
    </r>
    <r>
      <rPr>
        <sz val="8"/>
        <rFont val="Verdana"/>
        <family val="2"/>
      </rPr>
      <t xml:space="preserve">: 1. Risk Management Plan identifies </t>
    </r>
    <r>
      <rPr>
        <b/>
        <sz val="8"/>
        <rFont val="Verdana"/>
        <family val="2"/>
      </rPr>
      <t>Generally</t>
    </r>
    <r>
      <rPr>
        <sz val="8"/>
        <rFont val="Verdana"/>
        <family val="2"/>
      </rPr>
      <t xml:space="preserve"> Critical Risk Items, and establishes milestones for resolving them by PDR. 2. </t>
    </r>
    <r>
      <rPr>
        <b/>
        <sz val="8"/>
        <rFont val="Verdana"/>
        <family val="2"/>
      </rPr>
      <t>Generally</t>
    </r>
    <r>
      <rPr>
        <sz val="8"/>
        <rFont val="Verdana"/>
        <family val="2"/>
      </rPr>
      <t xml:space="preserve"> Schedule, Budget and internal milestones defined compatible with RMP 3. About </t>
    </r>
    <r>
      <rPr>
        <b/>
        <sz val="8"/>
        <rFont val="Verdana"/>
        <family val="2"/>
      </rPr>
      <t>25%</t>
    </r>
    <r>
      <rPr>
        <sz val="8"/>
        <rFont val="Verdana"/>
        <family val="2"/>
      </rPr>
      <t xml:space="preserve"> schedule is devoting to establishing architecture  for general product objective. 4. around </t>
    </r>
    <r>
      <rPr>
        <b/>
        <sz val="8"/>
        <rFont val="Verdana"/>
        <family val="2"/>
      </rPr>
      <t xml:space="preserve">80% </t>
    </r>
    <r>
      <rPr>
        <sz val="8"/>
        <rFont val="Verdana"/>
        <family val="2"/>
      </rPr>
      <t xml:space="preserve">of requirement of top Architects available for project. 5. </t>
    </r>
    <r>
      <rPr>
        <b/>
        <sz val="8"/>
        <rFont val="Verdana"/>
        <family val="2"/>
      </rPr>
      <t>Good</t>
    </r>
    <r>
      <rPr>
        <sz val="8"/>
        <rFont val="Verdana"/>
        <family val="2"/>
      </rPr>
      <t xml:space="preserve"> tool support for resolving risks, developing and verifying arch. 6. Some level of uncertainity in arch. drivers(mission, user interface, COTS, hardware, technology, performance). 7. </t>
    </r>
    <r>
      <rPr>
        <b/>
        <sz val="8"/>
        <rFont val="Verdana"/>
        <family val="2"/>
      </rPr>
      <t>1</t>
    </r>
    <r>
      <rPr>
        <sz val="8"/>
        <rFont val="Verdana"/>
        <family val="2"/>
      </rPr>
      <t xml:space="preserve"> Criticality of Risk Items. CMMI Level 4 </t>
    </r>
  </si>
  <si>
    <r>
      <t>d. H: Largely cooperative interactions:</t>
    </r>
    <r>
      <rPr>
        <sz val="8"/>
        <rFont val="Verdana"/>
        <family val="2"/>
      </rPr>
      <t xml:space="preserve"> 1. Considerable Consistency of stakeholder objectives and cultures, 2. Considerable ability, willingness of stakeholder's objectives, 3. Basic experience of stakeholders in operating as a team, 4. Basic stateholder's team building to acheive shared vision and commitments. CMMI Level 3 </t>
    </r>
  </si>
  <si>
    <t>d. H: CMMI Level 3 equivalent. OR CMM Level 3. OR Incase of ISO Certified mark Yes/No</t>
  </si>
  <si>
    <r>
      <t>d. H:  High financial loss to the users:</t>
    </r>
    <r>
      <rPr>
        <sz val="8"/>
        <rFont val="Verdana"/>
        <family val="2"/>
      </rPr>
      <t xml:space="preserve"> 1. RE and Prod design phase: Detailed verification,  QA, CM, PDR, documentation, test plans and procedures, standards. 2. Detailed Design: Detailed verification, QA, CM, standards, CDR, documentation, test plans, procedures. 3. Code and Unit testing: Detailed test procedures, QA, CM, documentation. Extensive off nominal tests 4. Integration and Test: Detailed test procedures, QA, CM, documentation. Extensive stress, off-nominal tests. CMMI Level = 2 and Above</t>
    </r>
  </si>
  <si>
    <t>d. VH: Greater than 100,000 bytes</t>
  </si>
  <si>
    <r>
      <t xml:space="preserve">e. VH: Largely familiar: </t>
    </r>
  </si>
  <si>
    <t xml:space="preserve">e. VH: some conformity: </t>
  </si>
  <si>
    <r>
      <t>e. Mostly(90%)</t>
    </r>
    <r>
      <rPr>
        <sz val="8"/>
        <rFont val="Verdana"/>
        <family val="2"/>
      </rPr>
      <t xml:space="preserve">: 1. Risk Management Plan identifies </t>
    </r>
    <r>
      <rPr>
        <b/>
        <sz val="8"/>
        <rFont val="Verdana"/>
        <family val="2"/>
      </rPr>
      <t>Mostely</t>
    </r>
    <r>
      <rPr>
        <sz val="8"/>
        <rFont val="Verdana"/>
        <family val="2"/>
      </rPr>
      <t xml:space="preserve"> Critical Risk Items, and establishes milestones for resolving them by PDR. 2. </t>
    </r>
    <r>
      <rPr>
        <b/>
        <sz val="8"/>
        <rFont val="Verdana"/>
        <family val="2"/>
      </rPr>
      <t>Mostely</t>
    </r>
    <r>
      <rPr>
        <sz val="8"/>
        <rFont val="Verdana"/>
        <family val="2"/>
      </rPr>
      <t xml:space="preserve"> Schedule, Budget and internal milestones defined compatible with RMP 3. About </t>
    </r>
    <r>
      <rPr>
        <b/>
        <sz val="8"/>
        <rFont val="Verdana"/>
        <family val="2"/>
      </rPr>
      <t>33%</t>
    </r>
    <r>
      <rPr>
        <sz val="8"/>
        <rFont val="Verdana"/>
        <family val="2"/>
      </rPr>
      <t xml:space="preserve"> schedule is devoting to establishing architecture  for general product objective. 4. around </t>
    </r>
    <r>
      <rPr>
        <b/>
        <sz val="8"/>
        <rFont val="Verdana"/>
        <family val="2"/>
      </rPr>
      <t>100%</t>
    </r>
    <r>
      <rPr>
        <sz val="8"/>
        <rFont val="Verdana"/>
        <family val="2"/>
      </rPr>
      <t xml:space="preserve"> of requirement of top Architects available for project. 5. </t>
    </r>
    <r>
      <rPr>
        <b/>
        <sz val="8"/>
        <rFont val="Verdana"/>
        <family val="2"/>
      </rPr>
      <t>Strong</t>
    </r>
    <r>
      <rPr>
        <sz val="8"/>
        <rFont val="Verdana"/>
        <family val="2"/>
      </rPr>
      <t xml:space="preserve"> tool support for resolving risks, developing and verifying arch. 6. </t>
    </r>
    <r>
      <rPr>
        <b/>
        <sz val="8"/>
        <rFont val="Verdana"/>
        <family val="2"/>
      </rPr>
      <t>Little</t>
    </r>
    <r>
      <rPr>
        <sz val="8"/>
        <rFont val="Verdana"/>
        <family val="2"/>
      </rPr>
      <t xml:space="preserve"> level of uncertainity in arch. drivers(mission, user interface, COTS, hardware, technology, performance). 7. </t>
    </r>
    <r>
      <rPr>
        <b/>
        <sz val="8"/>
        <rFont val="Verdana"/>
        <family val="2"/>
      </rPr>
      <t>&gt; 5</t>
    </r>
    <r>
      <rPr>
        <sz val="8"/>
        <rFont val="Verdana"/>
        <family val="2"/>
      </rPr>
      <t xml:space="preserve"> Non Criticality of Risk Items. CMMI Level 4 - 5</t>
    </r>
  </si>
  <si>
    <r>
      <t xml:space="preserve">e. VH: Highly cooperative: </t>
    </r>
    <r>
      <rPr>
        <sz val="8"/>
        <rFont val="Verdana"/>
        <family val="2"/>
      </rPr>
      <t>1. Strong Consistency of stakeholder objectives and cultures, 2. Strong ability, willingness of stakeholder's objectives, 3. Considerable experience of stakeholders in operating as a team, 4. Considerable stateholder's team building to acheive shared vision and commitments. CMMI Level 3 and  above</t>
    </r>
  </si>
  <si>
    <t>e. VH: CMMI Level 4 equivalent. OR CMM Level 4. OR Incase of ISO Certified mark Yes/No</t>
  </si>
  <si>
    <r>
      <t>e. VH: Risk to human life:</t>
    </r>
    <r>
      <rPr>
        <sz val="8"/>
        <rFont val="Verdana"/>
        <family val="2"/>
      </rPr>
      <t xml:space="preserve"> 1. RE and Prod design phase: Detailed verification,  QA, CM, PDR, documentation. IV &amp; V interface. Very Detailed test plans and procedures, standards. 2. Detailed Design: Detailed verification, QA, CM, standards, CDR, documentation. Very thorough Design inspections. Very Detailed test plans, procedures. IV &amp; V interface. 3. Code and Unit testing: Detailed test procedures, QA, CM, documentation. Very Thorough code inspections. Very Extensive off-nominal tests. IV &amp; V interface. 4. Integration and Test: Very Detailed test procedures, QA, CM, documentation. Very Extensive stress, off-nominal tests. IV &amp; V interface. CMMI Level = 2 and Above</t>
    </r>
  </si>
  <si>
    <r>
      <t>f.  EH: Thoroughly familiar and Thoroughly Clear Requiremnts:</t>
    </r>
    <r>
      <rPr>
        <sz val="8"/>
        <rFont val="Verdana"/>
        <family val="2"/>
      </rPr>
      <t xml:space="preserve"> 1. </t>
    </r>
    <r>
      <rPr>
        <b/>
        <sz val="8"/>
        <rFont val="Verdana"/>
        <family val="2"/>
      </rPr>
      <t>Through</t>
    </r>
    <r>
      <rPr>
        <sz val="8"/>
        <rFont val="Verdana"/>
        <family val="2"/>
      </rPr>
      <t xml:space="preserve"> Organizational understanding of product objectives. 2. </t>
    </r>
    <r>
      <rPr>
        <b/>
        <sz val="8"/>
        <rFont val="Verdana"/>
        <family val="2"/>
      </rPr>
      <t>Extensive</t>
    </r>
    <r>
      <rPr>
        <sz val="8"/>
        <rFont val="Verdana"/>
        <family val="2"/>
      </rPr>
      <t xml:space="preserve"> Experience in working with related software systems, 3. </t>
    </r>
    <r>
      <rPr>
        <b/>
        <sz val="8"/>
        <rFont val="Verdana"/>
        <family val="2"/>
      </rPr>
      <t>Some</t>
    </r>
    <r>
      <rPr>
        <sz val="8"/>
        <rFont val="Verdana"/>
        <family val="2"/>
      </rPr>
      <t xml:space="preserve"> Concurrent development of associated new hardware and Operational Procedures, 4. </t>
    </r>
    <r>
      <rPr>
        <b/>
        <sz val="8"/>
        <rFont val="Verdana"/>
        <family val="2"/>
      </rPr>
      <t>Minimal</t>
    </r>
    <r>
      <rPr>
        <sz val="8"/>
        <rFont val="Verdana"/>
        <family val="2"/>
      </rPr>
      <t xml:space="preserve"> need for innovative dataprocessing architectures, algorithms. Organic &lt;50,000 . CMMI Level 5</t>
    </r>
  </si>
  <si>
    <r>
      <t>f. EH: general goals:</t>
    </r>
    <r>
      <rPr>
        <sz val="8"/>
        <rFont val="Verdana"/>
        <family val="2"/>
      </rPr>
      <t xml:space="preserve"> 1. Need for </t>
    </r>
    <r>
      <rPr>
        <b/>
        <sz val="8"/>
        <rFont val="Verdana"/>
        <family val="2"/>
      </rPr>
      <t>Basic</t>
    </r>
    <r>
      <rPr>
        <sz val="8"/>
        <rFont val="Verdana"/>
        <family val="2"/>
      </rPr>
      <t xml:space="preserve"> software conformance with pre-established requirements. 2. Need for </t>
    </r>
    <r>
      <rPr>
        <b/>
        <sz val="8"/>
        <rFont val="Verdana"/>
        <family val="2"/>
      </rPr>
      <t>Basic</t>
    </r>
    <r>
      <rPr>
        <sz val="8"/>
        <rFont val="Verdana"/>
        <family val="2"/>
      </rPr>
      <t xml:space="preserve"> Software Conformance with external interface Specifications. 3. Combination of </t>
    </r>
    <r>
      <rPr>
        <b/>
        <sz val="8"/>
        <rFont val="Verdana"/>
        <family val="2"/>
      </rPr>
      <t>Low</t>
    </r>
    <r>
      <rPr>
        <sz val="8"/>
        <rFont val="Verdana"/>
        <family val="2"/>
      </rPr>
      <t xml:space="preserve"> inflexibilities above with premium on early completion.</t>
    </r>
  </si>
  <si>
    <r>
      <t>f. EH: Full(100%)</t>
    </r>
    <r>
      <rPr>
        <sz val="8"/>
        <rFont val="Verdana"/>
        <family val="2"/>
      </rPr>
      <t xml:space="preserve">: 1. Risk Management Plan identifies </t>
    </r>
    <r>
      <rPr>
        <b/>
        <sz val="8"/>
        <rFont val="Verdana"/>
        <family val="2"/>
      </rPr>
      <t>Fully</t>
    </r>
    <r>
      <rPr>
        <sz val="8"/>
        <rFont val="Verdana"/>
        <family val="2"/>
      </rPr>
      <t xml:space="preserve"> Critical Risk Items, and establishes milestones for resolving them by PDR. 2. </t>
    </r>
    <r>
      <rPr>
        <b/>
        <sz val="8"/>
        <rFont val="Verdana"/>
        <family val="2"/>
      </rPr>
      <t>Fully</t>
    </r>
    <r>
      <rPr>
        <sz val="8"/>
        <rFont val="Verdana"/>
        <family val="2"/>
      </rPr>
      <t xml:space="preserve"> Schedule, Budget and internal milestones defined compatible with RMP 3. About </t>
    </r>
    <r>
      <rPr>
        <b/>
        <sz val="8"/>
        <rFont val="Verdana"/>
        <family val="2"/>
      </rPr>
      <t>40%</t>
    </r>
    <r>
      <rPr>
        <sz val="8"/>
        <rFont val="Verdana"/>
        <family val="2"/>
      </rPr>
      <t xml:space="preserve"> schedule is devoting to establishing architecture  for general product objective. 4. around </t>
    </r>
    <r>
      <rPr>
        <b/>
        <sz val="8"/>
        <rFont val="Verdana"/>
        <family val="2"/>
      </rPr>
      <t>120%</t>
    </r>
    <r>
      <rPr>
        <sz val="8"/>
        <rFont val="Verdana"/>
        <family val="2"/>
      </rPr>
      <t xml:space="preserve"> of requirement of top Architects available for project. 5. </t>
    </r>
    <r>
      <rPr>
        <b/>
        <sz val="8"/>
        <rFont val="Verdana"/>
        <family val="2"/>
      </rPr>
      <t>Fully</t>
    </r>
    <r>
      <rPr>
        <sz val="8"/>
        <rFont val="Verdana"/>
        <family val="2"/>
      </rPr>
      <t xml:space="preserve"> tool support for resolving risks, developing and verifying architecture. 6. </t>
    </r>
    <r>
      <rPr>
        <b/>
        <sz val="8"/>
        <rFont val="Verdana"/>
        <family val="2"/>
      </rPr>
      <t>Very Little</t>
    </r>
    <r>
      <rPr>
        <sz val="8"/>
        <rFont val="Verdana"/>
        <family val="2"/>
      </rPr>
      <t xml:space="preserve"> level of uncertainity in architecture drivers (mission, user interface, COTS, hardware, technology, performance). 7. </t>
    </r>
    <r>
      <rPr>
        <b/>
        <sz val="8"/>
        <rFont val="Verdana"/>
        <family val="2"/>
      </rPr>
      <t xml:space="preserve">&lt; 5 </t>
    </r>
    <r>
      <rPr>
        <sz val="8"/>
        <rFont val="Verdana"/>
        <family val="2"/>
      </rPr>
      <t>Non Criticality of Risk Items. CMMI Level - 5</t>
    </r>
  </si>
  <si>
    <r>
      <t>f. EH: Seamless interaction:</t>
    </r>
    <r>
      <rPr>
        <sz val="8"/>
        <rFont val="Verdana"/>
        <family val="2"/>
      </rPr>
      <t xml:space="preserve"> 1. Full Consistency of stakeholder objectives and cultures, 2. Full ability, willingness of stakeholder's objectives, 3. Extensive experience of stakeholders in operating as a team, 4. Extensive stateholder's team building to acheive shared vision and commitments. CMMI Level 3 </t>
    </r>
  </si>
  <si>
    <t>f. EH: CMMI Level 5 equivalent. OR CMM Level 5. OR Incase of ISO Certified mark Yes/No</t>
  </si>
  <si>
    <t>g.  I DON'T KNOW</t>
  </si>
  <si>
    <t>g. I DON’T KNOW</t>
  </si>
  <si>
    <t xml:space="preserve">Software Understanding Increment SU </t>
  </si>
  <si>
    <t>Programmer Unfamiliarity (UNFM)</t>
  </si>
  <si>
    <t>a) VL: 50% penalty on interface checking: Very low cohesion, high coupling, spaghetti code. No match between program and application world views. Obscure code; documentation missing, obscure or obsolete</t>
  </si>
  <si>
    <t xml:space="preserve">a) VL: 0.0: Completely Familier </t>
  </si>
  <si>
    <t>b) L: 40% : Moderately low cohesion, high coupling. Some correlation between program and application. Some code commentary and headers; some useful documentation.</t>
  </si>
  <si>
    <t>b) L: 0.2: Mostely Familier</t>
  </si>
  <si>
    <t>c) N: 30% : Reasonably well- structured; some weak areas. Moderate correlation between program and application. Moderate level of code commentary, headers, documentations.</t>
  </si>
  <si>
    <t>d) H: 20%: High cohesion, low coupling. Good correlation between program and application. Good code commentary and headers; useful documentation; some weak areas.</t>
  </si>
  <si>
    <t>e) VH: 10%: Strong modularity, information hiding in data / control structures. Clear match between program and application world-views. Self-descriptive code; documentation up-to-date, well-organized, with design rationale.</t>
  </si>
  <si>
    <t>f) Don’t know</t>
  </si>
  <si>
    <t>g) Don’t know</t>
  </si>
  <si>
    <r>
      <t xml:space="preserve"> SU is expressed quantitatively as a percentage. If the software is rated very high on structure, applications clarity, and self-descriptiveness, the software understanding and interface-checking penalty is 10%. If the software is rated very low on these factors, the penalty is 50%. SU is determined by taking the subjective average of the three categories. (Structure + Application Clarity + Self Descriptiveness). </t>
    </r>
    <r>
      <rPr>
        <b/>
        <sz val="8"/>
        <rFont val="Verdana"/>
        <family val="2"/>
      </rPr>
      <t>Note: select if Maintenance Phase Exists.</t>
    </r>
  </si>
  <si>
    <r>
      <t xml:space="preserve">The UNFM parameter is applied multiplicatively to the software understanding effort increment. If the programmer works with the software every day, the 0.0 multiplier for UNFM will add no software understanding increment. If the programmer has never seen the software before, the 1.0 multiplier will add the full software understanding effort increment. </t>
    </r>
    <r>
      <rPr>
        <b/>
        <sz val="8"/>
        <rFont val="Verdana"/>
        <family val="2"/>
      </rPr>
      <t>Note: select if Maintenance Phase Exists.</t>
    </r>
  </si>
  <si>
    <t>c) N: 0.4: Some What Familier</t>
  </si>
  <si>
    <t>d) H: 0.6: Considerably Familiar</t>
  </si>
  <si>
    <t>e) VH: 0.8: Mostly Unfamilier</t>
  </si>
  <si>
    <t>f) EH: 1.0: Completely Unfamilier</t>
  </si>
  <si>
    <r>
      <t>% effort of</t>
    </r>
    <r>
      <rPr>
        <b/>
        <sz val="10"/>
        <rFont val="Verdana"/>
        <family val="2"/>
      </rPr>
      <t xml:space="preserve"> </t>
    </r>
    <r>
      <rPr>
        <sz val="10"/>
        <rFont val="Verdana"/>
        <family val="2"/>
      </rPr>
      <t>Code + Testing phases effected.</t>
    </r>
  </si>
  <si>
    <t>23. Effort Distribution: Percentage of Effort saved through the Reuse of work products, out of Total Effort [14]</t>
  </si>
  <si>
    <r>
      <t xml:space="preserve">8a. Final Equivalent Software Size </t>
    </r>
    <r>
      <rPr>
        <b/>
        <sz val="10"/>
        <rFont val="Verdana"/>
        <family val="2"/>
      </rPr>
      <t>KLOC</t>
    </r>
  </si>
  <si>
    <t>9. FP Size, backfired from Total Software Size LOC</t>
  </si>
  <si>
    <t>18.  Men Power: Average Loading = Effort Estimated / Schedule Estimated (PLANNED) = Ep/Sp</t>
  </si>
  <si>
    <t>17a. Men Power: Team Size | Number of Technical people worked for project  (ACTUAL) = Ea/Sa</t>
  </si>
  <si>
    <r>
      <rPr>
        <sz val="10"/>
        <rFont val="Verdana"/>
        <family val="2"/>
      </rPr>
      <t xml:space="preserve">39. </t>
    </r>
    <r>
      <rPr>
        <b/>
        <sz val="10"/>
        <rFont val="Verdana"/>
        <family val="2"/>
      </rPr>
      <t>Defect Density =</t>
    </r>
    <r>
      <rPr>
        <sz val="10"/>
        <rFont val="Verdana"/>
        <family val="2"/>
      </rPr>
      <t xml:space="preserve"> Number of pre Defects in a Code / Size of the Code in LOC </t>
    </r>
  </si>
  <si>
    <t>42. Defect Detection Percentage = Pre-Release Code Defects found during QA,Testing stage / (Pre+Post release defects found by customer after release)</t>
  </si>
  <si>
    <r>
      <t xml:space="preserve">30. Process Effectiveness: Functional Correctness: # of </t>
    </r>
    <r>
      <rPr>
        <b/>
        <sz val="10"/>
        <color indexed="9"/>
        <rFont val="Verdana"/>
        <family val="2"/>
      </rPr>
      <t>Defects Identified in (SRS)</t>
    </r>
    <r>
      <rPr>
        <sz val="10"/>
        <color indexed="9"/>
        <rFont val="Verdana"/>
        <family val="2"/>
      </rPr>
      <t xml:space="preserve"> after it is signed off by internal QA or Inspection. Also known as defect potential</t>
    </r>
  </si>
  <si>
    <r>
      <t>32. Functional Correctness:  % of defects left in SRS = I - R .</t>
    </r>
    <r>
      <rPr>
        <sz val="10"/>
        <color indexed="9"/>
        <rFont val="Verdana"/>
        <family val="2"/>
      </rPr>
      <t xml:space="preserve"> Also known as defect delivered</t>
    </r>
  </si>
  <si>
    <r>
      <t xml:space="preserve">A. Project's Resembellance to Previously developed projects, Precedentedness </t>
    </r>
    <r>
      <rPr>
        <b/>
        <sz val="10"/>
        <rFont val="Verdana"/>
        <family val="2"/>
      </rPr>
      <t xml:space="preserve">(PREC) </t>
    </r>
  </si>
  <si>
    <r>
      <t xml:space="preserve">B. Degree of Conformance Enforced to Requirements and Schedule, Development. Flexibility </t>
    </r>
    <r>
      <rPr>
        <b/>
        <sz val="10"/>
        <rFont val="Verdana"/>
        <family val="2"/>
      </rPr>
      <t>(FLEX)</t>
    </r>
  </si>
  <si>
    <r>
      <t xml:space="preserve">C. Architecture / Risk Resolution </t>
    </r>
    <r>
      <rPr>
        <b/>
        <sz val="10"/>
        <rFont val="Verdana"/>
        <family val="2"/>
      </rPr>
      <t xml:space="preserve">(RESL) </t>
    </r>
  </si>
  <si>
    <r>
      <t xml:space="preserve">D. Stakeholder Sticking Together, Cohesion </t>
    </r>
    <r>
      <rPr>
        <b/>
        <sz val="10"/>
        <rFont val="Verdana"/>
        <family val="2"/>
      </rPr>
      <t>(TEAM)</t>
    </r>
  </si>
  <si>
    <t>E. Your Organization's Process Maturity Ranking at the time of attempting  individual Software Development Project</t>
  </si>
  <si>
    <r>
      <t xml:space="preserve">F.  Process Compliance: Process Maturity Ranking </t>
    </r>
    <r>
      <rPr>
        <b/>
        <sz val="10"/>
        <rFont val="Verdana"/>
        <family val="2"/>
      </rPr>
      <t>(PMAT)</t>
    </r>
  </si>
  <si>
    <r>
      <t xml:space="preserve">G. Required Software Reliability </t>
    </r>
    <r>
      <rPr>
        <b/>
        <sz val="10"/>
        <rFont val="Verdana"/>
        <family val="2"/>
      </rPr>
      <t xml:space="preserve">(RELY) </t>
    </r>
  </si>
  <si>
    <r>
      <t xml:space="preserve">H. PRODUCT: Data Size.  D/Loc bytes </t>
    </r>
    <r>
      <rPr>
        <b/>
        <sz val="10"/>
        <rFont val="Verdana"/>
        <family val="2"/>
      </rPr>
      <t>(DATA)</t>
    </r>
  </si>
  <si>
    <r>
      <t xml:space="preserve">I. PRODUCT: Develop for Reuse </t>
    </r>
    <r>
      <rPr>
        <b/>
        <sz val="10"/>
        <rFont val="Verdana"/>
        <family val="2"/>
      </rPr>
      <t>(RUSE)</t>
    </r>
  </si>
  <si>
    <r>
      <t xml:space="preserve">J. PRODUCT: Documentation match to life-cycle needs </t>
    </r>
    <r>
      <rPr>
        <b/>
        <sz val="10"/>
        <rFont val="Verdana"/>
        <family val="2"/>
      </rPr>
      <t xml:space="preserve">(DOCU) </t>
    </r>
  </si>
  <si>
    <r>
      <t xml:space="preserve">K. PRODUCT: Product Complexity </t>
    </r>
    <r>
      <rPr>
        <b/>
        <sz val="10"/>
        <rFont val="Verdana"/>
        <family val="2"/>
      </rPr>
      <t>(CPLX)</t>
    </r>
  </si>
  <si>
    <r>
      <t xml:space="preserve">L. PLATFORM: Execution Time Constraint </t>
    </r>
    <r>
      <rPr>
        <b/>
        <sz val="10"/>
        <rFont val="Verdana"/>
        <family val="2"/>
      </rPr>
      <t>(TIME)</t>
    </r>
  </si>
  <si>
    <r>
      <t xml:space="preserve">M. PLATFORM: Main Storage Constraint </t>
    </r>
    <r>
      <rPr>
        <b/>
        <sz val="10"/>
        <rFont val="Verdana"/>
        <family val="2"/>
      </rPr>
      <t>(STOR)</t>
    </r>
  </si>
  <si>
    <r>
      <t>N. PLATFORM: Platform Volatility</t>
    </r>
    <r>
      <rPr>
        <b/>
        <sz val="10"/>
        <rFont val="Verdana"/>
        <family val="2"/>
      </rPr>
      <t xml:space="preserve"> (PVOL)</t>
    </r>
  </si>
  <si>
    <r>
      <t>O. PERSONNEL: Manager Capability</t>
    </r>
    <r>
      <rPr>
        <b/>
        <sz val="10"/>
        <rFont val="Verdana"/>
        <family val="2"/>
      </rPr>
      <t xml:space="preserve"> (MCAP)</t>
    </r>
  </si>
  <si>
    <r>
      <t xml:space="preserve">P. PERSONNEL: Analyst Capability </t>
    </r>
    <r>
      <rPr>
        <b/>
        <sz val="10"/>
        <rFont val="Verdana"/>
        <family val="2"/>
      </rPr>
      <t>(ACAP)</t>
    </r>
  </si>
  <si>
    <r>
      <t xml:space="preserve">Q. PERSONNEL: Programmer Capability </t>
    </r>
    <r>
      <rPr>
        <b/>
        <sz val="10"/>
        <rFont val="Verdana"/>
        <family val="2"/>
      </rPr>
      <t xml:space="preserve">(PCAP) </t>
    </r>
  </si>
  <si>
    <r>
      <t xml:space="preserve">R. PERSONNEL: Project's Annual Personnel </t>
    </r>
    <r>
      <rPr>
        <b/>
        <sz val="10"/>
        <rFont val="Verdana"/>
        <family val="2"/>
      </rPr>
      <t>Turnover</t>
    </r>
    <r>
      <rPr>
        <sz val="10"/>
        <rFont val="Verdana"/>
        <family val="2"/>
      </rPr>
      <t xml:space="preserve"> or Conitnuity </t>
    </r>
    <r>
      <rPr>
        <b/>
        <sz val="10"/>
        <rFont val="Verdana"/>
        <family val="2"/>
      </rPr>
      <t>(PCON)</t>
    </r>
  </si>
  <si>
    <r>
      <t xml:space="preserve">S. PERSONNEL: Manager Experience </t>
    </r>
    <r>
      <rPr>
        <b/>
        <sz val="10"/>
        <rFont val="Verdana"/>
        <family val="2"/>
      </rPr>
      <t>(MEXP)</t>
    </r>
  </si>
  <si>
    <r>
      <t xml:space="preserve">T. PERSONNEL: Team Experience with Applications </t>
    </r>
    <r>
      <rPr>
        <b/>
        <sz val="10"/>
        <rFont val="Verdana"/>
        <family val="2"/>
      </rPr>
      <t>(AEXP)</t>
    </r>
  </si>
  <si>
    <r>
      <t xml:space="preserve">U. PERSONNEL: Team Experience with Platform </t>
    </r>
    <r>
      <rPr>
        <b/>
        <sz val="10"/>
        <rFont val="Verdana"/>
        <family val="2"/>
      </rPr>
      <t>(PEXP)</t>
    </r>
  </si>
  <si>
    <r>
      <t xml:space="preserve">V. PERSONNEL: Team's Language and Tool Experience </t>
    </r>
    <r>
      <rPr>
        <b/>
        <sz val="10"/>
        <rFont val="Verdana"/>
        <family val="2"/>
      </rPr>
      <t xml:space="preserve">(LTEX) </t>
    </r>
  </si>
  <si>
    <r>
      <t xml:space="preserve">W. PROJECT: Use of Software Tools </t>
    </r>
    <r>
      <rPr>
        <b/>
        <sz val="10"/>
        <color indexed="9"/>
        <rFont val="Verdana"/>
        <family val="2"/>
      </rPr>
      <t xml:space="preserve">(TOOL) </t>
    </r>
  </si>
  <si>
    <r>
      <t xml:space="preserve"> X. PROJECT: Multi Site Development, SITE Location and Communication </t>
    </r>
    <r>
      <rPr>
        <b/>
        <sz val="10"/>
        <color indexed="9"/>
        <rFont val="Verdana"/>
        <family val="2"/>
      </rPr>
      <t>(SITE)</t>
    </r>
  </si>
  <si>
    <r>
      <t>Y. SCHEDULE ExpenSSION: Required Development Schedule</t>
    </r>
    <r>
      <rPr>
        <b/>
        <sz val="10"/>
        <color indexed="9"/>
        <rFont val="Verdana"/>
        <family val="2"/>
      </rPr>
      <t xml:space="preserve"> (SCED) </t>
    </r>
  </si>
  <si>
    <r>
      <t xml:space="preserve">Z. BUDGET ExpenSSION:  Budget Pressure </t>
    </r>
    <r>
      <rPr>
        <b/>
        <sz val="10"/>
        <color indexed="9"/>
        <rFont val="Verdana"/>
        <family val="2"/>
      </rPr>
      <t>(BUDG)</t>
    </r>
  </si>
  <si>
    <t>vl</t>
  </si>
  <si>
    <t>EL</t>
  </si>
  <si>
    <r>
      <t>L</t>
    </r>
  </si>
  <si>
    <t>h</t>
  </si>
  <si>
    <t>l</t>
  </si>
  <si>
    <t>cmmi 2 yr</t>
  </si>
  <si>
    <t>cmmi 1 yr</t>
  </si>
  <si>
    <t>CMMI</t>
  </si>
  <si>
    <t>CMMI 2 yrs</t>
  </si>
  <si>
    <t>CMM3, CMMI2</t>
  </si>
  <si>
    <t>CMM4, CMMI2</t>
  </si>
  <si>
    <t>CMM4, CMMI 2</t>
  </si>
  <si>
    <t>CMM3-4, CMMI 2</t>
  </si>
  <si>
    <t>CMM 4, CMMi 2</t>
  </si>
  <si>
    <t>CMMI 5, ISO</t>
  </si>
  <si>
    <t>PREC</t>
  </si>
  <si>
    <t>FLEX</t>
  </si>
  <si>
    <t>RESL</t>
  </si>
  <si>
    <t>TEAM</t>
  </si>
  <si>
    <t>PMAT</t>
  </si>
  <si>
    <t>RELY</t>
  </si>
  <si>
    <t>Data</t>
  </si>
  <si>
    <t>REUSE</t>
  </si>
  <si>
    <t>DOCU</t>
  </si>
  <si>
    <t>CPLX</t>
  </si>
  <si>
    <t>TIME</t>
  </si>
  <si>
    <t>STOR</t>
  </si>
  <si>
    <t>PVOL</t>
  </si>
  <si>
    <t>ACAP</t>
  </si>
  <si>
    <t>PCAP</t>
  </si>
  <si>
    <t>PCON</t>
  </si>
  <si>
    <t>LTEX</t>
  </si>
  <si>
    <t>APEX</t>
  </si>
  <si>
    <t>PLEX</t>
  </si>
  <si>
    <t>Tool</t>
  </si>
  <si>
    <t>SITE</t>
  </si>
  <si>
    <t>SCED</t>
  </si>
  <si>
    <t>* EM</t>
  </si>
  <si>
    <t>A</t>
  </si>
  <si>
    <t>B</t>
  </si>
  <si>
    <t>E = B + 0.01 * Sigma SF</t>
  </si>
  <si>
    <t>Sigma SF</t>
  </si>
  <si>
    <t>Size Pow E</t>
  </si>
  <si>
    <t>Size = KLOC</t>
  </si>
  <si>
    <t>COCOMOII Effort Estimated Person-Month</t>
  </si>
  <si>
    <t>Schedule in Hours</t>
  </si>
  <si>
    <t>Schedule in Month = T</t>
  </si>
  <si>
    <t>F = D+0.2*0.01 * Sigma SF</t>
  </si>
  <si>
    <t>Root F = 1/F</t>
  </si>
  <si>
    <t>PM = Root F (T calander month/C constant 3.67)</t>
  </si>
  <si>
    <t>T calander month/C constant 3.67</t>
  </si>
  <si>
    <t>Effort Actual in Person Month</t>
  </si>
  <si>
    <t>Mean</t>
  </si>
  <si>
    <t>CMMI 1 low</t>
  </si>
  <si>
    <t>CMMI 1 upper</t>
  </si>
  <si>
    <t>CMMI 2</t>
  </si>
  <si>
    <t>CMMI 3</t>
  </si>
  <si>
    <t>CMMI 4</t>
  </si>
  <si>
    <t>CMMI 5</t>
  </si>
  <si>
    <r>
      <t>Financial Performance: EVA: Average</t>
    </r>
    <r>
      <rPr>
        <b/>
        <sz val="10"/>
        <color indexed="10"/>
        <rFont val="Verdana"/>
        <family val="2"/>
      </rPr>
      <t xml:space="preserve"> Cost Performance Index (CPI)</t>
    </r>
  </si>
  <si>
    <r>
      <t xml:space="preserve"> Financial Performance: EVA: Average </t>
    </r>
    <r>
      <rPr>
        <b/>
        <sz val="10"/>
        <color indexed="10"/>
        <rFont val="Verdana"/>
        <family val="2"/>
      </rPr>
      <t>Schedule Performance Index (SPI)</t>
    </r>
  </si>
  <si>
    <t>version 1.1</t>
  </si>
  <si>
    <t>version 1.3</t>
  </si>
  <si>
    <t>Mapping with Prediction Studies: i.e. Productivity Parameters used as COCOMO II Ranking</t>
  </si>
  <si>
    <t>Mapping with Benchmark Studies: i.e. Performance Parameters in Capers John's Productivity and Quality Ranking</t>
  </si>
  <si>
    <t>0. PROCESS COMPLIANCE: Your Organization's Process Maturity Ranking at the time of attempting  individual Software Development Project.   Standard ISO/CMMI ratings</t>
  </si>
  <si>
    <t>1. Missing values which are impossible to be replaced using method like replacing it with mean value</t>
  </si>
  <si>
    <t>Data in Red Color Font is either an outlier because of following reasons:</t>
  </si>
  <si>
    <t>Rows marked Red were not included in Analysis</t>
  </si>
  <si>
    <t>0 (15 / 18), 1 (10/14), 2 (6/7)</t>
  </si>
  <si>
    <t xml:space="preserve">Health care </t>
  </si>
  <si>
    <t>√</t>
  </si>
  <si>
    <t>3 (6/7), 4 (4/4), 5 (17/17)</t>
  </si>
  <si>
    <t xml:space="preserve">Finance </t>
  </si>
  <si>
    <t>4 (4/4)</t>
  </si>
  <si>
    <t xml:space="preserve">Mortgage </t>
  </si>
  <si>
    <t>20. Reported: Effort Actual Person Hours</t>
  </si>
  <si>
    <t>21. Reported: Effort Predicted</t>
  </si>
  <si>
    <t>Inclusion/Exclusion</t>
  </si>
  <si>
    <t>Domain</t>
  </si>
  <si>
    <t>Maturity Level ( Included / Initially Collected)</t>
  </si>
  <si>
    <t>Organization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</si>
</sst>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127">
    <font>
      <sz val="10"/>
      <name val="Arial"/>
      <family val="0"/>
    </font>
    <font>
      <sz val="11"/>
      <color indexed="8"/>
      <name val="Calibri"/>
      <family val="2"/>
    </font>
    <font>
      <u val="single"/>
      <sz val="10"/>
      <color indexed="12"/>
      <name val="Arial"/>
      <family val="2"/>
    </font>
    <font>
      <sz val="8"/>
      <name val="Verdana"/>
      <family val="2"/>
    </font>
    <font>
      <sz val="8"/>
      <name val="Tahoma"/>
      <family val="2"/>
    </font>
    <font>
      <sz val="10"/>
      <color indexed="9"/>
      <name val="Verdana"/>
      <family val="2"/>
    </font>
    <font>
      <sz val="10"/>
      <name val="Verdana"/>
      <family val="2"/>
    </font>
    <font>
      <b/>
      <sz val="8"/>
      <name val="Tahoma"/>
      <family val="2"/>
    </font>
    <font>
      <b/>
      <sz val="10"/>
      <name val="Verdana"/>
      <family val="2"/>
    </font>
    <font>
      <sz val="8"/>
      <color indexed="9"/>
      <name val="Verdana"/>
      <family val="2"/>
    </font>
    <font>
      <b/>
      <sz val="8"/>
      <color indexed="10"/>
      <name val="Verdana"/>
      <family val="2"/>
    </font>
    <font>
      <b/>
      <sz val="8"/>
      <name val="Verdana"/>
      <family val="2"/>
    </font>
    <font>
      <sz val="10"/>
      <name val="Times New Roman"/>
      <family val="1"/>
    </font>
    <font>
      <b/>
      <sz val="10"/>
      <name val="Times New Roman"/>
      <family val="1"/>
    </font>
    <font>
      <sz val="8"/>
      <name val="Times New Roman"/>
      <family val="1"/>
    </font>
    <font>
      <sz val="8"/>
      <name val="Arial"/>
      <family val="2"/>
    </font>
    <font>
      <sz val="9"/>
      <name val="Tahoma"/>
      <family val="2"/>
    </font>
    <font>
      <b/>
      <sz val="9"/>
      <name val="Tahoma"/>
      <family val="2"/>
    </font>
    <font>
      <sz val="10"/>
      <color indexed="8"/>
      <name val="Verdana"/>
      <family val="2"/>
    </font>
    <font>
      <b/>
      <sz val="10"/>
      <color indexed="8"/>
      <name val="Verdana"/>
      <family val="2"/>
    </font>
    <font>
      <b/>
      <sz val="14"/>
      <name val="Tahoma"/>
      <family val="2"/>
    </font>
    <font>
      <sz val="14"/>
      <name val="Tahoma"/>
      <family val="2"/>
    </font>
    <font>
      <b/>
      <sz val="16"/>
      <name val="Tahoma"/>
      <family val="2"/>
    </font>
    <font>
      <sz val="11"/>
      <name val="Verdana"/>
      <family val="2"/>
    </font>
    <font>
      <b/>
      <sz val="11"/>
      <name val="Verdana"/>
      <family val="2"/>
    </font>
    <font>
      <b/>
      <sz val="10"/>
      <color indexed="9"/>
      <name val="Verdana"/>
      <family val="2"/>
    </font>
    <font>
      <sz val="10"/>
      <color indexed="10"/>
      <name val="Verdana"/>
      <family val="2"/>
    </font>
    <font>
      <b/>
      <sz val="10"/>
      <color indexed="13"/>
      <name val="Verdana"/>
      <family val="2"/>
    </font>
    <font>
      <b/>
      <sz val="12"/>
      <color indexed="13"/>
      <name val="Verdana"/>
      <family val="2"/>
    </font>
    <font>
      <sz val="8"/>
      <color indexed="55"/>
      <name val="Verdana"/>
      <family val="2"/>
    </font>
    <font>
      <b/>
      <sz val="8"/>
      <color indexed="55"/>
      <name val="Verdana"/>
      <family val="2"/>
    </font>
    <font>
      <sz val="8"/>
      <color indexed="17"/>
      <name val="Verdana"/>
      <family val="2"/>
    </font>
    <font>
      <b/>
      <sz val="8"/>
      <color indexed="17"/>
      <name val="Verdana"/>
      <family val="2"/>
    </font>
    <font>
      <sz val="8"/>
      <color indexed="10"/>
      <name val="Verdana"/>
      <family val="2"/>
    </font>
    <font>
      <sz val="8"/>
      <color indexed="51"/>
      <name val="Verdana"/>
      <family val="2"/>
    </font>
    <font>
      <b/>
      <sz val="8"/>
      <color indexed="51"/>
      <name val="Verdana"/>
      <family val="2"/>
    </font>
    <font>
      <sz val="8"/>
      <color indexed="50"/>
      <name val="Verdana"/>
      <family val="2"/>
    </font>
    <font>
      <b/>
      <sz val="8"/>
      <color indexed="50"/>
      <name val="Verdana"/>
      <family val="2"/>
    </font>
    <font>
      <sz val="8"/>
      <color indexed="12"/>
      <name val="Verdana"/>
      <family val="2"/>
    </font>
    <font>
      <b/>
      <sz val="8"/>
      <color indexed="12"/>
      <name val="Verdana"/>
      <family val="2"/>
    </font>
    <font>
      <sz val="8"/>
      <color indexed="20"/>
      <name val="Verdana"/>
      <family val="2"/>
    </font>
    <font>
      <sz val="8"/>
      <color indexed="40"/>
      <name val="Verdana"/>
      <family val="2"/>
    </font>
    <font>
      <b/>
      <sz val="8"/>
      <color indexed="40"/>
      <name val="Verdana"/>
      <family val="2"/>
    </font>
    <font>
      <sz val="8"/>
      <color indexed="14"/>
      <name val="Verdana"/>
      <family val="2"/>
    </font>
    <font>
      <b/>
      <sz val="8"/>
      <color indexed="14"/>
      <name val="Verdana"/>
      <family val="2"/>
    </font>
    <font>
      <sz val="8"/>
      <color indexed="11"/>
      <name val="Verdana"/>
      <family val="2"/>
    </font>
    <font>
      <b/>
      <sz val="8"/>
      <color indexed="20"/>
      <name val="Verdana"/>
      <family val="2"/>
    </font>
    <font>
      <b/>
      <sz val="8"/>
      <color indexed="11"/>
      <name val="Verdana"/>
      <family val="2"/>
    </font>
    <font>
      <sz val="8"/>
      <color indexed="45"/>
      <name val="Verdana"/>
      <family val="2"/>
    </font>
    <font>
      <b/>
      <sz val="8"/>
      <color indexed="13"/>
      <name val="Verdana"/>
      <family val="2"/>
    </font>
    <font>
      <sz val="8"/>
      <color indexed="13"/>
      <name val="Verdana"/>
      <family val="2"/>
    </font>
    <font>
      <sz val="8"/>
      <color indexed="57"/>
      <name val="Verdana"/>
      <family val="2"/>
    </font>
    <font>
      <b/>
      <sz val="8"/>
      <color indexed="15"/>
      <name val="Verdana"/>
      <family val="2"/>
    </font>
    <font>
      <sz val="8"/>
      <color indexed="15"/>
      <name val="Verdana"/>
      <family val="2"/>
    </font>
    <font>
      <sz val="8"/>
      <color indexed="46"/>
      <name val="Verdana"/>
      <family val="2"/>
    </font>
    <font>
      <b/>
      <sz val="8"/>
      <color indexed="46"/>
      <name val="Verdana"/>
      <family val="2"/>
    </font>
    <font>
      <b/>
      <sz val="8"/>
      <color indexed="45"/>
      <name val="Verdana"/>
      <family val="2"/>
    </font>
    <font>
      <b/>
      <sz val="12"/>
      <name val="Verdana"/>
      <family val="2"/>
    </font>
    <font>
      <u val="single"/>
      <sz val="8"/>
      <name val="Arial"/>
      <family val="2"/>
    </font>
    <font>
      <b/>
      <sz val="8"/>
      <color indexed="9"/>
      <name val="Verdana"/>
      <family val="2"/>
    </font>
    <font>
      <b/>
      <sz val="10"/>
      <color indexed="10"/>
      <name val="Verdana"/>
      <family val="2"/>
    </font>
    <font>
      <sz val="9"/>
      <name val="Verdana"/>
      <family val="2"/>
    </font>
    <font>
      <sz val="9"/>
      <color indexed="8"/>
      <name val="Verdana"/>
      <family val="2"/>
    </font>
    <font>
      <sz val="12"/>
      <name val="Verdana"/>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Verdana"/>
      <family val="2"/>
    </font>
    <font>
      <sz val="10"/>
      <color indexed="9"/>
      <name val="Arial"/>
      <family val="2"/>
    </font>
    <font>
      <sz val="10"/>
      <color indexed="10"/>
      <name val="Arial"/>
      <family val="2"/>
    </font>
    <font>
      <sz val="9"/>
      <color indexed="10"/>
      <name val="Verdana"/>
      <family val="2"/>
    </font>
    <font>
      <sz val="9"/>
      <color indexed="9"/>
      <name val="Verdana"/>
      <family val="2"/>
    </font>
    <font>
      <sz val="12"/>
      <color indexed="10"/>
      <name val="Verdana"/>
      <family val="2"/>
    </font>
    <font>
      <b/>
      <sz val="12"/>
      <color indexed="10"/>
      <name val="Verdana"/>
      <family val="2"/>
    </font>
    <font>
      <sz val="10"/>
      <color indexed="8"/>
      <name val="Times New Roman"/>
      <family val="1"/>
    </font>
    <font>
      <b/>
      <sz val="12"/>
      <color indexed="8"/>
      <name val="Verdana"/>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Verdana"/>
      <family val="2"/>
    </font>
    <font>
      <b/>
      <sz val="10"/>
      <color theme="0"/>
      <name val="Verdana"/>
      <family val="2"/>
    </font>
    <font>
      <sz val="11"/>
      <color theme="0"/>
      <name val="Verdana"/>
      <family val="2"/>
    </font>
    <font>
      <sz val="10"/>
      <color theme="0"/>
      <name val="Arial"/>
      <family val="2"/>
    </font>
    <font>
      <b/>
      <sz val="10"/>
      <color rgb="FFFF0000"/>
      <name val="Verdana"/>
      <family val="2"/>
    </font>
    <font>
      <sz val="10"/>
      <color rgb="FFFF0000"/>
      <name val="Verdana"/>
      <family val="2"/>
    </font>
    <font>
      <sz val="8"/>
      <color rgb="FFFF0000"/>
      <name val="Verdana"/>
      <family val="2"/>
    </font>
    <font>
      <sz val="10"/>
      <color rgb="FFFF0000"/>
      <name val="Arial"/>
      <family val="2"/>
    </font>
    <font>
      <sz val="9"/>
      <color rgb="FFFF0000"/>
      <name val="Verdana"/>
      <family val="2"/>
    </font>
    <font>
      <sz val="9"/>
      <color theme="0"/>
      <name val="Verdana"/>
      <family val="2"/>
    </font>
    <font>
      <sz val="12"/>
      <color rgb="FFFF0000"/>
      <name val="Verdana"/>
      <family val="2"/>
    </font>
    <font>
      <b/>
      <sz val="12"/>
      <color rgb="FFFF0000"/>
      <name val="Verdana"/>
      <family val="2"/>
    </font>
    <font>
      <b/>
      <sz val="12"/>
      <color theme="1"/>
      <name val="Verdana"/>
      <family val="2"/>
    </font>
    <font>
      <sz val="10"/>
      <color rgb="FF000000"/>
      <name val="Times New Roman"/>
      <family val="1"/>
    </font>
    <font>
      <sz val="12"/>
      <color rgb="FF000000"/>
      <name val="Times New Roman"/>
      <family val="1"/>
    </font>
    <font>
      <b/>
      <sz val="8"/>
      <name val="Arial"/>
      <family val="2"/>
    </font>
  </fonts>
  <fills count="6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50"/>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49"/>
        <bgColor indexed="64"/>
      </patternFill>
    </fill>
    <fill>
      <patternFill patternType="solid">
        <fgColor indexed="51"/>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
      <patternFill patternType="solid">
        <fgColor indexed="26"/>
        <bgColor indexed="64"/>
      </patternFill>
    </fill>
    <fill>
      <patternFill patternType="solid">
        <fgColor indexed="27"/>
        <bgColor indexed="64"/>
      </patternFill>
    </fill>
    <fill>
      <patternFill patternType="solid">
        <fgColor indexed="19"/>
        <bgColor indexed="64"/>
      </patternFill>
    </fill>
    <fill>
      <patternFill patternType="solid">
        <fgColor indexed="62"/>
        <bgColor indexed="64"/>
      </patternFill>
    </fill>
    <fill>
      <patternFill patternType="solid">
        <fgColor indexed="18"/>
        <bgColor indexed="64"/>
      </patternFill>
    </fill>
    <fill>
      <patternFill patternType="solid">
        <fgColor indexed="63"/>
        <bgColor indexed="64"/>
      </patternFill>
    </fill>
    <fill>
      <patternFill patternType="solid">
        <fgColor indexed="13"/>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4" tint="-0.24997000396251678"/>
        <bgColor indexed="64"/>
      </patternFill>
    </fill>
    <fill>
      <patternFill patternType="solid">
        <fgColor indexed="36"/>
        <bgColor indexed="64"/>
      </patternFill>
    </fill>
    <fill>
      <patternFill patternType="solid">
        <fgColor indexed="24"/>
        <bgColor indexed="64"/>
      </patternFill>
    </fill>
    <fill>
      <patternFill patternType="solid">
        <fgColor indexed="31"/>
        <bgColor indexed="64"/>
      </patternFill>
    </fill>
    <fill>
      <patternFill patternType="gray125">
        <bgColor indexed="63"/>
      </patternFill>
    </fill>
    <fill>
      <patternFill patternType="solid">
        <fgColor theme="0" tint="-0.24997000396251678"/>
        <bgColor indexed="64"/>
      </patternFill>
    </fill>
    <fill>
      <patternFill patternType="solid">
        <fgColor theme="3" tint="0.7999799847602844"/>
        <bgColor indexed="64"/>
      </patternFill>
    </fill>
    <fill>
      <patternFill patternType="gray125">
        <bgColor indexed="57"/>
      </patternFill>
    </fill>
    <fill>
      <patternFill patternType="solid">
        <fgColor indexed="30"/>
        <bgColor indexed="64"/>
      </patternFill>
    </fill>
    <fill>
      <patternFill patternType="solid">
        <fgColor indexed="29"/>
        <bgColor indexed="64"/>
      </patternFill>
    </fill>
    <fill>
      <patternFill patternType="solid">
        <fgColor rgb="FFFFFF00"/>
        <bgColor indexed="64"/>
      </patternFill>
    </fill>
    <fill>
      <patternFill patternType="solid">
        <fgColor rgb="FFFF99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style="thin"/>
      <top/>
      <bottom style="thin"/>
    </border>
    <border>
      <left style="thin"/>
      <right style="thin"/>
      <top style="thin"/>
      <bottom/>
    </border>
    <border>
      <left style="thin"/>
      <right/>
      <top style="thin"/>
      <bottom/>
    </border>
    <border>
      <left style="thin"/>
      <right/>
      <top/>
      <bottom/>
    </border>
    <border>
      <left style="thin"/>
      <right/>
      <top/>
      <bottom style="thin"/>
    </border>
    <border>
      <left style="thin"/>
      <right style="thin"/>
      <top style="thin"/>
      <bottom style="thin"/>
    </border>
    <border>
      <left/>
      <right style="thin"/>
      <top style="thin"/>
      <bottom style="thin"/>
    </border>
    <border>
      <left style="thin"/>
      <right style="thin"/>
      <top/>
      <bottom/>
    </border>
    <border>
      <left/>
      <right/>
      <top style="thin"/>
      <bottom style="thin"/>
    </border>
    <border>
      <left style="thin"/>
      <right/>
      <top style="thin"/>
      <bottom style="thin"/>
    </border>
    <border>
      <left/>
      <right/>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2"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830">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left"/>
      <protection/>
    </xf>
    <xf numFmtId="0" fontId="3" fillId="0" borderId="0" xfId="0" applyFont="1" applyAlignment="1">
      <alignment/>
    </xf>
    <xf numFmtId="0" fontId="10" fillId="0" borderId="0" xfId="0" applyFont="1" applyAlignment="1">
      <alignment/>
    </xf>
    <xf numFmtId="0" fontId="3" fillId="0" borderId="0" xfId="0" applyFont="1" applyAlignment="1">
      <alignment wrapText="1"/>
    </xf>
    <xf numFmtId="0" fontId="11" fillId="33" borderId="10" xfId="0" applyFont="1" applyFill="1" applyBorder="1" applyAlignment="1">
      <alignment horizontal="left" vertical="top" wrapText="1"/>
    </xf>
    <xf numFmtId="0" fontId="11" fillId="33" borderId="11" xfId="0" applyFont="1" applyFill="1" applyBorder="1" applyAlignment="1">
      <alignment horizontal="left" vertical="top" wrapText="1"/>
    </xf>
    <xf numFmtId="0" fontId="3" fillId="0" borderId="12" xfId="0" applyFont="1" applyBorder="1" applyAlignment="1">
      <alignment horizontal="left" vertical="top" wrapText="1"/>
    </xf>
    <xf numFmtId="0" fontId="11" fillId="34" borderId="11"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5" borderId="11" xfId="0" applyFont="1" applyFill="1" applyBorder="1" applyAlignment="1">
      <alignment horizontal="left" vertical="top" wrapText="1"/>
    </xf>
    <xf numFmtId="0" fontId="11" fillId="33" borderId="12" xfId="0" applyFont="1" applyFill="1" applyBorder="1" applyAlignment="1">
      <alignment horizontal="left" vertical="top" wrapText="1"/>
    </xf>
    <xf numFmtId="0" fontId="11" fillId="33" borderId="13" xfId="0" applyFont="1" applyFill="1" applyBorder="1" applyAlignment="1">
      <alignment horizontal="left" vertical="top" wrapText="1"/>
    </xf>
    <xf numFmtId="0" fontId="12" fillId="0" borderId="0" xfId="0" applyFont="1" applyAlignment="1">
      <alignment/>
    </xf>
    <xf numFmtId="0" fontId="13" fillId="0" borderId="0" xfId="0" applyFont="1" applyAlignment="1">
      <alignment horizontal="left" indent="2"/>
    </xf>
    <xf numFmtId="0" fontId="3" fillId="36" borderId="12" xfId="0" applyFont="1" applyFill="1" applyBorder="1" applyAlignment="1">
      <alignment horizontal="left" vertical="top" wrapText="1"/>
    </xf>
    <xf numFmtId="0" fontId="3" fillId="36" borderId="11" xfId="0" applyFont="1" applyFill="1" applyBorder="1" applyAlignment="1">
      <alignment horizontal="left" vertical="top" wrapText="1"/>
    </xf>
    <xf numFmtId="0" fontId="10" fillId="0" borderId="0" xfId="0" applyFont="1" applyAlignment="1">
      <alignment wrapText="1"/>
    </xf>
    <xf numFmtId="0" fontId="14" fillId="0" borderId="0" xfId="0" applyFont="1" applyAlignment="1">
      <alignment/>
    </xf>
    <xf numFmtId="0" fontId="8" fillId="36" borderId="14" xfId="0" applyFont="1" applyFill="1" applyBorder="1" applyAlignment="1">
      <alignment horizontal="center" vertical="top" wrapText="1"/>
    </xf>
    <xf numFmtId="0" fontId="8" fillId="36" borderId="15" xfId="0" applyFont="1" applyFill="1" applyBorder="1" applyAlignment="1">
      <alignment horizontal="center" vertical="top" wrapText="1"/>
    </xf>
    <xf numFmtId="0" fontId="3" fillId="0" borderId="11" xfId="0" applyFont="1" applyBorder="1" applyAlignment="1">
      <alignment horizontal="left" vertical="top" wrapText="1"/>
    </xf>
    <xf numFmtId="0" fontId="11" fillId="36" borderId="12" xfId="0" applyFont="1" applyFill="1" applyBorder="1" applyAlignment="1">
      <alignment horizontal="left" vertical="top" wrapText="1"/>
    </xf>
    <xf numFmtId="0" fontId="11" fillId="36" borderId="16" xfId="0" applyFont="1" applyFill="1" applyBorder="1" applyAlignment="1">
      <alignment horizontal="left" vertical="top" wrapText="1"/>
    </xf>
    <xf numFmtId="0" fontId="11" fillId="36" borderId="11" xfId="0" applyFont="1" applyFill="1" applyBorder="1" applyAlignment="1">
      <alignment horizontal="left" vertical="top" wrapText="1"/>
    </xf>
    <xf numFmtId="0" fontId="6" fillId="0" borderId="0" xfId="0" applyFont="1" applyFill="1" applyAlignment="1" applyProtection="1">
      <alignment horizontal="left"/>
      <protection/>
    </xf>
    <xf numFmtId="0" fontId="6" fillId="0" borderId="0" xfId="0" applyFont="1" applyFill="1" applyAlignment="1" applyProtection="1">
      <alignment/>
      <protection/>
    </xf>
    <xf numFmtId="0" fontId="6" fillId="0" borderId="0" xfId="0" applyFont="1" applyAlignment="1" applyProtection="1">
      <alignment horizontal="center"/>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Fill="1" applyAlignment="1" applyProtection="1">
      <alignment horizontal="center"/>
      <protection/>
    </xf>
    <xf numFmtId="0" fontId="8" fillId="0" borderId="0" xfId="0" applyFont="1" applyFill="1" applyAlignment="1" applyProtection="1">
      <alignment/>
      <protection/>
    </xf>
    <xf numFmtId="0" fontId="8" fillId="0" borderId="0" xfId="0" applyFont="1" applyFill="1" applyAlignment="1" applyProtection="1">
      <alignment horizontal="left"/>
      <protection/>
    </xf>
    <xf numFmtId="0" fontId="0" fillId="0" borderId="0" xfId="0" applyAlignment="1" applyProtection="1">
      <alignment/>
      <protection/>
    </xf>
    <xf numFmtId="0" fontId="0" fillId="0" borderId="0" xfId="0" applyFill="1" applyAlignment="1" applyProtection="1">
      <alignment/>
      <protection/>
    </xf>
    <xf numFmtId="0" fontId="6" fillId="37" borderId="0" xfId="0" applyFont="1" applyFill="1" applyAlignment="1" applyProtection="1">
      <alignment horizontal="left" vertical="top" wrapText="1"/>
      <protection/>
    </xf>
    <xf numFmtId="0" fontId="6" fillId="37" borderId="0" xfId="0" applyFont="1" applyFill="1" applyBorder="1" applyAlignment="1" applyProtection="1">
      <alignment horizontal="left" vertical="top" wrapText="1"/>
      <protection/>
    </xf>
    <xf numFmtId="0" fontId="6" fillId="37" borderId="0" xfId="0" applyFont="1" applyFill="1" applyAlignment="1" applyProtection="1">
      <alignment/>
      <protection/>
    </xf>
    <xf numFmtId="0" fontId="8" fillId="38" borderId="17" xfId="0" applyFont="1" applyFill="1" applyBorder="1" applyAlignment="1" applyProtection="1">
      <alignment horizontal="center" vertical="top" wrapText="1"/>
      <protection/>
    </xf>
    <xf numFmtId="0" fontId="8" fillId="39" borderId="17" xfId="0" applyFont="1" applyFill="1" applyBorder="1" applyAlignment="1" applyProtection="1">
      <alignment horizontal="center" vertical="top" wrapText="1"/>
      <protection/>
    </xf>
    <xf numFmtId="0" fontId="8" fillId="40" borderId="17" xfId="0" applyFont="1" applyFill="1" applyBorder="1" applyAlignment="1" applyProtection="1">
      <alignment horizontal="center" vertical="top" wrapText="1"/>
      <protection/>
    </xf>
    <xf numFmtId="0" fontId="6" fillId="41" borderId="17" xfId="0" applyFont="1" applyFill="1" applyBorder="1" applyAlignment="1" applyProtection="1">
      <alignment horizontal="center" vertical="top" wrapText="1"/>
      <protection/>
    </xf>
    <xf numFmtId="0" fontId="8" fillId="41" borderId="17" xfId="0" applyFont="1" applyFill="1" applyBorder="1" applyAlignment="1" applyProtection="1">
      <alignment horizontal="center" vertical="top" wrapText="1"/>
      <protection/>
    </xf>
    <xf numFmtId="0" fontId="6" fillId="36" borderId="17" xfId="0" applyFont="1" applyFill="1" applyBorder="1" applyAlignment="1" applyProtection="1">
      <alignment horizontal="center" vertical="top" wrapText="1"/>
      <protection/>
    </xf>
    <xf numFmtId="0" fontId="8" fillId="36" borderId="17" xfId="0" applyFont="1" applyFill="1" applyBorder="1" applyAlignment="1" applyProtection="1">
      <alignment horizontal="center" vertical="top" wrapText="1"/>
      <protection/>
    </xf>
    <xf numFmtId="0" fontId="6" fillId="42" borderId="17" xfId="0" applyFont="1" applyFill="1" applyBorder="1" applyAlignment="1" applyProtection="1">
      <alignment horizontal="center" vertical="top" wrapText="1"/>
      <protection/>
    </xf>
    <xf numFmtId="0" fontId="8" fillId="42" borderId="17" xfId="0" applyFont="1" applyFill="1" applyBorder="1" applyAlignment="1" applyProtection="1">
      <alignment horizontal="center" vertical="top" wrapText="1"/>
      <protection/>
    </xf>
    <xf numFmtId="0" fontId="6" fillId="43" borderId="17" xfId="0" applyFont="1" applyFill="1" applyBorder="1" applyAlignment="1" applyProtection="1">
      <alignment horizontal="center" vertical="top" wrapText="1"/>
      <protection/>
    </xf>
    <xf numFmtId="0" fontId="8" fillId="44" borderId="17" xfId="0" applyFont="1" applyFill="1" applyBorder="1" applyAlignment="1" applyProtection="1">
      <alignment horizontal="center" vertical="top" wrapText="1"/>
      <protection/>
    </xf>
    <xf numFmtId="0" fontId="6" fillId="45" borderId="17" xfId="0" applyFont="1" applyFill="1" applyBorder="1" applyAlignment="1" applyProtection="1">
      <alignment horizontal="center" vertical="top" wrapText="1"/>
      <protection/>
    </xf>
    <xf numFmtId="0" fontId="8" fillId="45" borderId="17" xfId="0" applyFont="1" applyFill="1" applyBorder="1" applyAlignment="1" applyProtection="1">
      <alignment horizontal="center" vertical="top" wrapText="1"/>
      <protection/>
    </xf>
    <xf numFmtId="0" fontId="8" fillId="46" borderId="0" xfId="0" applyFont="1" applyFill="1" applyAlignment="1" applyProtection="1">
      <alignment horizontal="left"/>
      <protection/>
    </xf>
    <xf numFmtId="0" fontId="6" fillId="45" borderId="0" xfId="0" applyFont="1" applyFill="1" applyAlignment="1" applyProtection="1">
      <alignment horizontal="left"/>
      <protection/>
    </xf>
    <xf numFmtId="0" fontId="6" fillId="47" borderId="17" xfId="0" applyFont="1" applyFill="1" applyBorder="1" applyAlignment="1" applyProtection="1">
      <alignment horizontal="center" vertical="top" wrapText="1"/>
      <protection/>
    </xf>
    <xf numFmtId="0" fontId="6" fillId="48" borderId="17" xfId="0" applyFont="1" applyFill="1" applyBorder="1" applyAlignment="1" applyProtection="1">
      <alignment horizontal="center" vertical="top" wrapText="1"/>
      <protection/>
    </xf>
    <xf numFmtId="0" fontId="6" fillId="48" borderId="0" xfId="0" applyFont="1" applyFill="1" applyAlignment="1" applyProtection="1">
      <alignment/>
      <protection/>
    </xf>
    <xf numFmtId="0" fontId="6" fillId="38" borderId="0" xfId="0" applyFont="1" applyFill="1" applyAlignment="1" applyProtection="1">
      <alignment/>
      <protection/>
    </xf>
    <xf numFmtId="0" fontId="11" fillId="0" borderId="12" xfId="0" applyFont="1" applyFill="1" applyBorder="1" applyAlignment="1">
      <alignment horizontal="left" vertical="top" wrapText="1"/>
    </xf>
    <xf numFmtId="0" fontId="11" fillId="36" borderId="0" xfId="0" applyFont="1" applyFill="1" applyAlignment="1">
      <alignment/>
    </xf>
    <xf numFmtId="0" fontId="6" fillId="37" borderId="17" xfId="0" applyFont="1" applyFill="1" applyBorder="1" applyAlignment="1">
      <alignment horizontal="left"/>
    </xf>
    <xf numFmtId="0" fontId="6" fillId="37" borderId="17" xfId="0" applyFont="1" applyFill="1" applyBorder="1" applyAlignment="1" applyProtection="1">
      <alignment horizontal="center" vertical="top" wrapText="1"/>
      <protection locked="0"/>
    </xf>
    <xf numFmtId="0" fontId="6" fillId="37" borderId="17" xfId="0" applyFont="1" applyFill="1" applyBorder="1" applyAlignment="1" applyProtection="1">
      <alignment horizontal="center" vertical="top" wrapText="1"/>
      <protection/>
    </xf>
    <xf numFmtId="0" fontId="6" fillId="37" borderId="17" xfId="0" applyFont="1" applyFill="1" applyBorder="1" applyAlignment="1" applyProtection="1">
      <alignment horizontal="left" vertical="top" wrapText="1"/>
      <protection/>
    </xf>
    <xf numFmtId="0" fontId="19" fillId="37" borderId="17" xfId="0" applyFont="1" applyFill="1" applyBorder="1" applyAlignment="1">
      <alignment horizontal="center"/>
    </xf>
    <xf numFmtId="0" fontId="6" fillId="37" borderId="17" xfId="0" applyNumberFormat="1" applyFont="1" applyFill="1" applyBorder="1" applyAlignment="1">
      <alignment horizontal="center"/>
    </xf>
    <xf numFmtId="0" fontId="8" fillId="37" borderId="17" xfId="0" applyFont="1" applyFill="1" applyBorder="1" applyAlignment="1" applyProtection="1">
      <alignment horizontal="center" vertical="top" wrapText="1"/>
      <protection locked="0"/>
    </xf>
    <xf numFmtId="2" fontId="6" fillId="37" borderId="17" xfId="0" applyNumberFormat="1" applyFont="1" applyFill="1" applyBorder="1" applyAlignment="1" applyProtection="1">
      <alignment horizontal="center"/>
      <protection hidden="1"/>
    </xf>
    <xf numFmtId="0" fontId="6" fillId="37" borderId="13" xfId="0" applyNumberFormat="1" applyFont="1" applyFill="1" applyBorder="1" applyAlignment="1">
      <alignment horizontal="center"/>
    </xf>
    <xf numFmtId="0" fontId="6" fillId="37" borderId="17" xfId="0" applyNumberFormat="1" applyFont="1" applyFill="1" applyBorder="1" applyAlignment="1" applyProtection="1">
      <alignment horizontal="center" vertical="top" wrapText="1"/>
      <protection locked="0"/>
    </xf>
    <xf numFmtId="0" fontId="6" fillId="37" borderId="17" xfId="0" applyFont="1" applyFill="1" applyBorder="1" applyAlignment="1">
      <alignment horizontal="center"/>
    </xf>
    <xf numFmtId="165" fontId="6" fillId="37" borderId="17" xfId="0" applyNumberFormat="1" applyFont="1" applyFill="1" applyBorder="1" applyAlignment="1" applyProtection="1">
      <alignment horizontal="center" vertical="top" wrapText="1"/>
      <protection locked="0"/>
    </xf>
    <xf numFmtId="0" fontId="18" fillId="37" borderId="17" xfId="0" applyFont="1" applyFill="1" applyBorder="1" applyAlignment="1">
      <alignment horizontal="center"/>
    </xf>
    <xf numFmtId="2" fontId="6" fillId="37" borderId="12" xfId="0" applyNumberFormat="1" applyFont="1" applyFill="1" applyBorder="1" applyAlignment="1" applyProtection="1">
      <alignment horizontal="center"/>
      <protection hidden="1"/>
    </xf>
    <xf numFmtId="0" fontId="6" fillId="37" borderId="18" xfId="0" applyNumberFormat="1" applyFont="1" applyFill="1" applyBorder="1" applyAlignment="1">
      <alignment horizontal="center"/>
    </xf>
    <xf numFmtId="0" fontId="6" fillId="37" borderId="17" xfId="0" applyFont="1" applyFill="1" applyBorder="1" applyAlignment="1" applyProtection="1">
      <alignment horizontal="left" vertical="top" wrapText="1"/>
      <protection locked="0"/>
    </xf>
    <xf numFmtId="0" fontId="6" fillId="37" borderId="12" xfId="0" applyNumberFormat="1" applyFont="1" applyFill="1" applyBorder="1" applyAlignment="1">
      <alignment horizontal="center"/>
    </xf>
    <xf numFmtId="0" fontId="6" fillId="37" borderId="11" xfId="0" applyNumberFormat="1" applyFont="1" applyFill="1" applyBorder="1" applyAlignment="1">
      <alignment horizontal="center"/>
    </xf>
    <xf numFmtId="0" fontId="18" fillId="37" borderId="18" xfId="0" applyFont="1" applyFill="1" applyBorder="1" applyAlignment="1">
      <alignment horizontal="center"/>
    </xf>
    <xf numFmtId="0" fontId="18" fillId="37" borderId="17" xfId="0" applyFont="1" applyFill="1" applyBorder="1" applyAlignment="1">
      <alignment horizontal="center"/>
    </xf>
    <xf numFmtId="164" fontId="6" fillId="37" borderId="18" xfId="0" applyNumberFormat="1" applyFont="1" applyFill="1" applyBorder="1" applyAlignment="1" applyProtection="1" quotePrefix="1">
      <alignment horizontal="center"/>
      <protection hidden="1"/>
    </xf>
    <xf numFmtId="2" fontId="6" fillId="37" borderId="17" xfId="0" applyNumberFormat="1" applyFont="1" applyFill="1" applyBorder="1" applyAlignment="1" applyProtection="1">
      <alignment horizontal="center"/>
      <protection/>
    </xf>
    <xf numFmtId="0" fontId="6" fillId="37" borderId="0" xfId="0" applyNumberFormat="1" applyFont="1" applyFill="1" applyAlignment="1">
      <alignment horizontal="center"/>
    </xf>
    <xf numFmtId="0" fontId="18" fillId="37" borderId="11" xfId="0" applyFont="1" applyFill="1" applyBorder="1" applyAlignment="1">
      <alignment horizontal="center"/>
    </xf>
    <xf numFmtId="0" fontId="6" fillId="37" borderId="19" xfId="0" applyNumberFormat="1" applyFont="1" applyFill="1" applyBorder="1" applyAlignment="1">
      <alignment horizontal="center"/>
    </xf>
    <xf numFmtId="0" fontId="6" fillId="0" borderId="20" xfId="0" applyFont="1" applyBorder="1" applyAlignment="1" applyProtection="1">
      <alignment horizontal="center" vertical="top"/>
      <protection/>
    </xf>
    <xf numFmtId="0" fontId="8" fillId="47" borderId="17" xfId="0" applyFont="1" applyFill="1" applyBorder="1" applyAlignment="1" applyProtection="1">
      <alignment horizontal="center" vertical="top" wrapText="1"/>
      <protection/>
    </xf>
    <xf numFmtId="0" fontId="8" fillId="47" borderId="0" xfId="0" applyFont="1" applyFill="1" applyAlignment="1" applyProtection="1">
      <alignment horizontal="left"/>
      <protection/>
    </xf>
    <xf numFmtId="0" fontId="8" fillId="33" borderId="17" xfId="0" applyFont="1" applyFill="1" applyBorder="1" applyAlignment="1" applyProtection="1">
      <alignment horizontal="center" vertical="top" wrapText="1"/>
      <protection/>
    </xf>
    <xf numFmtId="0" fontId="8" fillId="33" borderId="0" xfId="0" applyFont="1" applyFill="1" applyAlignment="1" applyProtection="1">
      <alignment horizontal="left"/>
      <protection/>
    </xf>
    <xf numFmtId="0" fontId="6" fillId="44" borderId="17" xfId="0" applyFont="1" applyFill="1" applyBorder="1" applyAlignment="1" applyProtection="1">
      <alignment horizontal="center" vertical="top" wrapText="1"/>
      <protection/>
    </xf>
    <xf numFmtId="2" fontId="6" fillId="37" borderId="17" xfId="0" applyNumberFormat="1" applyFont="1" applyFill="1" applyBorder="1" applyAlignment="1" applyProtection="1">
      <alignment horizontal="center" vertical="top" wrapText="1"/>
      <protection/>
    </xf>
    <xf numFmtId="2" fontId="8" fillId="37" borderId="17" xfId="0" applyNumberFormat="1" applyFont="1" applyFill="1" applyBorder="1" applyAlignment="1" applyProtection="1">
      <alignment horizontal="center" vertical="top" wrapText="1"/>
      <protection/>
    </xf>
    <xf numFmtId="2" fontId="18" fillId="37" borderId="21" xfId="0" applyNumberFormat="1" applyFont="1" applyFill="1" applyBorder="1" applyAlignment="1">
      <alignment horizontal="center"/>
    </xf>
    <xf numFmtId="2" fontId="19" fillId="37" borderId="21" xfId="0" applyNumberFormat="1" applyFont="1" applyFill="1" applyBorder="1" applyAlignment="1">
      <alignment horizontal="center"/>
    </xf>
    <xf numFmtId="2" fontId="8" fillId="37" borderId="17" xfId="0" applyNumberFormat="1" applyFont="1" applyFill="1" applyBorder="1" applyAlignment="1" applyProtection="1">
      <alignment horizontal="center" vertical="top" wrapText="1"/>
      <protection locked="0"/>
    </xf>
    <xf numFmtId="2" fontId="6" fillId="37" borderId="17" xfId="0" applyNumberFormat="1" applyFont="1" applyFill="1" applyBorder="1" applyAlignment="1" applyProtection="1">
      <alignment horizontal="center" vertical="top" wrapText="1"/>
      <protection locked="0"/>
    </xf>
    <xf numFmtId="2" fontId="8" fillId="37" borderId="17" xfId="0" applyNumberFormat="1" applyFont="1" applyFill="1" applyBorder="1" applyAlignment="1">
      <alignment horizontal="center"/>
    </xf>
    <xf numFmtId="0" fontId="6" fillId="0" borderId="20" xfId="0" applyFont="1" applyFill="1" applyBorder="1" applyAlignment="1" applyProtection="1">
      <alignment horizontal="center" vertical="top" wrapText="1"/>
      <protection/>
    </xf>
    <xf numFmtId="0" fontId="6" fillId="0" borderId="0" xfId="0" applyFont="1" applyFill="1" applyAlignment="1" applyProtection="1">
      <alignment horizontal="left" vertical="top" wrapText="1"/>
      <protection/>
    </xf>
    <xf numFmtId="0" fontId="19" fillId="37" borderId="11" xfId="0" applyFont="1" applyFill="1" applyBorder="1" applyAlignment="1">
      <alignment horizontal="center"/>
    </xf>
    <xf numFmtId="0" fontId="8" fillId="49" borderId="17" xfId="0" applyNumberFormat="1" applyFont="1" applyFill="1" applyBorder="1" applyAlignment="1" applyProtection="1">
      <alignment horizontal="center" vertical="top" wrapText="1"/>
      <protection/>
    </xf>
    <xf numFmtId="0" fontId="8" fillId="37" borderId="17" xfId="0" applyNumberFormat="1" applyFont="1" applyFill="1" applyBorder="1" applyAlignment="1" applyProtection="1">
      <alignment horizontal="center" vertical="top" wrapText="1"/>
      <protection/>
    </xf>
    <xf numFmtId="0" fontId="8" fillId="0" borderId="0" xfId="0" applyNumberFormat="1" applyFont="1" applyFill="1" applyAlignment="1" applyProtection="1">
      <alignment/>
      <protection/>
    </xf>
    <xf numFmtId="0" fontId="8" fillId="0" borderId="0" xfId="0" applyNumberFormat="1" applyFont="1" applyAlignment="1" applyProtection="1">
      <alignment/>
      <protection/>
    </xf>
    <xf numFmtId="0" fontId="8" fillId="37" borderId="17" xfId="0" applyFont="1" applyFill="1" applyBorder="1" applyAlignment="1" applyProtection="1">
      <alignment horizontal="center" vertical="top" wrapText="1"/>
      <protection/>
    </xf>
    <xf numFmtId="0" fontId="8" fillId="45" borderId="0" xfId="0" applyFont="1" applyFill="1" applyAlignment="1" applyProtection="1">
      <alignment horizontal="left"/>
      <protection/>
    </xf>
    <xf numFmtId="2" fontId="8" fillId="0" borderId="12" xfId="0" applyNumberFormat="1" applyFont="1" applyFill="1" applyBorder="1" applyAlignment="1" applyProtection="1">
      <alignment horizontal="center" vertical="top" wrapText="1"/>
      <protection/>
    </xf>
    <xf numFmtId="2" fontId="8" fillId="0" borderId="12" xfId="0" applyNumberFormat="1" applyFont="1" applyFill="1" applyBorder="1" applyAlignment="1" applyProtection="1">
      <alignment horizontal="center" vertical="top" wrapText="1"/>
      <protection locked="0"/>
    </xf>
    <xf numFmtId="0" fontId="8" fillId="49" borderId="17" xfId="0" applyFont="1" applyFill="1" applyBorder="1" applyAlignment="1" applyProtection="1">
      <alignment horizontal="center" vertical="top" wrapText="1"/>
      <protection/>
    </xf>
    <xf numFmtId="2" fontId="8" fillId="0" borderId="11" xfId="0" applyNumberFormat="1" applyFont="1" applyFill="1" applyBorder="1" applyAlignment="1" applyProtection="1">
      <alignment horizontal="center" vertical="top" wrapText="1"/>
      <protection locked="0"/>
    </xf>
    <xf numFmtId="0" fontId="5" fillId="50" borderId="17" xfId="0" applyFont="1" applyFill="1" applyBorder="1" applyAlignment="1" applyProtection="1">
      <alignment horizontal="center" vertical="top" wrapText="1"/>
      <protection/>
    </xf>
    <xf numFmtId="0" fontId="25" fillId="50" borderId="17" xfId="0" applyFont="1" applyFill="1" applyBorder="1" applyAlignment="1" applyProtection="1">
      <alignment horizontal="center" vertical="top" wrapText="1"/>
      <protection/>
    </xf>
    <xf numFmtId="0" fontId="18" fillId="37" borderId="17" xfId="0" applyFont="1" applyFill="1" applyBorder="1" applyAlignment="1">
      <alignment horizontal="center" vertical="center" wrapText="1"/>
    </xf>
    <xf numFmtId="0" fontId="5" fillId="51" borderId="17" xfId="0" applyFont="1" applyFill="1" applyBorder="1" applyAlignment="1" applyProtection="1">
      <alignment horizontal="center" vertical="top" wrapText="1"/>
      <protection/>
    </xf>
    <xf numFmtId="0" fontId="5" fillId="52" borderId="17" xfId="0" applyFont="1" applyFill="1" applyBorder="1" applyAlignment="1" applyProtection="1">
      <alignment horizontal="center" vertical="top" wrapText="1"/>
      <protection/>
    </xf>
    <xf numFmtId="0" fontId="29" fillId="0" borderId="12" xfId="0" applyFont="1" applyBorder="1" applyAlignment="1">
      <alignment horizontal="left" vertical="top" wrapText="1"/>
    </xf>
    <xf numFmtId="0" fontId="31" fillId="0" borderId="12" xfId="0" applyFont="1" applyBorder="1" applyAlignment="1">
      <alignment horizontal="left" vertical="top" wrapText="1"/>
    </xf>
    <xf numFmtId="0" fontId="33" fillId="0" borderId="12" xfId="0" applyFont="1" applyBorder="1" applyAlignment="1">
      <alignment horizontal="left" vertical="top" wrapText="1"/>
    </xf>
    <xf numFmtId="0" fontId="34" fillId="0" borderId="12" xfId="0" applyFont="1" applyBorder="1" applyAlignment="1">
      <alignment horizontal="left" vertical="top" wrapText="1"/>
    </xf>
    <xf numFmtId="0" fontId="36" fillId="0" borderId="12" xfId="0" applyFont="1" applyBorder="1" applyAlignment="1">
      <alignment horizontal="left" vertical="top" wrapText="1"/>
    </xf>
    <xf numFmtId="0" fontId="38" fillId="0" borderId="12" xfId="0" applyFont="1" applyBorder="1" applyAlignment="1">
      <alignment horizontal="left" vertical="top" wrapText="1"/>
    </xf>
    <xf numFmtId="0" fontId="40" fillId="0" borderId="12" xfId="0" applyFont="1" applyBorder="1" applyAlignment="1">
      <alignment horizontal="left" vertical="top" wrapText="1"/>
    </xf>
    <xf numFmtId="0" fontId="36" fillId="0" borderId="11" xfId="0" applyFont="1" applyBorder="1" applyAlignment="1">
      <alignment horizontal="left" vertical="top" wrapText="1"/>
    </xf>
    <xf numFmtId="0" fontId="38" fillId="0" borderId="11" xfId="0" applyFont="1" applyBorder="1" applyAlignment="1">
      <alignment horizontal="left" vertical="top" wrapText="1"/>
    </xf>
    <xf numFmtId="0" fontId="31" fillId="0" borderId="11" xfId="0" applyFont="1" applyBorder="1" applyAlignment="1">
      <alignment horizontal="left" vertical="top" wrapText="1"/>
    </xf>
    <xf numFmtId="0" fontId="41" fillId="0" borderId="12" xfId="0" applyFont="1" applyBorder="1" applyAlignment="1">
      <alignment horizontal="left" vertical="top" wrapText="1"/>
    </xf>
    <xf numFmtId="0" fontId="43" fillId="0" borderId="12" xfId="0" applyFont="1" applyBorder="1" applyAlignment="1">
      <alignment horizontal="left" vertical="top" wrapText="1"/>
    </xf>
    <xf numFmtId="0" fontId="45" fillId="0" borderId="12" xfId="0" applyFont="1" applyBorder="1" applyAlignment="1">
      <alignment horizontal="left" vertical="top" wrapText="1"/>
    </xf>
    <xf numFmtId="0" fontId="40" fillId="0" borderId="12" xfId="0" applyFont="1" applyFill="1" applyBorder="1" applyAlignment="1">
      <alignment horizontal="left" vertical="top" wrapText="1"/>
    </xf>
    <xf numFmtId="0" fontId="35" fillId="0" borderId="11" xfId="0" applyFont="1" applyFill="1" applyBorder="1" applyAlignment="1">
      <alignment horizontal="left" vertical="top" wrapText="1"/>
    </xf>
    <xf numFmtId="0" fontId="50" fillId="0" borderId="12" xfId="0" applyFont="1" applyBorder="1" applyAlignment="1">
      <alignment horizontal="left" vertical="top" wrapText="1"/>
    </xf>
    <xf numFmtId="0" fontId="50" fillId="0" borderId="11" xfId="0" applyFont="1" applyBorder="1" applyAlignment="1">
      <alignment horizontal="left" vertical="top" wrapText="1"/>
    </xf>
    <xf numFmtId="0" fontId="49" fillId="0" borderId="11" xfId="0" applyFont="1" applyFill="1" applyBorder="1" applyAlignment="1">
      <alignment horizontal="left" vertical="top" wrapText="1"/>
    </xf>
    <xf numFmtId="0" fontId="31" fillId="0" borderId="11" xfId="0" applyFont="1" applyFill="1" applyBorder="1" applyAlignment="1">
      <alignment horizontal="left" vertical="top" wrapText="1"/>
    </xf>
    <xf numFmtId="0" fontId="3" fillId="53" borderId="12" xfId="0" applyFont="1" applyFill="1" applyBorder="1" applyAlignment="1">
      <alignment horizontal="left" vertical="top" wrapText="1"/>
    </xf>
    <xf numFmtId="0" fontId="54" fillId="0" borderId="11" xfId="0" applyFont="1" applyBorder="1" applyAlignment="1">
      <alignment horizontal="left" vertical="top" wrapText="1"/>
    </xf>
    <xf numFmtId="0" fontId="3" fillId="34" borderId="12" xfId="0" applyFont="1" applyFill="1" applyBorder="1" applyAlignment="1">
      <alignment horizontal="left" vertical="top" wrapText="1"/>
    </xf>
    <xf numFmtId="0" fontId="54" fillId="0" borderId="22" xfId="0" applyFont="1" applyBorder="1" applyAlignment="1">
      <alignment horizontal="left" vertical="top" wrapText="1"/>
    </xf>
    <xf numFmtId="0" fontId="54" fillId="0" borderId="12" xfId="0" applyFont="1" applyFill="1" applyBorder="1" applyAlignment="1">
      <alignment horizontal="left" vertical="top" wrapText="1"/>
    </xf>
    <xf numFmtId="0" fontId="48" fillId="0" borderId="12" xfId="0" applyFont="1" applyBorder="1" applyAlignment="1">
      <alignment horizontal="left" vertical="top" wrapText="1"/>
    </xf>
    <xf numFmtId="0" fontId="6" fillId="17" borderId="17" xfId="0" applyFont="1" applyFill="1" applyBorder="1" applyAlignment="1" applyProtection="1">
      <alignment horizontal="left" vertical="top" wrapText="1"/>
      <protection locked="0"/>
    </xf>
    <xf numFmtId="0" fontId="6" fillId="17" borderId="17" xfId="0" applyFont="1" applyFill="1" applyBorder="1" applyAlignment="1" applyProtection="1">
      <alignment horizontal="center" vertical="top" wrapText="1"/>
      <protection locked="0"/>
    </xf>
    <xf numFmtId="0" fontId="8" fillId="17" borderId="17" xfId="0" applyFont="1" applyFill="1" applyBorder="1" applyAlignment="1" applyProtection="1">
      <alignment horizontal="center" vertical="top" wrapText="1"/>
      <protection locked="0"/>
    </xf>
    <xf numFmtId="2" fontId="19" fillId="17" borderId="21" xfId="0" applyNumberFormat="1" applyFont="1" applyFill="1" applyBorder="1" applyAlignment="1">
      <alignment horizontal="center"/>
    </xf>
    <xf numFmtId="2" fontId="6" fillId="17" borderId="17" xfId="0" applyNumberFormat="1" applyFont="1" applyFill="1" applyBorder="1" applyAlignment="1" applyProtection="1">
      <alignment horizontal="center" vertical="top" wrapText="1"/>
      <protection locked="0"/>
    </xf>
    <xf numFmtId="2" fontId="6" fillId="17" borderId="17" xfId="0" applyNumberFormat="1" applyFont="1" applyFill="1" applyBorder="1" applyAlignment="1" applyProtection="1">
      <alignment horizontal="center" vertical="top" wrapText="1"/>
      <protection/>
    </xf>
    <xf numFmtId="2" fontId="18" fillId="17" borderId="21" xfId="0" applyNumberFormat="1" applyFont="1" applyFill="1" applyBorder="1" applyAlignment="1">
      <alignment horizontal="center"/>
    </xf>
    <xf numFmtId="0" fontId="6" fillId="17" borderId="17" xfId="0" applyNumberFormat="1" applyFont="1" applyFill="1" applyBorder="1" applyAlignment="1" applyProtection="1">
      <alignment horizontal="center" vertical="top" wrapText="1"/>
      <protection/>
    </xf>
    <xf numFmtId="0" fontId="6" fillId="17" borderId="17" xfId="0" applyFont="1" applyFill="1" applyBorder="1" applyAlignment="1" applyProtection="1">
      <alignment horizontal="center" vertical="top" wrapText="1"/>
      <protection/>
    </xf>
    <xf numFmtId="2" fontId="8" fillId="17" borderId="17" xfId="0" applyNumberFormat="1" applyFont="1" applyFill="1" applyBorder="1" applyAlignment="1" applyProtection="1">
      <alignment horizontal="center" vertical="top" wrapText="1"/>
      <protection/>
    </xf>
    <xf numFmtId="2" fontId="8" fillId="17" borderId="12" xfId="0" applyNumberFormat="1" applyFont="1" applyFill="1" applyBorder="1" applyAlignment="1" applyProtection="1">
      <alignment horizontal="center" vertical="top" wrapText="1"/>
      <protection/>
    </xf>
    <xf numFmtId="2" fontId="8" fillId="17" borderId="17" xfId="0" applyNumberFormat="1" applyFont="1" applyFill="1" applyBorder="1" applyAlignment="1" applyProtection="1">
      <alignment horizontal="center" vertical="top" wrapText="1"/>
      <protection locked="0"/>
    </xf>
    <xf numFmtId="2" fontId="24" fillId="17" borderId="17" xfId="0" applyNumberFormat="1" applyFont="1" applyFill="1" applyBorder="1" applyAlignment="1" applyProtection="1">
      <alignment horizontal="center" vertical="top" wrapText="1"/>
      <protection locked="0"/>
    </xf>
    <xf numFmtId="2" fontId="8" fillId="17" borderId="12" xfId="0" applyNumberFormat="1" applyFont="1" applyFill="1" applyBorder="1" applyAlignment="1" applyProtection="1">
      <alignment horizontal="center" vertical="top" wrapText="1"/>
      <protection locked="0"/>
    </xf>
    <xf numFmtId="0" fontId="6" fillId="17" borderId="17" xfId="0" applyFont="1" applyFill="1" applyBorder="1" applyAlignment="1">
      <alignment horizontal="center"/>
    </xf>
    <xf numFmtId="0" fontId="8" fillId="17" borderId="17" xfId="0" applyFont="1" applyFill="1" applyBorder="1" applyAlignment="1">
      <alignment horizontal="center"/>
    </xf>
    <xf numFmtId="2" fontId="8" fillId="17" borderId="17" xfId="0" applyNumberFormat="1" applyFont="1" applyFill="1" applyBorder="1" applyAlignment="1">
      <alignment horizontal="center"/>
    </xf>
    <xf numFmtId="0" fontId="6" fillId="17" borderId="17" xfId="0" applyNumberFormat="1" applyFont="1" applyFill="1" applyBorder="1" applyAlignment="1">
      <alignment horizontal="center"/>
    </xf>
    <xf numFmtId="0" fontId="8" fillId="17" borderId="17" xfId="0" applyFont="1" applyFill="1" applyBorder="1" applyAlignment="1" applyProtection="1">
      <alignment horizontal="center" vertical="top" wrapText="1"/>
      <protection/>
    </xf>
    <xf numFmtId="2" fontId="6" fillId="17" borderId="17" xfId="0" applyNumberFormat="1" applyFont="1" applyFill="1" applyBorder="1" applyAlignment="1" applyProtection="1">
      <alignment horizontal="center"/>
      <protection/>
    </xf>
    <xf numFmtId="0" fontId="6" fillId="17" borderId="17" xfId="0" applyNumberFormat="1" applyFont="1" applyFill="1" applyBorder="1" applyAlignment="1">
      <alignment horizontal="center"/>
    </xf>
    <xf numFmtId="1" fontId="8" fillId="17" borderId="17" xfId="0" applyNumberFormat="1" applyFont="1" applyFill="1" applyBorder="1" applyAlignment="1" applyProtection="1">
      <alignment horizontal="center" vertical="top" wrapText="1"/>
      <protection locked="0"/>
    </xf>
    <xf numFmtId="0" fontId="8" fillId="17" borderId="17" xfId="0" applyNumberFormat="1" applyFont="1" applyFill="1" applyBorder="1" applyAlignment="1" applyProtection="1">
      <alignment horizontal="center" vertical="top" wrapText="1"/>
      <protection/>
    </xf>
    <xf numFmtId="0" fontId="6" fillId="17" borderId="0" xfId="0" applyFont="1" applyFill="1" applyAlignment="1">
      <alignment/>
    </xf>
    <xf numFmtId="2" fontId="23" fillId="17" borderId="17" xfId="0" applyNumberFormat="1" applyFont="1" applyFill="1" applyBorder="1" applyAlignment="1" applyProtection="1">
      <alignment horizontal="center" vertical="top" wrapText="1"/>
      <protection locked="0"/>
    </xf>
    <xf numFmtId="0" fontId="6" fillId="54" borderId="12" xfId="0" applyFont="1" applyFill="1" applyBorder="1" applyAlignment="1">
      <alignment horizontal="left"/>
    </xf>
    <xf numFmtId="0" fontId="6" fillId="54" borderId="12" xfId="0" applyFont="1" applyFill="1" applyBorder="1" applyAlignment="1" applyProtection="1">
      <alignment horizontal="center" vertical="top" wrapText="1"/>
      <protection locked="0"/>
    </xf>
    <xf numFmtId="0" fontId="6" fillId="54" borderId="12" xfId="0" applyFont="1" applyFill="1" applyBorder="1" applyAlignment="1" applyProtection="1">
      <alignment horizontal="center" vertical="top" wrapText="1"/>
      <protection/>
    </xf>
    <xf numFmtId="0" fontId="6" fillId="54" borderId="12" xfId="0" applyFont="1" applyFill="1" applyBorder="1" applyAlignment="1" applyProtection="1">
      <alignment horizontal="left" vertical="top" wrapText="1"/>
      <protection/>
    </xf>
    <xf numFmtId="0" fontId="19" fillId="54" borderId="12" xfId="0" applyFont="1" applyFill="1" applyBorder="1" applyAlignment="1">
      <alignment horizontal="center"/>
    </xf>
    <xf numFmtId="2" fontId="19" fillId="54" borderId="21" xfId="0" applyNumberFormat="1" applyFont="1" applyFill="1" applyBorder="1" applyAlignment="1">
      <alignment horizontal="center"/>
    </xf>
    <xf numFmtId="0" fontId="6" fillId="54" borderId="23" xfId="0" applyNumberFormat="1" applyFont="1" applyFill="1" applyBorder="1" applyAlignment="1">
      <alignment horizontal="center"/>
    </xf>
    <xf numFmtId="2" fontId="18" fillId="54" borderId="16" xfId="0" applyNumberFormat="1" applyFont="1" applyFill="1" applyBorder="1" applyAlignment="1">
      <alignment horizontal="center"/>
    </xf>
    <xf numFmtId="2" fontId="19" fillId="54" borderId="16" xfId="0" applyNumberFormat="1" applyFont="1" applyFill="1" applyBorder="1" applyAlignment="1">
      <alignment horizontal="center"/>
    </xf>
    <xf numFmtId="2" fontId="6" fillId="54" borderId="12" xfId="0" applyNumberFormat="1" applyFont="1" applyFill="1" applyBorder="1" applyAlignment="1" applyProtection="1">
      <alignment horizontal="center" vertical="top" wrapText="1"/>
      <protection/>
    </xf>
    <xf numFmtId="2" fontId="8" fillId="54" borderId="12" xfId="0" applyNumberFormat="1" applyFont="1" applyFill="1" applyBorder="1" applyAlignment="1" applyProtection="1">
      <alignment horizontal="center" vertical="top" wrapText="1"/>
      <protection/>
    </xf>
    <xf numFmtId="2" fontId="8" fillId="54" borderId="12" xfId="0" applyNumberFormat="1" applyFont="1" applyFill="1" applyBorder="1" applyAlignment="1" applyProtection="1">
      <alignment horizontal="center" vertical="top" wrapText="1"/>
      <protection locked="0"/>
    </xf>
    <xf numFmtId="2" fontId="6" fillId="54" borderId="12" xfId="0" applyNumberFormat="1" applyFont="1" applyFill="1" applyBorder="1" applyAlignment="1" applyProtection="1">
      <alignment horizontal="center" vertical="top" wrapText="1"/>
      <protection locked="0"/>
    </xf>
    <xf numFmtId="0" fontId="18" fillId="54" borderId="12" xfId="0" applyFont="1" applyFill="1" applyBorder="1" applyAlignment="1">
      <alignment horizontal="center"/>
    </xf>
    <xf numFmtId="0" fontId="6" fillId="54" borderId="12" xfId="0" applyNumberFormat="1" applyFont="1" applyFill="1" applyBorder="1" applyAlignment="1">
      <alignment horizontal="center"/>
    </xf>
    <xf numFmtId="2" fontId="8" fillId="54" borderId="12" xfId="0" applyNumberFormat="1" applyFont="1" applyFill="1" applyBorder="1" applyAlignment="1">
      <alignment horizontal="center"/>
    </xf>
    <xf numFmtId="0" fontId="6" fillId="54" borderId="12" xfId="0" applyNumberFormat="1" applyFont="1" applyFill="1" applyBorder="1" applyAlignment="1" applyProtection="1">
      <alignment horizontal="center" vertical="top" wrapText="1"/>
      <protection locked="0"/>
    </xf>
    <xf numFmtId="0" fontId="8" fillId="54" borderId="17" xfId="0" applyFont="1" applyFill="1" applyBorder="1" applyAlignment="1" applyProtection="1">
      <alignment horizontal="center" vertical="top" wrapText="1"/>
      <protection locked="0"/>
    </xf>
    <xf numFmtId="2" fontId="8" fillId="54" borderId="17" xfId="0" applyNumberFormat="1" applyFont="1" applyFill="1" applyBorder="1" applyAlignment="1" applyProtection="1">
      <alignment horizontal="center" vertical="top" wrapText="1"/>
      <protection/>
    </xf>
    <xf numFmtId="0" fontId="8" fillId="54" borderId="17" xfId="0" applyFont="1" applyFill="1" applyBorder="1" applyAlignment="1" applyProtection="1">
      <alignment horizontal="center" vertical="top" wrapText="1"/>
      <protection/>
    </xf>
    <xf numFmtId="0" fontId="6" fillId="54" borderId="12" xfId="0" applyFont="1" applyFill="1" applyBorder="1" applyAlignment="1">
      <alignment horizontal="center"/>
    </xf>
    <xf numFmtId="0" fontId="18" fillId="54" borderId="12" xfId="0" applyFont="1" applyFill="1" applyBorder="1" applyAlignment="1">
      <alignment horizontal="center" vertical="center" wrapText="1"/>
    </xf>
    <xf numFmtId="0" fontId="6" fillId="54" borderId="19" xfId="0" applyNumberFormat="1" applyFont="1" applyFill="1" applyBorder="1" applyAlignment="1">
      <alignment horizontal="center"/>
    </xf>
    <xf numFmtId="0" fontId="8" fillId="54" borderId="12" xfId="0" applyFont="1" applyFill="1" applyBorder="1" applyAlignment="1" applyProtection="1">
      <alignment horizontal="center" vertical="top" wrapText="1"/>
      <protection/>
    </xf>
    <xf numFmtId="0" fontId="8" fillId="54" borderId="12" xfId="0" applyNumberFormat="1" applyFont="1" applyFill="1" applyBorder="1" applyAlignment="1" applyProtection="1">
      <alignment horizontal="center" vertical="top" wrapText="1"/>
      <protection/>
    </xf>
    <xf numFmtId="0" fontId="8" fillId="54" borderId="12" xfId="0" applyFont="1" applyFill="1" applyBorder="1" applyAlignment="1" applyProtection="1">
      <alignment horizontal="center" vertical="top" wrapText="1"/>
      <protection locked="0"/>
    </xf>
    <xf numFmtId="0" fontId="6" fillId="54" borderId="0" xfId="0" applyFont="1" applyFill="1" applyAlignment="1" applyProtection="1">
      <alignment horizontal="left" vertical="top" wrapText="1"/>
      <protection/>
    </xf>
    <xf numFmtId="0" fontId="6" fillId="54" borderId="17" xfId="0" applyFont="1" applyFill="1" applyBorder="1" applyAlignment="1">
      <alignment horizontal="left"/>
    </xf>
    <xf numFmtId="0" fontId="6" fillId="54" borderId="17" xfId="0" applyFont="1" applyFill="1" applyBorder="1" applyAlignment="1" applyProtection="1">
      <alignment horizontal="center" vertical="top" wrapText="1"/>
      <protection locked="0"/>
    </xf>
    <xf numFmtId="0" fontId="6" fillId="54" borderId="17" xfId="0" applyFont="1" applyFill="1" applyBorder="1" applyAlignment="1" applyProtection="1">
      <alignment horizontal="center" vertical="top" wrapText="1"/>
      <protection/>
    </xf>
    <xf numFmtId="0" fontId="6" fillId="54" borderId="17" xfId="0" applyFont="1" applyFill="1" applyBorder="1" applyAlignment="1" applyProtection="1">
      <alignment horizontal="left" vertical="top" wrapText="1"/>
      <protection/>
    </xf>
    <xf numFmtId="0" fontId="19" fillId="54" borderId="17" xfId="0" applyFont="1" applyFill="1" applyBorder="1" applyAlignment="1">
      <alignment horizontal="center"/>
    </xf>
    <xf numFmtId="0" fontId="6" fillId="54" borderId="17" xfId="0" applyNumberFormat="1" applyFont="1" applyFill="1" applyBorder="1" applyAlignment="1">
      <alignment horizontal="center"/>
    </xf>
    <xf numFmtId="2" fontId="18" fillId="54" borderId="21" xfId="0" applyNumberFormat="1" applyFont="1" applyFill="1" applyBorder="1" applyAlignment="1">
      <alignment horizontal="center"/>
    </xf>
    <xf numFmtId="2" fontId="6" fillId="54" borderId="17" xfId="0" applyNumberFormat="1" applyFont="1" applyFill="1" applyBorder="1" applyAlignment="1" applyProtection="1">
      <alignment horizontal="center" vertical="top" wrapText="1"/>
      <protection/>
    </xf>
    <xf numFmtId="2" fontId="8" fillId="54" borderId="17" xfId="0" applyNumberFormat="1" applyFont="1" applyFill="1" applyBorder="1" applyAlignment="1" applyProtection="1">
      <alignment horizontal="center" vertical="top" wrapText="1"/>
      <protection locked="0"/>
    </xf>
    <xf numFmtId="2" fontId="6" fillId="54" borderId="17" xfId="0" applyNumberFormat="1" applyFont="1" applyFill="1" applyBorder="1" applyAlignment="1" applyProtection="1">
      <alignment horizontal="center" vertical="top" wrapText="1"/>
      <protection locked="0"/>
    </xf>
    <xf numFmtId="164" fontId="6" fillId="54" borderId="18" xfId="0" applyNumberFormat="1" applyFont="1" applyFill="1" applyBorder="1" applyAlignment="1" applyProtection="1" quotePrefix="1">
      <alignment horizontal="center"/>
      <protection hidden="1"/>
    </xf>
    <xf numFmtId="2" fontId="8" fillId="54" borderId="17" xfId="0" applyNumberFormat="1" applyFont="1" applyFill="1" applyBorder="1" applyAlignment="1">
      <alignment horizontal="center"/>
    </xf>
    <xf numFmtId="0" fontId="6" fillId="54" borderId="17" xfId="0" applyNumberFormat="1" applyFont="1" applyFill="1" applyBorder="1" applyAlignment="1" applyProtection="1">
      <alignment horizontal="center" vertical="top" wrapText="1"/>
      <protection locked="0"/>
    </xf>
    <xf numFmtId="0" fontId="18" fillId="54" borderId="17" xfId="0" applyFont="1" applyFill="1" applyBorder="1" applyAlignment="1">
      <alignment horizontal="center" vertical="center" wrapText="1"/>
    </xf>
    <xf numFmtId="0" fontId="8" fillId="54" borderId="17" xfId="0" applyNumberFormat="1" applyFont="1" applyFill="1" applyBorder="1" applyAlignment="1" applyProtection="1">
      <alignment horizontal="center" vertical="top" wrapText="1"/>
      <protection/>
    </xf>
    <xf numFmtId="0" fontId="18" fillId="54" borderId="17" xfId="0" applyFont="1" applyFill="1" applyBorder="1" applyAlignment="1">
      <alignment horizontal="center"/>
    </xf>
    <xf numFmtId="0" fontId="6" fillId="54" borderId="18" xfId="0" applyNumberFormat="1" applyFont="1" applyFill="1" applyBorder="1" applyAlignment="1">
      <alignment horizontal="center"/>
    </xf>
    <xf numFmtId="2" fontId="6" fillId="54" borderId="17" xfId="0" applyNumberFormat="1" applyFont="1" applyFill="1" applyBorder="1" applyAlignment="1" applyProtection="1">
      <alignment horizontal="center"/>
      <protection hidden="1"/>
    </xf>
    <xf numFmtId="0" fontId="6" fillId="54" borderId="17" xfId="0" applyFont="1" applyFill="1" applyBorder="1" applyAlignment="1">
      <alignment horizontal="center"/>
    </xf>
    <xf numFmtId="0" fontId="6" fillId="54" borderId="0" xfId="0" applyNumberFormat="1" applyFont="1" applyFill="1" applyAlignment="1">
      <alignment horizontal="center"/>
    </xf>
    <xf numFmtId="0" fontId="18" fillId="54" borderId="17" xfId="0" applyFont="1" applyFill="1" applyBorder="1" applyAlignment="1">
      <alignment horizontal="center"/>
    </xf>
    <xf numFmtId="0" fontId="6" fillId="54" borderId="0" xfId="0" applyFont="1" applyFill="1" applyAlignment="1" applyProtection="1">
      <alignment vertical="top" wrapText="1"/>
      <protection/>
    </xf>
    <xf numFmtId="0" fontId="6" fillId="54" borderId="0" xfId="0" applyFont="1" applyFill="1" applyBorder="1" applyAlignment="1" applyProtection="1">
      <alignment horizontal="left" vertical="top" wrapText="1"/>
      <protection/>
    </xf>
    <xf numFmtId="0" fontId="6" fillId="54" borderId="17" xfId="0" applyFont="1" applyFill="1" applyBorder="1" applyAlignment="1" applyProtection="1">
      <alignment horizontal="left" vertical="top" wrapText="1"/>
      <protection locked="0"/>
    </xf>
    <xf numFmtId="0" fontId="18" fillId="54" borderId="18" xfId="0" applyFont="1" applyFill="1" applyBorder="1" applyAlignment="1">
      <alignment horizontal="center"/>
    </xf>
    <xf numFmtId="0" fontId="6" fillId="54" borderId="13" xfId="0" applyNumberFormat="1" applyFont="1" applyFill="1" applyBorder="1" applyAlignment="1">
      <alignment horizontal="center"/>
    </xf>
    <xf numFmtId="0" fontId="6" fillId="54" borderId="14" xfId="0" applyNumberFormat="1" applyFont="1" applyFill="1" applyBorder="1" applyAlignment="1">
      <alignment horizontal="center"/>
    </xf>
    <xf numFmtId="0" fontId="6" fillId="12" borderId="17" xfId="0" applyFont="1" applyFill="1" applyBorder="1" applyAlignment="1" applyProtection="1">
      <alignment horizontal="left" vertical="top" wrapText="1"/>
      <protection locked="0"/>
    </xf>
    <xf numFmtId="0" fontId="6" fillId="12" borderId="17" xfId="0" applyFont="1" applyFill="1" applyBorder="1" applyAlignment="1" applyProtection="1">
      <alignment horizontal="center" vertical="top" wrapText="1"/>
      <protection locked="0"/>
    </xf>
    <xf numFmtId="0" fontId="6" fillId="12" borderId="17" xfId="0" applyFont="1" applyFill="1" applyBorder="1" applyAlignment="1" applyProtection="1">
      <alignment horizontal="center" vertical="top" wrapText="1"/>
      <protection/>
    </xf>
    <xf numFmtId="0" fontId="6" fillId="12" borderId="17" xfId="0" applyFont="1" applyFill="1" applyBorder="1" applyAlignment="1" applyProtection="1">
      <alignment horizontal="left" vertical="top" wrapText="1"/>
      <protection/>
    </xf>
    <xf numFmtId="0" fontId="19" fillId="12" borderId="17" xfId="0" applyFont="1" applyFill="1" applyBorder="1" applyAlignment="1">
      <alignment horizontal="center"/>
    </xf>
    <xf numFmtId="2" fontId="19" fillId="12" borderId="21" xfId="0" applyNumberFormat="1" applyFont="1" applyFill="1" applyBorder="1" applyAlignment="1">
      <alignment horizontal="center"/>
    </xf>
    <xf numFmtId="164" fontId="6" fillId="12" borderId="18" xfId="0" applyNumberFormat="1" applyFont="1" applyFill="1" applyBorder="1" applyAlignment="1" applyProtection="1" quotePrefix="1">
      <alignment horizontal="center"/>
      <protection hidden="1"/>
    </xf>
    <xf numFmtId="2" fontId="18" fillId="12" borderId="21" xfId="0" applyNumberFormat="1" applyFont="1" applyFill="1" applyBorder="1" applyAlignment="1">
      <alignment horizontal="center"/>
    </xf>
    <xf numFmtId="2" fontId="6" fillId="12" borderId="17" xfId="0" applyNumberFormat="1" applyFont="1" applyFill="1" applyBorder="1" applyAlignment="1" applyProtection="1">
      <alignment horizontal="center" vertical="top" wrapText="1"/>
      <protection/>
    </xf>
    <xf numFmtId="2" fontId="8" fillId="12" borderId="17" xfId="0" applyNumberFormat="1" applyFont="1" applyFill="1" applyBorder="1" applyAlignment="1" applyProtection="1">
      <alignment horizontal="center" vertical="top" wrapText="1"/>
      <protection/>
    </xf>
    <xf numFmtId="2" fontId="8" fillId="12" borderId="12" xfId="0" applyNumberFormat="1" applyFont="1" applyFill="1" applyBorder="1" applyAlignment="1" applyProtection="1">
      <alignment horizontal="center" vertical="top" wrapText="1"/>
      <protection/>
    </xf>
    <xf numFmtId="2" fontId="8" fillId="12" borderId="17" xfId="0" applyNumberFormat="1" applyFont="1" applyFill="1" applyBorder="1" applyAlignment="1" applyProtection="1">
      <alignment horizontal="center" vertical="top" wrapText="1"/>
      <protection locked="0"/>
    </xf>
    <xf numFmtId="2" fontId="6" fillId="12" borderId="17" xfId="0" applyNumberFormat="1" applyFont="1" applyFill="1" applyBorder="1" applyAlignment="1" applyProtection="1">
      <alignment horizontal="center" vertical="top" wrapText="1"/>
      <protection locked="0"/>
    </xf>
    <xf numFmtId="2" fontId="8" fillId="12" borderId="12" xfId="0" applyNumberFormat="1" applyFont="1" applyFill="1" applyBorder="1" applyAlignment="1" applyProtection="1">
      <alignment horizontal="center" vertical="top" wrapText="1"/>
      <protection locked="0"/>
    </xf>
    <xf numFmtId="2" fontId="6" fillId="12" borderId="12" xfId="0" applyNumberFormat="1" applyFont="1" applyFill="1" applyBorder="1" applyAlignment="1" applyProtection="1">
      <alignment horizontal="center"/>
      <protection hidden="1"/>
    </xf>
    <xf numFmtId="2" fontId="8" fillId="12" borderId="17" xfId="0" applyNumberFormat="1" applyFont="1" applyFill="1" applyBorder="1" applyAlignment="1">
      <alignment horizontal="center"/>
    </xf>
    <xf numFmtId="0" fontId="6" fillId="12" borderId="17" xfId="0" applyNumberFormat="1" applyFont="1" applyFill="1" applyBorder="1" applyAlignment="1" applyProtection="1">
      <alignment horizontal="center" vertical="top" wrapText="1"/>
      <protection locked="0"/>
    </xf>
    <xf numFmtId="0" fontId="8" fillId="12" borderId="17" xfId="0" applyFont="1" applyFill="1" applyBorder="1" applyAlignment="1" applyProtection="1">
      <alignment horizontal="center" vertical="top" wrapText="1"/>
      <protection locked="0"/>
    </xf>
    <xf numFmtId="0" fontId="8" fillId="12" borderId="17" xfId="0" applyFont="1" applyFill="1" applyBorder="1" applyAlignment="1" applyProtection="1">
      <alignment horizontal="center" vertical="top" wrapText="1"/>
      <protection/>
    </xf>
    <xf numFmtId="0" fontId="18" fillId="12" borderId="17" xfId="0" applyFont="1" applyFill="1" applyBorder="1" applyAlignment="1">
      <alignment horizontal="center" vertical="center" wrapText="1"/>
    </xf>
    <xf numFmtId="0" fontId="6" fillId="12" borderId="17" xfId="0" applyNumberFormat="1" applyFont="1" applyFill="1" applyBorder="1" applyAlignment="1">
      <alignment horizontal="center"/>
    </xf>
    <xf numFmtId="1" fontId="8" fillId="12" borderId="13" xfId="0" applyNumberFormat="1" applyFont="1" applyFill="1" applyBorder="1" applyAlignment="1">
      <alignment horizontal="center"/>
    </xf>
    <xf numFmtId="0" fontId="8" fillId="12" borderId="17" xfId="0" applyNumberFormat="1" applyFont="1" applyFill="1" applyBorder="1" applyAlignment="1" applyProtection="1">
      <alignment horizontal="center" vertical="top" wrapText="1"/>
      <protection/>
    </xf>
    <xf numFmtId="0" fontId="18" fillId="12" borderId="18" xfId="0" applyFont="1" applyFill="1" applyBorder="1" applyAlignment="1">
      <alignment horizontal="center"/>
    </xf>
    <xf numFmtId="0" fontId="6" fillId="12" borderId="0" xfId="0" applyFont="1" applyFill="1" applyAlignment="1" applyProtection="1">
      <alignment horizontal="left" vertical="top" wrapText="1"/>
      <protection/>
    </xf>
    <xf numFmtId="0" fontId="6" fillId="12" borderId="18" xfId="0" applyNumberFormat="1" applyFont="1" applyFill="1" applyBorder="1" applyAlignment="1">
      <alignment horizontal="center"/>
    </xf>
    <xf numFmtId="0" fontId="6" fillId="12" borderId="23" xfId="0" applyNumberFormat="1" applyFont="1" applyFill="1" applyBorder="1" applyAlignment="1">
      <alignment horizontal="center"/>
    </xf>
    <xf numFmtId="0" fontId="8" fillId="12" borderId="18" xfId="0" applyNumberFormat="1" applyFont="1" applyFill="1" applyBorder="1" applyAlignment="1">
      <alignment horizontal="center"/>
    </xf>
    <xf numFmtId="0" fontId="6" fillId="12" borderId="17" xfId="0" applyFont="1" applyFill="1" applyBorder="1" applyAlignment="1">
      <alignment horizontal="left"/>
    </xf>
    <xf numFmtId="2" fontId="6" fillId="12" borderId="17" xfId="0" applyNumberFormat="1" applyFont="1" applyFill="1" applyBorder="1" applyAlignment="1" applyProtection="1">
      <alignment horizontal="center"/>
      <protection hidden="1"/>
    </xf>
    <xf numFmtId="0" fontId="6" fillId="12" borderId="17" xfId="0" applyFont="1" applyFill="1" applyBorder="1" applyAlignment="1">
      <alignment horizontal="center"/>
    </xf>
    <xf numFmtId="0" fontId="8" fillId="12" borderId="17" xfId="0" applyNumberFormat="1" applyFont="1" applyFill="1" applyBorder="1" applyAlignment="1">
      <alignment horizontal="center"/>
    </xf>
    <xf numFmtId="0" fontId="6" fillId="12" borderId="19" xfId="0" applyNumberFormat="1" applyFont="1" applyFill="1" applyBorder="1" applyAlignment="1">
      <alignment horizontal="center"/>
    </xf>
    <xf numFmtId="0" fontId="6" fillId="55" borderId="17" xfId="0" applyFont="1" applyFill="1" applyBorder="1" applyAlignment="1" applyProtection="1">
      <alignment horizontal="left" vertical="top" wrapText="1"/>
      <protection locked="0"/>
    </xf>
    <xf numFmtId="0" fontId="6" fillId="55" borderId="18" xfId="0" applyFont="1" applyFill="1" applyBorder="1" applyAlignment="1" applyProtection="1">
      <alignment horizontal="left" vertical="top" wrapText="1"/>
      <protection locked="0"/>
    </xf>
    <xf numFmtId="0" fontId="6" fillId="55" borderId="17" xfId="0" applyFont="1" applyFill="1" applyBorder="1" applyAlignment="1" applyProtection="1">
      <alignment horizontal="center" vertical="top" wrapText="1"/>
      <protection locked="0"/>
    </xf>
    <xf numFmtId="0" fontId="8" fillId="55" borderId="17" xfId="0" applyFont="1" applyFill="1" applyBorder="1" applyAlignment="1" applyProtection="1">
      <alignment horizontal="center" vertical="top" wrapText="1"/>
      <protection locked="0"/>
    </xf>
    <xf numFmtId="2" fontId="19" fillId="55" borderId="21" xfId="0" applyNumberFormat="1" applyFont="1" applyFill="1" applyBorder="1" applyAlignment="1">
      <alignment horizontal="center"/>
    </xf>
    <xf numFmtId="0" fontId="6" fillId="55" borderId="17" xfId="0" applyFont="1" applyFill="1" applyBorder="1" applyAlignment="1" applyProtection="1">
      <alignment horizontal="center" vertical="top" wrapText="1"/>
      <protection/>
    </xf>
    <xf numFmtId="2" fontId="6" fillId="55" borderId="17" xfId="0" applyNumberFormat="1" applyFont="1" applyFill="1" applyBorder="1" applyAlignment="1" applyProtection="1">
      <alignment horizontal="center" vertical="top" wrapText="1"/>
      <protection/>
    </xf>
    <xf numFmtId="2" fontId="18" fillId="55" borderId="21" xfId="0" applyNumberFormat="1" applyFont="1" applyFill="1" applyBorder="1" applyAlignment="1">
      <alignment horizontal="center"/>
    </xf>
    <xf numFmtId="2" fontId="8" fillId="55" borderId="17" xfId="0" applyNumberFormat="1" applyFont="1" applyFill="1" applyBorder="1" applyAlignment="1" applyProtection="1">
      <alignment horizontal="center" vertical="top" wrapText="1"/>
      <protection/>
    </xf>
    <xf numFmtId="0" fontId="27" fillId="55" borderId="17" xfId="0" applyFont="1" applyFill="1" applyBorder="1" applyAlignment="1" applyProtection="1">
      <alignment horizontal="center" vertical="top" wrapText="1"/>
      <protection/>
    </xf>
    <xf numFmtId="2" fontId="8" fillId="55" borderId="12" xfId="0" applyNumberFormat="1" applyFont="1" applyFill="1" applyBorder="1" applyAlignment="1" applyProtection="1">
      <alignment horizontal="center" vertical="top" wrapText="1"/>
      <protection/>
    </xf>
    <xf numFmtId="2" fontId="8" fillId="55" borderId="17" xfId="0" applyNumberFormat="1" applyFont="1" applyFill="1" applyBorder="1" applyAlignment="1" applyProtection="1">
      <alignment horizontal="center" vertical="top" wrapText="1"/>
      <protection locked="0"/>
    </xf>
    <xf numFmtId="2" fontId="23" fillId="55" borderId="17" xfId="0" applyNumberFormat="1" applyFont="1" applyFill="1" applyBorder="1" applyAlignment="1" applyProtection="1">
      <alignment horizontal="center" vertical="top" wrapText="1"/>
      <protection locked="0"/>
    </xf>
    <xf numFmtId="2" fontId="8" fillId="55" borderId="12" xfId="0" applyNumberFormat="1" applyFont="1" applyFill="1" applyBorder="1" applyAlignment="1" applyProtection="1">
      <alignment horizontal="center" vertical="top" wrapText="1"/>
      <protection locked="0"/>
    </xf>
    <xf numFmtId="0" fontId="3" fillId="55" borderId="17" xfId="0" applyFont="1" applyFill="1" applyBorder="1" applyAlignment="1" applyProtection="1">
      <alignment horizontal="center" vertical="top" wrapText="1"/>
      <protection locked="0"/>
    </xf>
    <xf numFmtId="0" fontId="6" fillId="55" borderId="17" xfId="0" applyNumberFormat="1" applyFont="1" applyFill="1" applyBorder="1" applyAlignment="1" applyProtection="1">
      <alignment horizontal="center" vertical="top" wrapText="1"/>
      <protection locked="0"/>
    </xf>
    <xf numFmtId="2" fontId="6" fillId="55" borderId="17" xfId="0" applyNumberFormat="1" applyFont="1" applyFill="1" applyBorder="1" applyAlignment="1" applyProtection="1">
      <alignment horizontal="center" vertical="top" wrapText="1"/>
      <protection locked="0"/>
    </xf>
    <xf numFmtId="0" fontId="26" fillId="55" borderId="17" xfId="0" applyFont="1" applyFill="1" applyBorder="1" applyAlignment="1" applyProtection="1">
      <alignment horizontal="center" vertical="top" wrapText="1"/>
      <protection locked="0"/>
    </xf>
    <xf numFmtId="0" fontId="8" fillId="55" borderId="17" xfId="0" applyFont="1" applyFill="1" applyBorder="1" applyAlignment="1" applyProtection="1">
      <alignment horizontal="center" vertical="top" wrapText="1"/>
      <protection/>
    </xf>
    <xf numFmtId="2" fontId="6" fillId="55" borderId="17" xfId="0" applyNumberFormat="1" applyFont="1" applyFill="1" applyBorder="1" applyAlignment="1" applyProtection="1">
      <alignment horizontal="center"/>
      <protection/>
    </xf>
    <xf numFmtId="0" fontId="6" fillId="55" borderId="17" xfId="0" applyNumberFormat="1" applyFont="1" applyFill="1" applyBorder="1" applyAlignment="1">
      <alignment horizontal="center"/>
    </xf>
    <xf numFmtId="0" fontId="3" fillId="55" borderId="17" xfId="0" applyFont="1" applyFill="1" applyBorder="1" applyAlignment="1" applyProtection="1">
      <alignment horizontal="left" vertical="top" wrapText="1"/>
      <protection locked="0"/>
    </xf>
    <xf numFmtId="0" fontId="28" fillId="55" borderId="17" xfId="0" applyFont="1" applyFill="1" applyBorder="1" applyAlignment="1" applyProtection="1">
      <alignment horizontal="center" vertical="top" wrapText="1"/>
      <protection locked="0"/>
    </xf>
    <xf numFmtId="0" fontId="28" fillId="55" borderId="17" xfId="0" applyNumberFormat="1" applyFont="1" applyFill="1" applyBorder="1" applyAlignment="1" applyProtection="1">
      <alignment horizontal="center" vertical="top" wrapText="1"/>
      <protection locked="0"/>
    </xf>
    <xf numFmtId="0" fontId="6" fillId="55" borderId="0" xfId="0" applyFont="1" applyFill="1" applyAlignment="1" applyProtection="1">
      <alignment/>
      <protection/>
    </xf>
    <xf numFmtId="0" fontId="28" fillId="55" borderId="17" xfId="0" applyFont="1" applyFill="1" applyBorder="1" applyAlignment="1" applyProtection="1">
      <alignment horizontal="center" vertical="top" wrapText="1"/>
      <protection/>
    </xf>
    <xf numFmtId="0" fontId="28" fillId="55" borderId="17" xfId="0" applyNumberFormat="1" applyFont="1" applyFill="1" applyBorder="1" applyAlignment="1" applyProtection="1">
      <alignment horizontal="center" vertical="top" wrapText="1"/>
      <protection/>
    </xf>
    <xf numFmtId="0" fontId="6" fillId="55" borderId="17" xfId="0" applyNumberFormat="1" applyFont="1" applyFill="1" applyBorder="1" applyAlignment="1" applyProtection="1">
      <alignment horizontal="center" vertical="top" wrapText="1"/>
      <protection/>
    </xf>
    <xf numFmtId="0" fontId="6" fillId="55" borderId="17" xfId="0" applyFont="1" applyFill="1" applyBorder="1" applyAlignment="1">
      <alignment horizontal="center"/>
    </xf>
    <xf numFmtId="0" fontId="8" fillId="55" borderId="17" xfId="0" applyFont="1" applyFill="1" applyBorder="1" applyAlignment="1">
      <alignment horizontal="center"/>
    </xf>
    <xf numFmtId="2" fontId="8" fillId="55" borderId="17" xfId="0" applyNumberFormat="1" applyFont="1" applyFill="1" applyBorder="1" applyAlignment="1">
      <alignment horizontal="center"/>
    </xf>
    <xf numFmtId="0" fontId="6" fillId="55" borderId="17" xfId="0" applyNumberFormat="1" applyFont="1" applyFill="1" applyBorder="1" applyAlignment="1">
      <alignment horizontal="center"/>
    </xf>
    <xf numFmtId="1" fontId="8" fillId="55" borderId="17" xfId="0" applyNumberFormat="1" applyFont="1" applyFill="1" applyBorder="1" applyAlignment="1" applyProtection="1">
      <alignment horizontal="center" vertical="top" wrapText="1"/>
      <protection locked="0"/>
    </xf>
    <xf numFmtId="0" fontId="8" fillId="55" borderId="17" xfId="0" applyNumberFormat="1" applyFont="1" applyFill="1" applyBorder="1" applyAlignment="1" applyProtection="1">
      <alignment horizontal="center" vertical="top" wrapText="1"/>
      <protection/>
    </xf>
    <xf numFmtId="0" fontId="111" fillId="56" borderId="17" xfId="0" applyFont="1" applyFill="1" applyBorder="1" applyAlignment="1" applyProtection="1">
      <alignment horizontal="left" vertical="top" wrapText="1"/>
      <protection locked="0"/>
    </xf>
    <xf numFmtId="0" fontId="111" fillId="56" borderId="17" xfId="0" applyFont="1" applyFill="1" applyBorder="1" applyAlignment="1" applyProtection="1">
      <alignment horizontal="center" vertical="top" wrapText="1"/>
      <protection locked="0"/>
    </xf>
    <xf numFmtId="0" fontId="112" fillId="56" borderId="17" xfId="0" applyFont="1" applyFill="1" applyBorder="1" applyAlignment="1" applyProtection="1">
      <alignment horizontal="center" vertical="top" wrapText="1"/>
      <protection locked="0"/>
    </xf>
    <xf numFmtId="2" fontId="112" fillId="56" borderId="21" xfId="0" applyNumberFormat="1" applyFont="1" applyFill="1" applyBorder="1" applyAlignment="1">
      <alignment horizontal="center"/>
    </xf>
    <xf numFmtId="2" fontId="111" fillId="56" borderId="17" xfId="0" applyNumberFormat="1" applyFont="1" applyFill="1" applyBorder="1" applyAlignment="1" applyProtection="1">
      <alignment horizontal="center" vertical="top" wrapText="1"/>
      <protection locked="0"/>
    </xf>
    <xf numFmtId="2" fontId="111" fillId="56" borderId="17" xfId="0" applyNumberFormat="1" applyFont="1" applyFill="1" applyBorder="1" applyAlignment="1" applyProtection="1">
      <alignment horizontal="center" vertical="top" wrapText="1"/>
      <protection/>
    </xf>
    <xf numFmtId="2" fontId="111" fillId="56" borderId="21" xfId="0" applyNumberFormat="1" applyFont="1" applyFill="1" applyBorder="1" applyAlignment="1">
      <alignment horizontal="center"/>
    </xf>
    <xf numFmtId="0" fontId="111" fillId="56" borderId="17" xfId="0" applyNumberFormat="1" applyFont="1" applyFill="1" applyBorder="1" applyAlignment="1" applyProtection="1">
      <alignment horizontal="center" vertical="top" wrapText="1"/>
      <protection/>
    </xf>
    <xf numFmtId="0" fontId="111" fillId="56" borderId="17" xfId="0" applyFont="1" applyFill="1" applyBorder="1" applyAlignment="1" applyProtection="1">
      <alignment horizontal="center" vertical="top" wrapText="1"/>
      <protection/>
    </xf>
    <xf numFmtId="2" fontId="112" fillId="56" borderId="17" xfId="0" applyNumberFormat="1" applyFont="1" applyFill="1" applyBorder="1" applyAlignment="1" applyProtection="1">
      <alignment horizontal="center" vertical="top" wrapText="1"/>
      <protection/>
    </xf>
    <xf numFmtId="2" fontId="112" fillId="56" borderId="12" xfId="0" applyNumberFormat="1" applyFont="1" applyFill="1" applyBorder="1" applyAlignment="1" applyProtection="1">
      <alignment horizontal="center" vertical="top" wrapText="1"/>
      <protection/>
    </xf>
    <xf numFmtId="2" fontId="112" fillId="56" borderId="17" xfId="0" applyNumberFormat="1" applyFont="1" applyFill="1" applyBorder="1" applyAlignment="1" applyProtection="1">
      <alignment horizontal="center" vertical="top" wrapText="1"/>
      <protection locked="0"/>
    </xf>
    <xf numFmtId="2" fontId="113" fillId="56" borderId="17" xfId="0" applyNumberFormat="1" applyFont="1" applyFill="1" applyBorder="1" applyAlignment="1" applyProtection="1">
      <alignment horizontal="center" vertical="top" wrapText="1"/>
      <protection locked="0"/>
    </xf>
    <xf numFmtId="2" fontId="112" fillId="56" borderId="12" xfId="0" applyNumberFormat="1" applyFont="1" applyFill="1" applyBorder="1" applyAlignment="1" applyProtection="1">
      <alignment horizontal="center" vertical="top" wrapText="1"/>
      <protection locked="0"/>
    </xf>
    <xf numFmtId="0" fontId="111" fillId="56" borderId="17" xfId="0" applyFont="1" applyFill="1" applyBorder="1" applyAlignment="1">
      <alignment horizontal="center"/>
    </xf>
    <xf numFmtId="0" fontId="112" fillId="56" borderId="17" xfId="0" applyFont="1" applyFill="1" applyBorder="1" applyAlignment="1">
      <alignment horizontal="center"/>
    </xf>
    <xf numFmtId="2" fontId="112" fillId="56" borderId="17" xfId="0" applyNumberFormat="1" applyFont="1" applyFill="1" applyBorder="1" applyAlignment="1">
      <alignment horizontal="center"/>
    </xf>
    <xf numFmtId="0" fontId="111" fillId="56" borderId="17" xfId="0" applyNumberFormat="1" applyFont="1" applyFill="1" applyBorder="1" applyAlignment="1">
      <alignment horizontal="center"/>
    </xf>
    <xf numFmtId="0" fontId="112" fillId="56" borderId="17" xfId="0" applyFont="1" applyFill="1" applyBorder="1" applyAlignment="1" applyProtection="1">
      <alignment horizontal="center" vertical="top" wrapText="1"/>
      <protection/>
    </xf>
    <xf numFmtId="2" fontId="111" fillId="56" borderId="17" xfId="0" applyNumberFormat="1" applyFont="1" applyFill="1" applyBorder="1" applyAlignment="1" applyProtection="1">
      <alignment horizontal="center"/>
      <protection/>
    </xf>
    <xf numFmtId="0" fontId="112" fillId="56" borderId="17" xfId="0" applyFont="1" applyFill="1" applyBorder="1" applyAlignment="1" applyProtection="1">
      <alignment horizontal="center"/>
      <protection/>
    </xf>
    <xf numFmtId="0" fontId="114" fillId="56" borderId="17" xfId="0" applyNumberFormat="1" applyFont="1" applyFill="1" applyBorder="1" applyAlignment="1" quotePrefix="1">
      <alignment/>
    </xf>
    <xf numFmtId="1" fontId="112" fillId="56" borderId="17" xfId="0" applyNumberFormat="1" applyFont="1" applyFill="1" applyBorder="1" applyAlignment="1" applyProtection="1">
      <alignment horizontal="center" vertical="top" wrapText="1"/>
      <protection locked="0"/>
    </xf>
    <xf numFmtId="0" fontId="112" fillId="56" borderId="17" xfId="0" applyNumberFormat="1" applyFont="1" applyFill="1" applyBorder="1" applyAlignment="1" applyProtection="1">
      <alignment horizontal="center" vertical="top" wrapText="1"/>
      <protection/>
    </xf>
    <xf numFmtId="0" fontId="111" fillId="56" borderId="0" xfId="0" applyFont="1" applyFill="1" applyAlignment="1">
      <alignment/>
    </xf>
    <xf numFmtId="0" fontId="6" fillId="37" borderId="21" xfId="0" applyFont="1" applyFill="1" applyBorder="1" applyAlignment="1">
      <alignment horizontal="left"/>
    </xf>
    <xf numFmtId="0" fontId="6" fillId="37" borderId="16" xfId="0" applyFont="1" applyFill="1" applyBorder="1" applyAlignment="1">
      <alignment horizontal="left"/>
    </xf>
    <xf numFmtId="0" fontId="6" fillId="37" borderId="21" xfId="0" applyFont="1" applyFill="1" applyBorder="1" applyAlignment="1" applyProtection="1">
      <alignment horizontal="left" vertical="top" wrapText="1"/>
      <protection locked="0"/>
    </xf>
    <xf numFmtId="0" fontId="6" fillId="37" borderId="12" xfId="0" applyFont="1" applyFill="1" applyBorder="1" applyAlignment="1" applyProtection="1">
      <alignment horizontal="left" vertical="top" wrapText="1"/>
      <protection locked="0"/>
    </xf>
    <xf numFmtId="0" fontId="6" fillId="54" borderId="16" xfId="0" applyFont="1" applyFill="1" applyBorder="1" applyAlignment="1">
      <alignment horizontal="left"/>
    </xf>
    <xf numFmtId="0" fontId="6" fillId="12" borderId="16" xfId="0" applyFont="1" applyFill="1" applyBorder="1" applyAlignment="1" applyProtection="1">
      <alignment horizontal="left" vertical="top" wrapText="1"/>
      <protection locked="0"/>
    </xf>
    <xf numFmtId="0" fontId="111" fillId="50" borderId="17" xfId="0" applyFont="1" applyFill="1" applyBorder="1" applyAlignment="1" applyProtection="1">
      <alignment horizontal="center" vertical="top" wrapText="1"/>
      <protection/>
    </xf>
    <xf numFmtId="0" fontId="111" fillId="57" borderId="17" xfId="0" applyFont="1" applyFill="1" applyBorder="1" applyAlignment="1" applyProtection="1">
      <alignment horizontal="left" vertical="top" wrapText="1"/>
      <protection/>
    </xf>
    <xf numFmtId="0" fontId="111" fillId="57" borderId="17" xfId="0" applyFont="1" applyFill="1" applyBorder="1" applyAlignment="1" applyProtection="1">
      <alignment horizontal="center" vertical="top" wrapText="1"/>
      <protection/>
    </xf>
    <xf numFmtId="0" fontId="8" fillId="54" borderId="17" xfId="0" applyNumberFormat="1" applyFont="1" applyFill="1" applyBorder="1" applyAlignment="1">
      <alignment horizontal="center"/>
    </xf>
    <xf numFmtId="0" fontId="57" fillId="0" borderId="0" xfId="0" applyFont="1" applyFill="1" applyAlignment="1" applyProtection="1">
      <alignment horizontal="left"/>
      <protection/>
    </xf>
    <xf numFmtId="0" fontId="115" fillId="37" borderId="17" xfId="0" applyFont="1" applyFill="1" applyBorder="1" applyAlignment="1" applyProtection="1">
      <alignment horizontal="center" vertical="top" wrapText="1"/>
      <protection/>
    </xf>
    <xf numFmtId="0" fontId="115" fillId="54" borderId="12" xfId="0" applyFont="1" applyFill="1" applyBorder="1" applyAlignment="1" applyProtection="1">
      <alignment horizontal="center" vertical="top" wrapText="1"/>
      <protection/>
    </xf>
    <xf numFmtId="0" fontId="115" fillId="12" borderId="17" xfId="0" applyFont="1" applyFill="1" applyBorder="1" applyAlignment="1" applyProtection="1">
      <alignment horizontal="center" vertical="top" wrapText="1"/>
      <protection/>
    </xf>
    <xf numFmtId="0" fontId="116" fillId="37" borderId="17" xfId="0" applyFont="1" applyFill="1" applyBorder="1" applyAlignment="1" applyProtection="1">
      <alignment horizontal="center" vertical="top" wrapText="1"/>
      <protection/>
    </xf>
    <xf numFmtId="0" fontId="116" fillId="54" borderId="12" xfId="0" applyFont="1" applyFill="1" applyBorder="1" applyAlignment="1" applyProtection="1">
      <alignment horizontal="center" vertical="top" wrapText="1"/>
      <protection/>
    </xf>
    <xf numFmtId="0" fontId="9" fillId="52" borderId="17" xfId="0" applyFont="1" applyFill="1" applyBorder="1" applyAlignment="1" applyProtection="1">
      <alignment horizontal="center" vertical="top" wrapText="1"/>
      <protection/>
    </xf>
    <xf numFmtId="0" fontId="3" fillId="58" borderId="17" xfId="0" applyFont="1" applyFill="1" applyBorder="1" applyAlignment="1" applyProtection="1">
      <alignment vertical="top" wrapText="1"/>
      <protection/>
    </xf>
    <xf numFmtId="0" fontId="11" fillId="58" borderId="17" xfId="0" applyFont="1" applyFill="1" applyBorder="1" applyAlignment="1" applyProtection="1">
      <alignment vertical="top" wrapText="1"/>
      <protection/>
    </xf>
    <xf numFmtId="0" fontId="3" fillId="59" borderId="17" xfId="0" applyFont="1" applyFill="1" applyBorder="1" applyAlignment="1" applyProtection="1">
      <alignment vertical="top" wrapText="1"/>
      <protection locked="0"/>
    </xf>
    <xf numFmtId="0" fontId="3" fillId="59" borderId="17" xfId="0" applyFont="1" applyFill="1" applyBorder="1" applyAlignment="1" applyProtection="1">
      <alignment vertical="top" wrapText="1"/>
      <protection/>
    </xf>
    <xf numFmtId="0" fontId="3" fillId="59" borderId="17" xfId="0" applyFont="1" applyFill="1" applyBorder="1" applyAlignment="1">
      <alignment vertical="top" wrapText="1"/>
    </xf>
    <xf numFmtId="0" fontId="9" fillId="60" borderId="17" xfId="0" applyFont="1" applyFill="1" applyBorder="1" applyAlignment="1" applyProtection="1">
      <alignment horizontal="center" vertical="top" wrapText="1"/>
      <protection/>
    </xf>
    <xf numFmtId="0" fontId="3" fillId="58" borderId="17" xfId="0" applyFont="1" applyFill="1" applyBorder="1" applyAlignment="1" applyProtection="1">
      <alignment horizontal="left" vertical="top" wrapText="1"/>
      <protection/>
    </xf>
    <xf numFmtId="0" fontId="3" fillId="58" borderId="17" xfId="0" applyNumberFormat="1" applyFont="1" applyFill="1" applyBorder="1" applyAlignment="1" applyProtection="1">
      <alignment vertical="top" wrapText="1"/>
      <protection/>
    </xf>
    <xf numFmtId="0" fontId="58" fillId="58" borderId="17" xfId="53" applyFont="1" applyFill="1" applyBorder="1" applyAlignment="1" applyProtection="1" quotePrefix="1">
      <alignment vertical="top" wrapText="1"/>
      <protection/>
    </xf>
    <xf numFmtId="0" fontId="11" fillId="59" borderId="17" xfId="0" applyFont="1" applyFill="1" applyBorder="1" applyAlignment="1" applyProtection="1">
      <alignment horizontal="left" vertical="top" wrapText="1"/>
      <protection/>
    </xf>
    <xf numFmtId="0" fontId="11" fillId="59" borderId="17" xfId="0" applyFont="1" applyFill="1" applyBorder="1" applyAlignment="1" applyProtection="1">
      <alignment vertical="top" wrapText="1"/>
      <protection/>
    </xf>
    <xf numFmtId="0" fontId="11" fillId="59" borderId="17" xfId="0" applyFont="1" applyFill="1" applyBorder="1" applyAlignment="1">
      <alignment vertical="top" wrapText="1"/>
    </xf>
    <xf numFmtId="0" fontId="3" fillId="59" borderId="17" xfId="0" applyFont="1" applyFill="1" applyBorder="1" applyAlignment="1" applyProtection="1">
      <alignment horizontal="left" vertical="top" wrapText="1"/>
      <protection/>
    </xf>
    <xf numFmtId="0" fontId="15" fillId="0" borderId="0" xfId="0" applyFont="1" applyAlignment="1">
      <alignment wrapText="1"/>
    </xf>
    <xf numFmtId="0" fontId="0" fillId="0" borderId="0" xfId="0" applyAlignment="1">
      <alignment wrapText="1"/>
    </xf>
    <xf numFmtId="0" fontId="3" fillId="38" borderId="17" xfId="0" applyFont="1" applyFill="1" applyBorder="1" applyAlignment="1" applyProtection="1">
      <alignment horizontal="left" vertical="top" wrapText="1"/>
      <protection/>
    </xf>
    <xf numFmtId="0" fontId="3" fillId="35" borderId="17" xfId="0" applyFont="1" applyFill="1" applyBorder="1" applyAlignment="1" applyProtection="1">
      <alignment horizontal="left" vertical="top" wrapText="1"/>
      <protection/>
    </xf>
    <xf numFmtId="0" fontId="15" fillId="0" borderId="0" xfId="0" applyFont="1" applyFill="1" applyAlignment="1" applyProtection="1">
      <alignment horizontal="left"/>
      <protection/>
    </xf>
    <xf numFmtId="0" fontId="15" fillId="0" borderId="0" xfId="0" applyFont="1" applyAlignment="1" applyProtection="1">
      <alignment horizontal="left"/>
      <protection/>
    </xf>
    <xf numFmtId="0" fontId="15" fillId="0" borderId="0" xfId="0" applyFont="1" applyFill="1" applyAlignment="1">
      <alignment wrapText="1"/>
    </xf>
    <xf numFmtId="0" fontId="3" fillId="0" borderId="0" xfId="0" applyFont="1" applyFill="1" applyBorder="1" applyAlignment="1" applyProtection="1">
      <alignment horizontal="left" vertical="top" wrapText="1"/>
      <protection/>
    </xf>
    <xf numFmtId="0" fontId="8" fillId="61" borderId="17" xfId="0" applyFont="1" applyFill="1" applyBorder="1" applyAlignment="1" applyProtection="1">
      <alignment horizontal="center" vertical="top" wrapText="1"/>
      <protection/>
    </xf>
    <xf numFmtId="0" fontId="3" fillId="35" borderId="13"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center" vertical="top" wrapText="1"/>
      <protection/>
    </xf>
    <xf numFmtId="0" fontId="15" fillId="0" borderId="0" xfId="0" applyFont="1" applyFill="1" applyBorder="1" applyAlignment="1">
      <alignment/>
    </xf>
    <xf numFmtId="0" fontId="59" fillId="0" borderId="0" xfId="0" applyFont="1" applyFill="1" applyBorder="1" applyAlignment="1">
      <alignment horizontal="center" vertical="center"/>
    </xf>
    <xf numFmtId="0" fontId="11" fillId="0" borderId="0" xfId="0" applyFont="1" applyFill="1" applyBorder="1" applyAlignment="1">
      <alignment horizontal="center"/>
    </xf>
    <xf numFmtId="0" fontId="9" fillId="0" borderId="0" xfId="0" applyFont="1" applyFill="1" applyBorder="1" applyAlignment="1" applyProtection="1">
      <alignment horizontal="center" vertical="top" wrapText="1"/>
      <protection/>
    </xf>
    <xf numFmtId="0" fontId="117" fillId="0" borderId="0" xfId="0" applyFont="1" applyFill="1" applyBorder="1" applyAlignment="1" applyProtection="1">
      <alignment horizontal="left" vertical="top" wrapText="1"/>
      <protection/>
    </xf>
    <xf numFmtId="0" fontId="15" fillId="0" borderId="0" xfId="0" applyFont="1" applyFill="1" applyBorder="1" applyAlignment="1" applyProtection="1">
      <alignment horizontal="left"/>
      <protection/>
    </xf>
    <xf numFmtId="2" fontId="19" fillId="62" borderId="21" xfId="0" applyNumberFormat="1" applyFont="1" applyFill="1" applyBorder="1" applyAlignment="1">
      <alignment horizontal="center"/>
    </xf>
    <xf numFmtId="2" fontId="19" fillId="56" borderId="21" xfId="0" applyNumberFormat="1" applyFont="1" applyFill="1" applyBorder="1" applyAlignment="1">
      <alignment horizontal="center"/>
    </xf>
    <xf numFmtId="2" fontId="18" fillId="14" borderId="21" xfId="0" applyNumberFormat="1" applyFont="1" applyFill="1" applyBorder="1" applyAlignment="1">
      <alignment horizontal="center"/>
    </xf>
    <xf numFmtId="2" fontId="19" fillId="14" borderId="21" xfId="0" applyNumberFormat="1" applyFont="1" applyFill="1" applyBorder="1" applyAlignment="1">
      <alignment horizontal="center"/>
    </xf>
    <xf numFmtId="2" fontId="18" fillId="14" borderId="16" xfId="0" applyNumberFormat="1" applyFont="1" applyFill="1" applyBorder="1" applyAlignment="1">
      <alignment horizontal="center"/>
    </xf>
    <xf numFmtId="2" fontId="18" fillId="62" borderId="21" xfId="0" applyNumberFormat="1" applyFont="1" applyFill="1" applyBorder="1" applyAlignment="1">
      <alignment horizontal="center"/>
    </xf>
    <xf numFmtId="2" fontId="18" fillId="62" borderId="16" xfId="0" applyNumberFormat="1" applyFont="1" applyFill="1" applyBorder="1" applyAlignment="1">
      <alignment horizontal="center"/>
    </xf>
    <xf numFmtId="2" fontId="18" fillId="5" borderId="16" xfId="0" applyNumberFormat="1" applyFont="1" applyFill="1" applyBorder="1" applyAlignment="1">
      <alignment horizontal="center"/>
    </xf>
    <xf numFmtId="2" fontId="19" fillId="5" borderId="21" xfId="0" applyNumberFormat="1" applyFont="1" applyFill="1" applyBorder="1" applyAlignment="1">
      <alignment horizontal="center"/>
    </xf>
    <xf numFmtId="2" fontId="18" fillId="5" borderId="21" xfId="0" applyNumberFormat="1" applyFont="1" applyFill="1" applyBorder="1" applyAlignment="1">
      <alignment horizontal="center"/>
    </xf>
    <xf numFmtId="0" fontId="6" fillId="45" borderId="17" xfId="0" applyFont="1" applyFill="1" applyBorder="1" applyAlignment="1" applyProtection="1">
      <alignment horizontal="left" vertical="top" wrapText="1"/>
      <protection/>
    </xf>
    <xf numFmtId="0" fontId="6" fillId="37" borderId="17" xfId="0" applyFont="1" applyFill="1" applyBorder="1" applyAlignment="1" applyProtection="1">
      <alignment horizontal="left" wrapText="1"/>
      <protection locked="0"/>
    </xf>
    <xf numFmtId="0" fontId="6" fillId="54" borderId="12" xfId="0" applyFont="1" applyFill="1" applyBorder="1" applyAlignment="1" applyProtection="1">
      <alignment horizontal="left" wrapText="1"/>
      <protection locked="0"/>
    </xf>
    <xf numFmtId="0" fontId="6" fillId="54" borderId="17" xfId="0" applyFont="1" applyFill="1" applyBorder="1" applyAlignment="1" applyProtection="1">
      <alignment horizontal="left" wrapText="1"/>
      <protection locked="0"/>
    </xf>
    <xf numFmtId="0" fontId="6" fillId="12" borderId="17" xfId="0" applyFont="1" applyFill="1" applyBorder="1" applyAlignment="1" applyProtection="1">
      <alignment horizontal="left" wrapText="1"/>
      <protection locked="0"/>
    </xf>
    <xf numFmtId="0" fontId="6" fillId="55" borderId="17" xfId="0" applyFont="1" applyFill="1" applyBorder="1" applyAlignment="1" applyProtection="1">
      <alignment horizontal="left" wrapText="1"/>
      <protection locked="0"/>
    </xf>
    <xf numFmtId="0" fontId="111" fillId="56" borderId="17" xfId="0" applyFont="1" applyFill="1" applyBorder="1" applyAlignment="1" applyProtection="1">
      <alignment horizontal="left" wrapText="1"/>
      <protection locked="0"/>
    </xf>
    <xf numFmtId="0" fontId="6" fillId="17" borderId="17" xfId="0" applyFont="1" applyFill="1" applyBorder="1" applyAlignment="1" applyProtection="1">
      <alignment horizontal="left" wrapText="1"/>
      <protection locked="0"/>
    </xf>
    <xf numFmtId="2" fontId="6" fillId="37" borderId="12" xfId="0" applyNumberFormat="1" applyFont="1" applyFill="1" applyBorder="1" applyAlignment="1" applyProtection="1">
      <alignment horizontal="center" vertical="top" wrapText="1"/>
      <protection locked="0"/>
    </xf>
    <xf numFmtId="2" fontId="6" fillId="12" borderId="12" xfId="0" applyNumberFormat="1" applyFont="1" applyFill="1" applyBorder="1" applyAlignment="1" applyProtection="1">
      <alignment horizontal="center" vertical="top" wrapText="1"/>
      <protection locked="0"/>
    </xf>
    <xf numFmtId="2" fontId="23" fillId="55" borderId="12" xfId="0" applyNumberFormat="1" applyFont="1" applyFill="1" applyBorder="1" applyAlignment="1" applyProtection="1">
      <alignment horizontal="center" vertical="top" wrapText="1"/>
      <protection locked="0"/>
    </xf>
    <xf numFmtId="2" fontId="113" fillId="56" borderId="12" xfId="0" applyNumberFormat="1" applyFont="1" applyFill="1" applyBorder="1" applyAlignment="1" applyProtection="1">
      <alignment horizontal="center" vertical="top" wrapText="1"/>
      <protection locked="0"/>
    </xf>
    <xf numFmtId="2" fontId="24" fillId="17" borderId="12" xfId="0" applyNumberFormat="1" applyFont="1" applyFill="1" applyBorder="1" applyAlignment="1" applyProtection="1">
      <alignment horizontal="center" vertical="top" wrapText="1"/>
      <protection locked="0"/>
    </xf>
    <xf numFmtId="0" fontId="6" fillId="37" borderId="20" xfId="0" applyFont="1" applyFill="1" applyBorder="1" applyAlignment="1" applyProtection="1">
      <alignment horizontal="center" vertical="top" wrapText="1"/>
      <protection/>
    </xf>
    <xf numFmtId="0" fontId="6" fillId="0" borderId="17" xfId="0" applyFont="1" applyFill="1" applyBorder="1" applyAlignment="1" applyProtection="1">
      <alignment horizontal="center" vertical="top" wrapText="1"/>
      <protection/>
    </xf>
    <xf numFmtId="2" fontId="6" fillId="37" borderId="0" xfId="0" applyNumberFormat="1" applyFont="1" applyFill="1" applyAlignment="1" applyProtection="1">
      <alignment horizontal="left" vertical="top" wrapText="1"/>
      <protection/>
    </xf>
    <xf numFmtId="2" fontId="6" fillId="37" borderId="0" xfId="0" applyNumberFormat="1" applyFont="1" applyFill="1" applyBorder="1" applyAlignment="1" applyProtection="1">
      <alignment horizontal="left" vertical="top" wrapText="1"/>
      <protection/>
    </xf>
    <xf numFmtId="2" fontId="6" fillId="54" borderId="0" xfId="0" applyNumberFormat="1" applyFont="1" applyFill="1" applyAlignment="1" applyProtection="1">
      <alignment horizontal="left" vertical="top" wrapText="1"/>
      <protection/>
    </xf>
    <xf numFmtId="2" fontId="6" fillId="54" borderId="0" xfId="0" applyNumberFormat="1" applyFont="1" applyFill="1" applyAlignment="1" applyProtection="1">
      <alignment vertical="top" wrapText="1"/>
      <protection/>
    </xf>
    <xf numFmtId="2" fontId="6" fillId="54" borderId="0" xfId="0" applyNumberFormat="1" applyFont="1" applyFill="1" applyBorder="1" applyAlignment="1" applyProtection="1">
      <alignment horizontal="left" vertical="top" wrapText="1"/>
      <protection/>
    </xf>
    <xf numFmtId="2" fontId="6" fillId="12" borderId="0" xfId="0" applyNumberFormat="1" applyFont="1" applyFill="1" applyAlignment="1" applyProtection="1">
      <alignment horizontal="left" vertical="top" wrapText="1"/>
      <protection/>
    </xf>
    <xf numFmtId="2" fontId="6" fillId="55" borderId="0" xfId="0" applyNumberFormat="1" applyFont="1" applyFill="1" applyAlignment="1" applyProtection="1">
      <alignment/>
      <protection/>
    </xf>
    <xf numFmtId="2" fontId="111" fillId="56" borderId="0" xfId="0" applyNumberFormat="1" applyFont="1" applyFill="1" applyAlignment="1">
      <alignment/>
    </xf>
    <xf numFmtId="2" fontId="6" fillId="17" borderId="0" xfId="0" applyNumberFormat="1" applyFont="1" applyFill="1" applyAlignment="1">
      <alignment/>
    </xf>
    <xf numFmtId="0" fontId="6" fillId="46" borderId="17" xfId="0" applyFont="1" applyFill="1" applyBorder="1" applyAlignment="1" applyProtection="1">
      <alignment horizontal="center" vertical="top" wrapText="1"/>
      <protection/>
    </xf>
    <xf numFmtId="0" fontId="6" fillId="63" borderId="17" xfId="0" applyFont="1" applyFill="1" applyBorder="1" applyAlignment="1" applyProtection="1">
      <alignment horizontal="center" vertical="top" wrapText="1"/>
      <protection/>
    </xf>
    <xf numFmtId="0" fontId="6" fillId="64" borderId="17" xfId="0" applyFont="1" applyFill="1" applyBorder="1" applyAlignment="1" applyProtection="1">
      <alignment horizontal="center" vertical="top" wrapText="1"/>
      <protection/>
    </xf>
    <xf numFmtId="0" fontId="6" fillId="37" borderId="17" xfId="0" applyFont="1" applyFill="1" applyBorder="1" applyAlignment="1">
      <alignment horizontal="center" vertical="top" wrapText="1"/>
    </xf>
    <xf numFmtId="0" fontId="18" fillId="37" borderId="10" xfId="0" applyFont="1" applyFill="1" applyBorder="1" applyAlignment="1">
      <alignment horizontal="center"/>
    </xf>
    <xf numFmtId="0" fontId="19" fillId="37" borderId="10" xfId="0" applyFont="1" applyFill="1" applyBorder="1" applyAlignment="1">
      <alignment horizontal="center"/>
    </xf>
    <xf numFmtId="9" fontId="6" fillId="37" borderId="17" xfId="0" applyNumberFormat="1" applyFont="1" applyFill="1" applyBorder="1" applyAlignment="1" applyProtection="1">
      <alignment horizontal="center" vertical="top" wrapText="1"/>
      <protection/>
    </xf>
    <xf numFmtId="0" fontId="18" fillId="37" borderId="13" xfId="0" applyFont="1" applyFill="1" applyBorder="1" applyAlignment="1">
      <alignment horizontal="center"/>
    </xf>
    <xf numFmtId="0" fontId="6" fillId="54" borderId="12" xfId="0" applyFont="1" applyFill="1" applyBorder="1" applyAlignment="1">
      <alignment horizontal="center" vertical="top" wrapText="1"/>
    </xf>
    <xf numFmtId="0" fontId="18" fillId="54" borderId="23" xfId="0" applyFont="1" applyFill="1" applyBorder="1" applyAlignment="1">
      <alignment horizontal="center"/>
    </xf>
    <xf numFmtId="0" fontId="19" fillId="54" borderId="23" xfId="0" applyFont="1" applyFill="1" applyBorder="1" applyAlignment="1">
      <alignment horizontal="center"/>
    </xf>
    <xf numFmtId="9" fontId="6" fillId="54" borderId="12" xfId="0" applyNumberFormat="1" applyFont="1" applyFill="1" applyBorder="1" applyAlignment="1" applyProtection="1">
      <alignment horizontal="center" vertical="top" wrapText="1"/>
      <protection/>
    </xf>
    <xf numFmtId="0" fontId="18" fillId="54" borderId="19" xfId="0" applyFont="1" applyFill="1" applyBorder="1" applyAlignment="1">
      <alignment horizontal="center"/>
    </xf>
    <xf numFmtId="0" fontId="6" fillId="54" borderId="17" xfId="0" applyFont="1" applyFill="1" applyBorder="1" applyAlignment="1">
      <alignment horizontal="center" vertical="top" wrapText="1"/>
    </xf>
    <xf numFmtId="0" fontId="18" fillId="54" borderId="10" xfId="0" applyFont="1" applyFill="1" applyBorder="1" applyAlignment="1">
      <alignment horizontal="center"/>
    </xf>
    <xf numFmtId="0" fontId="19" fillId="54" borderId="10" xfId="0" applyFont="1" applyFill="1" applyBorder="1" applyAlignment="1">
      <alignment horizontal="center"/>
    </xf>
    <xf numFmtId="9" fontId="6" fillId="54" borderId="17" xfId="0" applyNumberFormat="1" applyFont="1" applyFill="1" applyBorder="1" applyAlignment="1" applyProtection="1">
      <alignment horizontal="center" vertical="top" wrapText="1"/>
      <protection/>
    </xf>
    <xf numFmtId="0" fontId="18" fillId="54" borderId="13" xfId="0" applyFont="1" applyFill="1" applyBorder="1" applyAlignment="1">
      <alignment horizontal="center"/>
    </xf>
    <xf numFmtId="0" fontId="6" fillId="12" borderId="17" xfId="0" applyFont="1" applyFill="1" applyBorder="1" applyAlignment="1">
      <alignment horizontal="center" vertical="top" wrapText="1"/>
    </xf>
    <xf numFmtId="0" fontId="18" fillId="12" borderId="10" xfId="0" applyFont="1" applyFill="1" applyBorder="1" applyAlignment="1">
      <alignment horizontal="center"/>
    </xf>
    <xf numFmtId="0" fontId="19" fillId="12" borderId="10" xfId="0" applyFont="1" applyFill="1" applyBorder="1" applyAlignment="1">
      <alignment horizontal="center"/>
    </xf>
    <xf numFmtId="0" fontId="18" fillId="12" borderId="17" xfId="0" applyFont="1" applyFill="1" applyBorder="1" applyAlignment="1">
      <alignment horizontal="center"/>
    </xf>
    <xf numFmtId="9" fontId="6" fillId="12" borderId="17" xfId="0" applyNumberFormat="1" applyFont="1" applyFill="1" applyBorder="1" applyAlignment="1" applyProtection="1">
      <alignment horizontal="center" vertical="top" wrapText="1"/>
      <protection/>
    </xf>
    <xf numFmtId="0" fontId="18" fillId="12" borderId="13" xfId="0" applyFont="1" applyFill="1" applyBorder="1" applyAlignment="1">
      <alignment horizontal="center"/>
    </xf>
    <xf numFmtId="0" fontId="6" fillId="55" borderId="17" xfId="0" applyFont="1" applyFill="1" applyBorder="1" applyAlignment="1">
      <alignment horizontal="center" vertical="top" wrapText="1"/>
    </xf>
    <xf numFmtId="9" fontId="6" fillId="55" borderId="17" xfId="0" applyNumberFormat="1" applyFont="1" applyFill="1" applyBorder="1" applyAlignment="1" applyProtection="1">
      <alignment horizontal="center" vertical="top" wrapText="1"/>
      <protection/>
    </xf>
    <xf numFmtId="0" fontId="6" fillId="55" borderId="21" xfId="0" applyFont="1" applyFill="1" applyBorder="1" applyAlignment="1" applyProtection="1">
      <alignment horizontal="center" vertical="top" wrapText="1"/>
      <protection/>
    </xf>
    <xf numFmtId="0" fontId="111" fillId="56" borderId="17" xfId="0" applyFont="1" applyFill="1" applyBorder="1" applyAlignment="1">
      <alignment horizontal="center" vertical="top" wrapText="1"/>
    </xf>
    <xf numFmtId="0" fontId="111" fillId="56" borderId="21" xfId="0" applyFont="1" applyFill="1" applyBorder="1" applyAlignment="1" applyProtection="1">
      <alignment horizontal="center" vertical="top" wrapText="1"/>
      <protection/>
    </xf>
    <xf numFmtId="0" fontId="6" fillId="17" borderId="17" xfId="0" applyFont="1" applyFill="1" applyBorder="1" applyAlignment="1">
      <alignment horizontal="center" vertical="top" wrapText="1"/>
    </xf>
    <xf numFmtId="0" fontId="6" fillId="17" borderId="21" xfId="0" applyFont="1" applyFill="1" applyBorder="1" applyAlignment="1" applyProtection="1">
      <alignment horizontal="center" vertical="top" wrapText="1"/>
      <protection/>
    </xf>
    <xf numFmtId="0" fontId="6" fillId="65" borderId="0" xfId="0" applyFont="1" applyFill="1" applyAlignment="1" applyProtection="1">
      <alignment/>
      <protection/>
    </xf>
    <xf numFmtId="1" fontId="6" fillId="55" borderId="17" xfId="0" applyNumberFormat="1"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54" borderId="23" xfId="0" applyFont="1" applyFill="1" applyBorder="1" applyAlignment="1" applyProtection="1">
      <alignment horizontal="center" vertical="top" wrapText="1"/>
      <protection/>
    </xf>
    <xf numFmtId="0" fontId="6" fillId="12" borderId="18" xfId="0" applyFont="1" applyFill="1" applyBorder="1" applyAlignment="1" applyProtection="1">
      <alignment horizontal="center" vertical="top" wrapText="1"/>
      <protection/>
    </xf>
    <xf numFmtId="0" fontId="6" fillId="55" borderId="10" xfId="0" applyFont="1" applyFill="1" applyBorder="1" applyAlignment="1" applyProtection="1">
      <alignment horizontal="center" vertical="top" wrapText="1"/>
      <protection/>
    </xf>
    <xf numFmtId="0" fontId="111" fillId="56" borderId="10" xfId="0" applyFont="1" applyFill="1" applyBorder="1" applyAlignment="1" applyProtection="1">
      <alignment horizontal="center" vertical="top" wrapText="1"/>
      <protection/>
    </xf>
    <xf numFmtId="0" fontId="6" fillId="17" borderId="10" xfId="0" applyFont="1" applyFill="1" applyBorder="1" applyAlignment="1" applyProtection="1">
      <alignment horizontal="center" vertical="top" wrapText="1"/>
      <protection/>
    </xf>
    <xf numFmtId="2" fontId="6" fillId="42" borderId="17" xfId="0" applyNumberFormat="1" applyFont="1" applyFill="1" applyBorder="1" applyAlignment="1" applyProtection="1">
      <alignment horizontal="center" vertical="top" wrapText="1"/>
      <protection/>
    </xf>
    <xf numFmtId="2" fontId="6" fillId="37" borderId="13" xfId="0" applyNumberFormat="1" applyFont="1" applyFill="1" applyBorder="1" applyAlignment="1" applyProtection="1">
      <alignment horizontal="center" vertical="top" wrapText="1"/>
      <protection/>
    </xf>
    <xf numFmtId="2" fontId="6" fillId="12" borderId="13" xfId="0" applyNumberFormat="1" applyFont="1" applyFill="1" applyBorder="1" applyAlignment="1" applyProtection="1">
      <alignment horizontal="center" vertical="top" wrapText="1"/>
      <protection/>
    </xf>
    <xf numFmtId="2" fontId="6" fillId="55" borderId="17" xfId="0" applyNumberFormat="1" applyFont="1" applyFill="1" applyBorder="1" applyAlignment="1">
      <alignment horizontal="center" vertical="top" wrapText="1"/>
    </xf>
    <xf numFmtId="2" fontId="111" fillId="56" borderId="17" xfId="0" applyNumberFormat="1" applyFont="1" applyFill="1" applyBorder="1" applyAlignment="1">
      <alignment horizontal="center" vertical="top" wrapText="1"/>
    </xf>
    <xf numFmtId="2" fontId="6" fillId="17" borderId="17" xfId="0" applyNumberFormat="1" applyFont="1" applyFill="1" applyBorder="1" applyAlignment="1">
      <alignment horizontal="center" vertical="top" wrapText="1"/>
    </xf>
    <xf numFmtId="2" fontId="6" fillId="0" borderId="0" xfId="0" applyNumberFormat="1" applyFont="1" applyFill="1" applyAlignment="1" applyProtection="1">
      <alignment/>
      <protection/>
    </xf>
    <xf numFmtId="2" fontId="6" fillId="0" borderId="0" xfId="0" applyNumberFormat="1" applyFont="1" applyAlignment="1" applyProtection="1">
      <alignment/>
      <protection/>
    </xf>
    <xf numFmtId="0" fontId="6" fillId="37" borderId="13" xfId="0" applyFont="1" applyFill="1" applyBorder="1" applyAlignment="1" applyProtection="1">
      <alignment horizontal="center" vertical="top" wrapText="1"/>
      <protection/>
    </xf>
    <xf numFmtId="0" fontId="6" fillId="54" borderId="13" xfId="0" applyFont="1" applyFill="1" applyBorder="1" applyAlignment="1" applyProtection="1">
      <alignment horizontal="center" vertical="top" wrapText="1"/>
      <protection/>
    </xf>
    <xf numFmtId="0" fontId="6" fillId="12" borderId="13" xfId="0" applyFont="1" applyFill="1" applyBorder="1" applyAlignment="1" applyProtection="1">
      <alignment horizontal="center" vertical="top" wrapText="1"/>
      <protection/>
    </xf>
    <xf numFmtId="2" fontId="6" fillId="0" borderId="0" xfId="0" applyNumberFormat="1" applyFont="1" applyFill="1" applyAlignment="1" applyProtection="1">
      <alignment horizontal="left" vertical="top" wrapText="1"/>
      <protection/>
    </xf>
    <xf numFmtId="0" fontId="6" fillId="66" borderId="0" xfId="0" applyFont="1" applyFill="1" applyAlignment="1" applyProtection="1">
      <alignment horizontal="left" vertical="top" wrapText="1"/>
      <protection/>
    </xf>
    <xf numFmtId="0" fontId="8" fillId="66" borderId="17" xfId="0" applyFont="1" applyFill="1" applyBorder="1" applyAlignment="1" applyProtection="1">
      <alignment horizontal="center" vertical="top" wrapText="1"/>
      <protection/>
    </xf>
    <xf numFmtId="0" fontId="6" fillId="66" borderId="12" xfId="0" applyFont="1" applyFill="1" applyBorder="1" applyAlignment="1">
      <alignment horizontal="left"/>
    </xf>
    <xf numFmtId="0" fontId="6" fillId="66" borderId="17" xfId="0" applyFont="1" applyFill="1" applyBorder="1" applyAlignment="1">
      <alignment horizontal="left"/>
    </xf>
    <xf numFmtId="0" fontId="6" fillId="66" borderId="16" xfId="0" applyFont="1" applyFill="1" applyBorder="1" applyAlignment="1" applyProtection="1">
      <alignment horizontal="left" vertical="top" wrapText="1"/>
      <protection locked="0"/>
    </xf>
    <xf numFmtId="0" fontId="6" fillId="66" borderId="16" xfId="0" applyFont="1" applyFill="1" applyBorder="1" applyAlignment="1">
      <alignment horizontal="left"/>
    </xf>
    <xf numFmtId="0" fontId="6" fillId="66" borderId="12" xfId="0" applyFont="1" applyFill="1" applyBorder="1" applyAlignment="1" applyProtection="1">
      <alignment horizontal="left" wrapText="1"/>
      <protection locked="0"/>
    </xf>
    <xf numFmtId="0" fontId="6" fillId="66" borderId="12" xfId="0" applyFont="1" applyFill="1" applyBorder="1" applyAlignment="1" applyProtection="1">
      <alignment horizontal="center" vertical="top" wrapText="1"/>
      <protection/>
    </xf>
    <xf numFmtId="0" fontId="6" fillId="66" borderId="12" xfId="0" applyFont="1" applyFill="1" applyBorder="1" applyAlignment="1" applyProtection="1">
      <alignment horizontal="left" vertical="top" wrapText="1"/>
      <protection/>
    </xf>
    <xf numFmtId="0" fontId="19" fillId="66" borderId="12" xfId="0" applyFont="1" applyFill="1" applyBorder="1" applyAlignment="1">
      <alignment horizontal="center"/>
    </xf>
    <xf numFmtId="2" fontId="19" fillId="66" borderId="21" xfId="0" applyNumberFormat="1" applyFont="1" applyFill="1" applyBorder="1" applyAlignment="1">
      <alignment horizontal="center"/>
    </xf>
    <xf numFmtId="0" fontId="6" fillId="66" borderId="12" xfId="0" applyFont="1" applyFill="1" applyBorder="1" applyAlignment="1" applyProtection="1">
      <alignment horizontal="center" vertical="top" wrapText="1"/>
      <protection locked="0"/>
    </xf>
    <xf numFmtId="0" fontId="18" fillId="66" borderId="23" xfId="0" applyFont="1" applyFill="1" applyBorder="1" applyAlignment="1">
      <alignment horizontal="center"/>
    </xf>
    <xf numFmtId="2" fontId="18" fillId="66" borderId="16" xfId="0" applyNumberFormat="1" applyFont="1" applyFill="1" applyBorder="1" applyAlignment="1">
      <alignment horizontal="center"/>
    </xf>
    <xf numFmtId="2" fontId="19" fillId="66" borderId="16" xfId="0" applyNumberFormat="1" applyFont="1" applyFill="1" applyBorder="1" applyAlignment="1">
      <alignment horizontal="center"/>
    </xf>
    <xf numFmtId="0" fontId="8" fillId="66" borderId="12" xfId="0" applyFont="1" applyFill="1" applyBorder="1" applyAlignment="1" applyProtection="1">
      <alignment horizontal="center" vertical="top" wrapText="1"/>
      <protection/>
    </xf>
    <xf numFmtId="2" fontId="6" fillId="66" borderId="12" xfId="0" applyNumberFormat="1" applyFont="1" applyFill="1" applyBorder="1" applyAlignment="1" applyProtection="1">
      <alignment horizontal="center" vertical="top" wrapText="1"/>
      <protection/>
    </xf>
    <xf numFmtId="2" fontId="8" fillId="66" borderId="12" xfId="0" applyNumberFormat="1" applyFont="1" applyFill="1" applyBorder="1" applyAlignment="1" applyProtection="1">
      <alignment horizontal="center" vertical="top" wrapText="1"/>
      <protection/>
    </xf>
    <xf numFmtId="0" fontId="115" fillId="66" borderId="12" xfId="0" applyFont="1" applyFill="1" applyBorder="1" applyAlignment="1" applyProtection="1">
      <alignment horizontal="center" vertical="top" wrapText="1"/>
      <protection/>
    </xf>
    <xf numFmtId="0" fontId="116" fillId="66" borderId="12" xfId="0" applyFont="1" applyFill="1" applyBorder="1" applyAlignment="1" applyProtection="1">
      <alignment horizontal="center" vertical="top" wrapText="1"/>
      <protection/>
    </xf>
    <xf numFmtId="2" fontId="8" fillId="66" borderId="12" xfId="0" applyNumberFormat="1" applyFont="1" applyFill="1" applyBorder="1" applyAlignment="1" applyProtection="1">
      <alignment horizontal="center" vertical="top" wrapText="1"/>
      <protection locked="0"/>
    </xf>
    <xf numFmtId="2" fontId="6" fillId="66" borderId="12" xfId="0" applyNumberFormat="1" applyFont="1" applyFill="1" applyBorder="1" applyAlignment="1" applyProtection="1">
      <alignment horizontal="center" vertical="top" wrapText="1"/>
      <protection locked="0"/>
    </xf>
    <xf numFmtId="2" fontId="8" fillId="66" borderId="11" xfId="0" applyNumberFormat="1" applyFont="1" applyFill="1" applyBorder="1" applyAlignment="1" applyProtection="1">
      <alignment horizontal="center" vertical="top" wrapText="1"/>
      <protection locked="0"/>
    </xf>
    <xf numFmtId="0" fontId="6" fillId="66" borderId="12" xfId="0" applyNumberFormat="1" applyFont="1" applyFill="1" applyBorder="1" applyAlignment="1">
      <alignment horizontal="center"/>
    </xf>
    <xf numFmtId="2" fontId="6" fillId="66" borderId="12" xfId="0" applyNumberFormat="1" applyFont="1" applyFill="1" applyBorder="1" applyAlignment="1" applyProtection="1">
      <alignment horizontal="center"/>
      <protection hidden="1"/>
    </xf>
    <xf numFmtId="2" fontId="8" fillId="66" borderId="12" xfId="0" applyNumberFormat="1" applyFont="1" applyFill="1" applyBorder="1" applyAlignment="1">
      <alignment horizontal="center"/>
    </xf>
    <xf numFmtId="0" fontId="6" fillId="66" borderId="12" xfId="0" applyNumberFormat="1" applyFont="1" applyFill="1" applyBorder="1" applyAlignment="1" applyProtection="1">
      <alignment horizontal="center" vertical="top" wrapText="1"/>
      <protection locked="0"/>
    </xf>
    <xf numFmtId="0" fontId="8" fillId="66" borderId="17" xfId="0" applyFont="1" applyFill="1" applyBorder="1" applyAlignment="1" applyProtection="1">
      <alignment horizontal="center" vertical="top" wrapText="1"/>
      <protection locked="0"/>
    </xf>
    <xf numFmtId="2" fontId="8" fillId="66" borderId="17" xfId="0" applyNumberFormat="1" applyFont="1" applyFill="1" applyBorder="1" applyAlignment="1" applyProtection="1">
      <alignment horizontal="center" vertical="top" wrapText="1"/>
      <protection/>
    </xf>
    <xf numFmtId="165" fontId="6" fillId="66" borderId="17" xfId="0" applyNumberFormat="1" applyFont="1" applyFill="1" applyBorder="1" applyAlignment="1" applyProtection="1">
      <alignment horizontal="center" vertical="top" wrapText="1"/>
      <protection locked="0"/>
    </xf>
    <xf numFmtId="0" fontId="6" fillId="66" borderId="12" xfId="0" applyFont="1" applyFill="1" applyBorder="1" applyAlignment="1">
      <alignment horizontal="center"/>
    </xf>
    <xf numFmtId="0" fontId="18" fillId="66" borderId="12" xfId="0" applyFont="1" applyFill="1" applyBorder="1" applyAlignment="1">
      <alignment horizontal="center" vertical="center" wrapText="1"/>
    </xf>
    <xf numFmtId="2" fontId="6" fillId="66" borderId="17" xfId="0" applyNumberFormat="1" applyFont="1" applyFill="1" applyBorder="1" applyAlignment="1" applyProtection="1">
      <alignment horizontal="center" vertical="top" wrapText="1"/>
      <protection locked="0"/>
    </xf>
    <xf numFmtId="0" fontId="18" fillId="66" borderId="12" xfId="0" applyFont="1" applyFill="1" applyBorder="1" applyAlignment="1">
      <alignment horizontal="center"/>
    </xf>
    <xf numFmtId="0" fontId="18" fillId="66" borderId="23" xfId="0" applyFont="1" applyFill="1" applyBorder="1" applyAlignment="1">
      <alignment horizontal="center"/>
    </xf>
    <xf numFmtId="0" fontId="19" fillId="66" borderId="11" xfId="0" applyFont="1" applyFill="1" applyBorder="1" applyAlignment="1">
      <alignment horizontal="center"/>
    </xf>
    <xf numFmtId="0" fontId="8" fillId="66" borderId="12" xfId="0" applyNumberFormat="1" applyFont="1" applyFill="1" applyBorder="1" applyAlignment="1" applyProtection="1">
      <alignment horizontal="center" vertical="top" wrapText="1"/>
      <protection/>
    </xf>
    <xf numFmtId="0" fontId="8" fillId="66" borderId="12" xfId="0" applyFont="1" applyFill="1" applyBorder="1" applyAlignment="1" applyProtection="1">
      <alignment horizontal="center" vertical="top" wrapText="1"/>
      <protection locked="0"/>
    </xf>
    <xf numFmtId="0" fontId="6" fillId="66" borderId="12" xfId="0" applyFont="1" applyFill="1" applyBorder="1" applyAlignment="1">
      <alignment horizontal="center" vertical="top" wrapText="1"/>
    </xf>
    <xf numFmtId="0" fontId="6" fillId="66" borderId="23" xfId="0" applyFont="1" applyFill="1" applyBorder="1" applyAlignment="1" applyProtection="1">
      <alignment horizontal="center" vertical="top" wrapText="1"/>
      <protection/>
    </xf>
    <xf numFmtId="0" fontId="19" fillId="66" borderId="23" xfId="0" applyFont="1" applyFill="1" applyBorder="1" applyAlignment="1">
      <alignment horizontal="center"/>
    </xf>
    <xf numFmtId="0" fontId="19" fillId="66" borderId="10" xfId="0" applyFont="1" applyFill="1" applyBorder="1" applyAlignment="1">
      <alignment horizontal="center"/>
    </xf>
    <xf numFmtId="9" fontId="6" fillId="66" borderId="12" xfId="0" applyNumberFormat="1" applyFont="1" applyFill="1" applyBorder="1" applyAlignment="1" applyProtection="1">
      <alignment horizontal="center" vertical="top" wrapText="1"/>
      <protection/>
    </xf>
    <xf numFmtId="2" fontId="6" fillId="66" borderId="0" xfId="0" applyNumberFormat="1" applyFont="1" applyFill="1" applyAlignment="1" applyProtection="1">
      <alignment horizontal="left" vertical="top" wrapText="1"/>
      <protection/>
    </xf>
    <xf numFmtId="2" fontId="6" fillId="66" borderId="0" xfId="0" applyNumberFormat="1" applyFont="1" applyFill="1" applyBorder="1" applyAlignment="1" applyProtection="1">
      <alignment horizontal="left" vertical="top" wrapText="1"/>
      <protection/>
    </xf>
    <xf numFmtId="0" fontId="6" fillId="66" borderId="0" xfId="0" applyFont="1" applyFill="1" applyBorder="1" applyAlignment="1" applyProtection="1">
      <alignment horizontal="left" vertical="top" wrapText="1"/>
      <protection/>
    </xf>
    <xf numFmtId="0" fontId="6" fillId="66" borderId="17" xfId="0" applyFont="1" applyFill="1" applyBorder="1" applyAlignment="1" applyProtection="1">
      <alignment horizontal="left" vertical="top" wrapText="1"/>
      <protection locked="0"/>
    </xf>
    <xf numFmtId="0" fontId="6" fillId="66" borderId="17" xfId="0" applyFont="1" applyFill="1" applyBorder="1" applyAlignment="1" applyProtection="1">
      <alignment horizontal="left" wrapText="1"/>
      <protection locked="0"/>
    </xf>
    <xf numFmtId="0" fontId="6" fillId="66" borderId="17" xfId="0" applyFont="1" applyFill="1" applyBorder="1" applyAlignment="1" applyProtection="1">
      <alignment horizontal="center" vertical="top" wrapText="1"/>
      <protection/>
    </xf>
    <xf numFmtId="0" fontId="6" fillId="66" borderId="17" xfId="0" applyFont="1" applyFill="1" applyBorder="1" applyAlignment="1" applyProtection="1">
      <alignment horizontal="left" vertical="top" wrapText="1"/>
      <protection/>
    </xf>
    <xf numFmtId="0" fontId="19" fillId="66" borderId="17" xfId="0" applyFont="1" applyFill="1" applyBorder="1" applyAlignment="1">
      <alignment horizontal="center"/>
    </xf>
    <xf numFmtId="0" fontId="6" fillId="66" borderId="17" xfId="0" applyFont="1" applyFill="1" applyBorder="1" applyAlignment="1" applyProtection="1">
      <alignment horizontal="center" vertical="top" wrapText="1"/>
      <protection locked="0"/>
    </xf>
    <xf numFmtId="0" fontId="6" fillId="66" borderId="18" xfId="0" applyNumberFormat="1" applyFont="1" applyFill="1" applyBorder="1" applyAlignment="1">
      <alignment horizontal="center"/>
    </xf>
    <xf numFmtId="2" fontId="18" fillId="66" borderId="21" xfId="0" applyNumberFormat="1" applyFont="1" applyFill="1" applyBorder="1" applyAlignment="1">
      <alignment horizontal="center"/>
    </xf>
    <xf numFmtId="2" fontId="6" fillId="66" borderId="17" xfId="0" applyNumberFormat="1" applyFont="1" applyFill="1" applyBorder="1" applyAlignment="1" applyProtection="1">
      <alignment horizontal="center" vertical="top" wrapText="1"/>
      <protection/>
    </xf>
    <xf numFmtId="2" fontId="8" fillId="66" borderId="17" xfId="0" applyNumberFormat="1" applyFont="1" applyFill="1" applyBorder="1" applyAlignment="1" applyProtection="1">
      <alignment horizontal="center" vertical="top" wrapText="1"/>
      <protection locked="0"/>
    </xf>
    <xf numFmtId="164" fontId="6" fillId="66" borderId="11" xfId="0" applyNumberFormat="1" applyFont="1" applyFill="1" applyBorder="1" applyAlignment="1" applyProtection="1" quotePrefix="1">
      <alignment horizontal="center"/>
      <protection hidden="1"/>
    </xf>
    <xf numFmtId="2" fontId="8" fillId="66" borderId="17" xfId="0" applyNumberFormat="1" applyFont="1" applyFill="1" applyBorder="1" applyAlignment="1">
      <alignment horizontal="center"/>
    </xf>
    <xf numFmtId="0" fontId="6" fillId="66" borderId="17" xfId="0" applyNumberFormat="1" applyFont="1" applyFill="1" applyBorder="1" applyAlignment="1" applyProtection="1">
      <alignment horizontal="center" vertical="top" wrapText="1"/>
      <protection locked="0"/>
    </xf>
    <xf numFmtId="0" fontId="18" fillId="66" borderId="17" xfId="0" applyFont="1" applyFill="1" applyBorder="1" applyAlignment="1">
      <alignment horizontal="center" vertical="center" wrapText="1"/>
    </xf>
    <xf numFmtId="0" fontId="6" fillId="66" borderId="17" xfId="0" applyNumberFormat="1" applyFont="1" applyFill="1" applyBorder="1" applyAlignment="1">
      <alignment horizontal="center"/>
    </xf>
    <xf numFmtId="0" fontId="8" fillId="66" borderId="13" xfId="0" applyNumberFormat="1" applyFont="1" applyFill="1" applyBorder="1" applyAlignment="1">
      <alignment horizontal="center"/>
    </xf>
    <xf numFmtId="0" fontId="8" fillId="66" borderId="17" xfId="0" applyNumberFormat="1" applyFont="1" applyFill="1" applyBorder="1" applyAlignment="1" applyProtection="1">
      <alignment horizontal="center" vertical="top" wrapText="1"/>
      <protection/>
    </xf>
    <xf numFmtId="0" fontId="6" fillId="66" borderId="17" xfId="0" applyFont="1" applyFill="1" applyBorder="1" applyAlignment="1">
      <alignment horizontal="center" vertical="top" wrapText="1"/>
    </xf>
    <xf numFmtId="0" fontId="18" fillId="66" borderId="18" xfId="0" applyFont="1" applyFill="1" applyBorder="1" applyAlignment="1">
      <alignment horizontal="center"/>
    </xf>
    <xf numFmtId="0" fontId="18" fillId="66" borderId="10" xfId="0" applyFont="1" applyFill="1" applyBorder="1" applyAlignment="1">
      <alignment horizontal="center"/>
    </xf>
    <xf numFmtId="0" fontId="18" fillId="66" borderId="17" xfId="0" applyFont="1" applyFill="1" applyBorder="1" applyAlignment="1">
      <alignment horizontal="center"/>
    </xf>
    <xf numFmtId="9" fontId="6" fillId="66" borderId="17" xfId="0" applyNumberFormat="1" applyFont="1" applyFill="1" applyBorder="1" applyAlignment="1" applyProtection="1">
      <alignment horizontal="center" vertical="top" wrapText="1"/>
      <protection/>
    </xf>
    <xf numFmtId="0" fontId="18" fillId="66" borderId="13" xfId="0" applyFont="1" applyFill="1" applyBorder="1" applyAlignment="1">
      <alignment horizontal="center"/>
    </xf>
    <xf numFmtId="0" fontId="6" fillId="66" borderId="13" xfId="0" applyFont="1" applyFill="1" applyBorder="1" applyAlignment="1" applyProtection="1">
      <alignment horizontal="center" vertical="top" wrapText="1"/>
      <protection/>
    </xf>
    <xf numFmtId="0" fontId="6" fillId="66" borderId="22" xfId="0" applyFont="1" applyFill="1" applyBorder="1" applyAlignment="1" applyProtection="1">
      <alignment horizontal="left" vertical="top" wrapText="1"/>
      <protection locked="0"/>
    </xf>
    <xf numFmtId="0" fontId="115" fillId="66" borderId="17" xfId="0" applyFont="1" applyFill="1" applyBorder="1" applyAlignment="1" applyProtection="1">
      <alignment horizontal="center" vertical="top" wrapText="1"/>
      <protection/>
    </xf>
    <xf numFmtId="0" fontId="116" fillId="66" borderId="17" xfId="0" applyFont="1" applyFill="1" applyBorder="1" applyAlignment="1" applyProtection="1">
      <alignment horizontal="center" vertical="top" wrapText="1"/>
      <protection/>
    </xf>
    <xf numFmtId="0" fontId="6" fillId="66" borderId="19" xfId="0" applyNumberFormat="1" applyFont="1" applyFill="1" applyBorder="1" applyAlignment="1">
      <alignment horizontal="center"/>
    </xf>
    <xf numFmtId="0" fontId="6" fillId="66" borderId="17" xfId="0" applyFont="1" applyFill="1" applyBorder="1" applyAlignment="1">
      <alignment horizontal="center"/>
    </xf>
    <xf numFmtId="0" fontId="8" fillId="66" borderId="17" xfId="0" applyNumberFormat="1" applyFont="1" applyFill="1" applyBorder="1" applyAlignment="1">
      <alignment horizontal="center"/>
    </xf>
    <xf numFmtId="0" fontId="6" fillId="66" borderId="18" xfId="0" applyFont="1" applyFill="1" applyBorder="1" applyAlignment="1" applyProtection="1">
      <alignment horizontal="center" vertical="top" wrapText="1"/>
      <protection/>
    </xf>
    <xf numFmtId="2" fontId="6" fillId="66" borderId="13" xfId="0" applyNumberFormat="1" applyFont="1" applyFill="1" applyBorder="1" applyAlignment="1" applyProtection="1">
      <alignment horizontal="center" vertical="top" wrapText="1"/>
      <protection/>
    </xf>
    <xf numFmtId="0" fontId="18" fillId="66" borderId="14" xfId="0" applyFont="1" applyFill="1" applyBorder="1" applyAlignment="1">
      <alignment horizontal="center"/>
    </xf>
    <xf numFmtId="0" fontId="6" fillId="66" borderId="18" xfId="0" applyFont="1" applyFill="1" applyBorder="1" applyAlignment="1" applyProtection="1">
      <alignment horizontal="left" vertical="top" wrapText="1"/>
      <protection locked="0"/>
    </xf>
    <xf numFmtId="0" fontId="8" fillId="66" borderId="21" xfId="0" applyFont="1" applyFill="1" applyBorder="1" applyAlignment="1" applyProtection="1">
      <alignment horizontal="center" vertical="top" wrapText="1"/>
      <protection locked="0"/>
    </xf>
    <xf numFmtId="0" fontId="6" fillId="66" borderId="17" xfId="0" applyNumberFormat="1" applyFont="1" applyFill="1" applyBorder="1" applyAlignment="1" applyProtection="1">
      <alignment horizontal="center" vertical="top" wrapText="1"/>
      <protection/>
    </xf>
    <xf numFmtId="2" fontId="23" fillId="66" borderId="17" xfId="0" applyNumberFormat="1" applyFont="1" applyFill="1" applyBorder="1" applyAlignment="1" applyProtection="1">
      <alignment horizontal="center" vertical="top" wrapText="1"/>
      <protection locked="0"/>
    </xf>
    <xf numFmtId="2" fontId="23" fillId="66" borderId="12" xfId="0" applyNumberFormat="1" applyFont="1" applyFill="1" applyBorder="1" applyAlignment="1" applyProtection="1">
      <alignment horizontal="center" vertical="top" wrapText="1"/>
      <protection locked="0"/>
    </xf>
    <xf numFmtId="0" fontId="8" fillId="66" borderId="17" xfId="0" applyFont="1" applyFill="1" applyBorder="1" applyAlignment="1">
      <alignment horizontal="center"/>
    </xf>
    <xf numFmtId="0" fontId="6" fillId="66" borderId="17" xfId="0" applyNumberFormat="1" applyFont="1" applyFill="1" applyBorder="1" applyAlignment="1">
      <alignment horizontal="center"/>
    </xf>
    <xf numFmtId="2" fontId="6" fillId="66" borderId="17" xfId="0" applyNumberFormat="1" applyFont="1" applyFill="1" applyBorder="1" applyAlignment="1" applyProtection="1">
      <alignment horizontal="center"/>
      <protection/>
    </xf>
    <xf numFmtId="0" fontId="8" fillId="66" borderId="17" xfId="0" applyFont="1" applyFill="1" applyBorder="1" applyAlignment="1" applyProtection="1">
      <alignment horizontal="center"/>
      <protection/>
    </xf>
    <xf numFmtId="1" fontId="8" fillId="66" borderId="17" xfId="0" applyNumberFormat="1" applyFont="1" applyFill="1" applyBorder="1" applyAlignment="1" applyProtection="1">
      <alignment horizontal="center" vertical="top" wrapText="1"/>
      <protection locked="0"/>
    </xf>
    <xf numFmtId="0" fontId="6" fillId="66" borderId="10" xfId="0" applyFont="1" applyFill="1" applyBorder="1" applyAlignment="1" applyProtection="1">
      <alignment horizontal="center" vertical="top" wrapText="1"/>
      <protection/>
    </xf>
    <xf numFmtId="2" fontId="6" fillId="66" borderId="17" xfId="0" applyNumberFormat="1" applyFont="1" applyFill="1" applyBorder="1" applyAlignment="1">
      <alignment horizontal="center" vertical="top" wrapText="1"/>
    </xf>
    <xf numFmtId="0" fontId="6" fillId="66" borderId="21" xfId="0" applyFont="1" applyFill="1" applyBorder="1" applyAlignment="1" applyProtection="1">
      <alignment horizontal="center" vertical="top" wrapText="1"/>
      <protection/>
    </xf>
    <xf numFmtId="2" fontId="6" fillId="66" borderId="0" xfId="0" applyNumberFormat="1" applyFont="1" applyFill="1" applyAlignment="1">
      <alignment/>
    </xf>
    <xf numFmtId="0" fontId="6" fillId="66" borderId="0" xfId="0" applyFont="1" applyFill="1" applyAlignment="1">
      <alignment/>
    </xf>
    <xf numFmtId="0" fontId="111" fillId="66" borderId="17" xfId="0" applyFont="1" applyFill="1" applyBorder="1" applyAlignment="1" applyProtection="1">
      <alignment horizontal="left" vertical="top" wrapText="1"/>
      <protection locked="0"/>
    </xf>
    <xf numFmtId="0" fontId="111" fillId="66" borderId="17" xfId="0" applyFont="1" applyFill="1" applyBorder="1" applyAlignment="1" applyProtection="1">
      <alignment horizontal="left" wrapText="1"/>
      <protection locked="0"/>
    </xf>
    <xf numFmtId="0" fontId="111" fillId="66" borderId="17" xfId="0" applyFont="1" applyFill="1" applyBorder="1" applyAlignment="1" applyProtection="1">
      <alignment horizontal="center" vertical="top" wrapText="1"/>
      <protection locked="0"/>
    </xf>
    <xf numFmtId="0" fontId="112" fillId="66" borderId="17" xfId="0" applyFont="1" applyFill="1" applyBorder="1" applyAlignment="1" applyProtection="1">
      <alignment horizontal="center" vertical="top" wrapText="1"/>
      <protection locked="0"/>
    </xf>
    <xf numFmtId="2" fontId="112" fillId="66" borderId="21" xfId="0" applyNumberFormat="1" applyFont="1" applyFill="1" applyBorder="1" applyAlignment="1">
      <alignment horizontal="center"/>
    </xf>
    <xf numFmtId="2" fontId="111" fillId="66" borderId="17" xfId="0" applyNumberFormat="1" applyFont="1" applyFill="1" applyBorder="1" applyAlignment="1" applyProtection="1">
      <alignment horizontal="center" vertical="top" wrapText="1"/>
      <protection locked="0"/>
    </xf>
    <xf numFmtId="2" fontId="111" fillId="66" borderId="17" xfId="0" applyNumberFormat="1" applyFont="1" applyFill="1" applyBorder="1" applyAlignment="1" applyProtection="1">
      <alignment horizontal="center" vertical="top" wrapText="1"/>
      <protection/>
    </xf>
    <xf numFmtId="2" fontId="111" fillId="66" borderId="21" xfId="0" applyNumberFormat="1" applyFont="1" applyFill="1" applyBorder="1" applyAlignment="1">
      <alignment horizontal="center"/>
    </xf>
    <xf numFmtId="0" fontId="112" fillId="66" borderId="17" xfId="0" applyNumberFormat="1" applyFont="1" applyFill="1" applyBorder="1" applyAlignment="1" applyProtection="1">
      <alignment horizontal="center" vertical="top" wrapText="1"/>
      <protection/>
    </xf>
    <xf numFmtId="0" fontId="111" fillId="66" borderId="17" xfId="0" applyNumberFormat="1" applyFont="1" applyFill="1" applyBorder="1" applyAlignment="1" applyProtection="1">
      <alignment horizontal="center" vertical="top" wrapText="1"/>
      <protection/>
    </xf>
    <xf numFmtId="0" fontId="111" fillId="66" borderId="17" xfId="0" applyFont="1" applyFill="1" applyBorder="1" applyAlignment="1" applyProtection="1">
      <alignment horizontal="center" vertical="top" wrapText="1"/>
      <protection/>
    </xf>
    <xf numFmtId="2" fontId="112" fillId="66" borderId="17" xfId="0" applyNumberFormat="1" applyFont="1" applyFill="1" applyBorder="1" applyAlignment="1" applyProtection="1">
      <alignment horizontal="center" vertical="top" wrapText="1"/>
      <protection/>
    </xf>
    <xf numFmtId="2" fontId="112" fillId="66" borderId="12" xfId="0" applyNumberFormat="1" applyFont="1" applyFill="1" applyBorder="1" applyAlignment="1" applyProtection="1">
      <alignment horizontal="center" vertical="top" wrapText="1"/>
      <protection/>
    </xf>
    <xf numFmtId="2" fontId="112" fillId="66" borderId="17" xfId="0" applyNumberFormat="1" applyFont="1" applyFill="1" applyBorder="1" applyAlignment="1" applyProtection="1">
      <alignment horizontal="center" vertical="top" wrapText="1"/>
      <protection locked="0"/>
    </xf>
    <xf numFmtId="2" fontId="113" fillId="66" borderId="17" xfId="0" applyNumberFormat="1" applyFont="1" applyFill="1" applyBorder="1" applyAlignment="1" applyProtection="1">
      <alignment horizontal="center" vertical="top" wrapText="1"/>
      <protection locked="0"/>
    </xf>
    <xf numFmtId="2" fontId="113" fillId="66" borderId="12" xfId="0" applyNumberFormat="1" applyFont="1" applyFill="1" applyBorder="1" applyAlignment="1" applyProtection="1">
      <alignment horizontal="center" vertical="top" wrapText="1"/>
      <protection locked="0"/>
    </xf>
    <xf numFmtId="2" fontId="112" fillId="66" borderId="12" xfId="0" applyNumberFormat="1" applyFont="1" applyFill="1" applyBorder="1" applyAlignment="1" applyProtection="1">
      <alignment horizontal="center" vertical="top" wrapText="1"/>
      <protection locked="0"/>
    </xf>
    <xf numFmtId="0" fontId="111" fillId="66" borderId="17" xfId="0" applyFont="1" applyFill="1" applyBorder="1" applyAlignment="1">
      <alignment horizontal="center"/>
    </xf>
    <xf numFmtId="0" fontId="112" fillId="66" borderId="17" xfId="0" applyFont="1" applyFill="1" applyBorder="1" applyAlignment="1">
      <alignment horizontal="center"/>
    </xf>
    <xf numFmtId="2" fontId="112" fillId="66" borderId="17" xfId="0" applyNumberFormat="1" applyFont="1" applyFill="1" applyBorder="1" applyAlignment="1">
      <alignment horizontal="center"/>
    </xf>
    <xf numFmtId="0" fontId="111" fillId="66" borderId="17" xfId="0" applyNumberFormat="1" applyFont="1" applyFill="1" applyBorder="1" applyAlignment="1">
      <alignment horizontal="center"/>
    </xf>
    <xf numFmtId="0" fontId="112" fillId="66" borderId="17" xfId="0" applyFont="1" applyFill="1" applyBorder="1" applyAlignment="1" applyProtection="1">
      <alignment horizontal="center" vertical="top" wrapText="1"/>
      <protection/>
    </xf>
    <xf numFmtId="2" fontId="111" fillId="66" borderId="17" xfId="0" applyNumberFormat="1" applyFont="1" applyFill="1" applyBorder="1" applyAlignment="1" applyProtection="1">
      <alignment horizontal="center"/>
      <protection/>
    </xf>
    <xf numFmtId="0" fontId="112" fillId="66" borderId="17" xfId="0" applyFont="1" applyFill="1" applyBorder="1" applyAlignment="1" applyProtection="1">
      <alignment horizontal="center"/>
      <protection/>
    </xf>
    <xf numFmtId="1" fontId="112" fillId="66" borderId="17" xfId="0" applyNumberFormat="1" applyFont="1" applyFill="1" applyBorder="1" applyAlignment="1" applyProtection="1">
      <alignment horizontal="center" vertical="top" wrapText="1"/>
      <protection locked="0"/>
    </xf>
    <xf numFmtId="0" fontId="111" fillId="66" borderId="17" xfId="0" applyFont="1" applyFill="1" applyBorder="1" applyAlignment="1">
      <alignment horizontal="center" vertical="top" wrapText="1"/>
    </xf>
    <xf numFmtId="0" fontId="111" fillId="66" borderId="10" xfId="0" applyFont="1" applyFill="1" applyBorder="1" applyAlignment="1" applyProtection="1">
      <alignment horizontal="center" vertical="top" wrapText="1"/>
      <protection/>
    </xf>
    <xf numFmtId="0" fontId="111" fillId="66" borderId="0" xfId="0" applyFont="1" applyFill="1" applyAlignment="1">
      <alignment/>
    </xf>
    <xf numFmtId="2" fontId="111" fillId="66" borderId="17" xfId="0" applyNumberFormat="1" applyFont="1" applyFill="1" applyBorder="1" applyAlignment="1">
      <alignment horizontal="center" vertical="top" wrapText="1"/>
    </xf>
    <xf numFmtId="0" fontId="111" fillId="66" borderId="21" xfId="0" applyFont="1" applyFill="1" applyBorder="1" applyAlignment="1" applyProtection="1">
      <alignment horizontal="center" vertical="top" wrapText="1"/>
      <protection/>
    </xf>
    <xf numFmtId="2" fontId="111" fillId="66" borderId="0" xfId="0" applyNumberFormat="1" applyFont="1" applyFill="1" applyAlignment="1">
      <alignment/>
    </xf>
    <xf numFmtId="2" fontId="8" fillId="5" borderId="11" xfId="0" applyNumberFormat="1" applyFont="1" applyFill="1" applyBorder="1" applyAlignment="1" applyProtection="1">
      <alignment horizontal="center" vertical="top" wrapText="1"/>
      <protection locked="0"/>
    </xf>
    <xf numFmtId="0" fontId="115" fillId="54" borderId="17" xfId="0" applyFont="1" applyFill="1" applyBorder="1" applyAlignment="1" applyProtection="1">
      <alignment horizontal="center" vertical="top" wrapText="1"/>
      <protection/>
    </xf>
    <xf numFmtId="0" fontId="116" fillId="54" borderId="17" xfId="0" applyFont="1" applyFill="1" applyBorder="1" applyAlignment="1" applyProtection="1">
      <alignment horizontal="center" vertical="top" wrapText="1"/>
      <protection/>
    </xf>
    <xf numFmtId="0" fontId="116" fillId="37" borderId="17" xfId="0" applyFont="1" applyFill="1" applyBorder="1" applyAlignment="1" applyProtection="1">
      <alignment horizontal="left" vertical="top" wrapText="1"/>
      <protection locked="0"/>
    </xf>
    <xf numFmtId="0" fontId="116" fillId="37" borderId="12" xfId="0" applyFont="1" applyFill="1" applyBorder="1" applyAlignment="1" applyProtection="1">
      <alignment horizontal="left" vertical="top" wrapText="1"/>
      <protection locked="0"/>
    </xf>
    <xf numFmtId="0" fontId="116" fillId="37" borderId="17" xfId="0" applyFont="1" applyFill="1" applyBorder="1" applyAlignment="1" applyProtection="1">
      <alignment horizontal="left" wrapText="1"/>
      <protection locked="0"/>
    </xf>
    <xf numFmtId="0" fontId="116" fillId="37" borderId="17" xfId="0" applyFont="1" applyFill="1" applyBorder="1" applyAlignment="1" applyProtection="1">
      <alignment horizontal="left" vertical="top" wrapText="1"/>
      <protection/>
    </xf>
    <xf numFmtId="0" fontId="115" fillId="37" borderId="17" xfId="0" applyFont="1" applyFill="1" applyBorder="1" applyAlignment="1">
      <alignment horizontal="center"/>
    </xf>
    <xf numFmtId="2" fontId="115" fillId="37" borderId="21" xfId="0" applyNumberFormat="1" applyFont="1" applyFill="1" applyBorder="1" applyAlignment="1">
      <alignment horizontal="center"/>
    </xf>
    <xf numFmtId="0" fontId="116" fillId="37" borderId="17" xfId="0" applyFont="1" applyFill="1" applyBorder="1" applyAlignment="1" applyProtection="1">
      <alignment horizontal="center" vertical="top" wrapText="1"/>
      <protection locked="0"/>
    </xf>
    <xf numFmtId="0" fontId="116" fillId="37" borderId="23" xfId="0" applyNumberFormat="1" applyFont="1" applyFill="1" applyBorder="1" applyAlignment="1">
      <alignment horizontal="center"/>
    </xf>
    <xf numFmtId="2" fontId="116" fillId="37" borderId="21" xfId="0" applyNumberFormat="1" applyFont="1" applyFill="1" applyBorder="1" applyAlignment="1">
      <alignment horizontal="center"/>
    </xf>
    <xf numFmtId="2" fontId="116" fillId="37" borderId="17" xfId="0" applyNumberFormat="1" applyFont="1" applyFill="1" applyBorder="1" applyAlignment="1" applyProtection="1">
      <alignment horizontal="center" vertical="top" wrapText="1"/>
      <protection/>
    </xf>
    <xf numFmtId="2" fontId="115" fillId="37" borderId="17" xfId="0" applyNumberFormat="1" applyFont="1" applyFill="1" applyBorder="1" applyAlignment="1" applyProtection="1">
      <alignment horizontal="center" vertical="top" wrapText="1"/>
      <protection/>
    </xf>
    <xf numFmtId="2" fontId="115" fillId="0" borderId="12" xfId="0" applyNumberFormat="1" applyFont="1" applyFill="1" applyBorder="1" applyAlignment="1" applyProtection="1">
      <alignment horizontal="center" vertical="top" wrapText="1"/>
      <protection/>
    </xf>
    <xf numFmtId="2" fontId="115" fillId="37" borderId="17" xfId="0" applyNumberFormat="1" applyFont="1" applyFill="1" applyBorder="1" applyAlignment="1" applyProtection="1">
      <alignment horizontal="center" vertical="top" wrapText="1"/>
      <protection locked="0"/>
    </xf>
    <xf numFmtId="2" fontId="116" fillId="37" borderId="17" xfId="0" applyNumberFormat="1" applyFont="1" applyFill="1" applyBorder="1" applyAlignment="1" applyProtection="1">
      <alignment horizontal="center" vertical="top" wrapText="1"/>
      <protection locked="0"/>
    </xf>
    <xf numFmtId="2" fontId="116" fillId="37" borderId="12" xfId="0" applyNumberFormat="1" applyFont="1" applyFill="1" applyBorder="1" applyAlignment="1" applyProtection="1">
      <alignment horizontal="center" vertical="top" wrapText="1"/>
      <protection locked="0"/>
    </xf>
    <xf numFmtId="2" fontId="115" fillId="0" borderId="12" xfId="0" applyNumberFormat="1" applyFont="1" applyFill="1" applyBorder="1" applyAlignment="1" applyProtection="1">
      <alignment horizontal="center" vertical="top" wrapText="1"/>
      <protection locked="0"/>
    </xf>
    <xf numFmtId="2" fontId="115" fillId="0" borderId="11" xfId="0" applyNumberFormat="1" applyFont="1" applyFill="1" applyBorder="1" applyAlignment="1" applyProtection="1">
      <alignment horizontal="center" vertical="top" wrapText="1"/>
      <protection locked="0"/>
    </xf>
    <xf numFmtId="164" fontId="116" fillId="37" borderId="18" xfId="0" applyNumberFormat="1" applyFont="1" applyFill="1" applyBorder="1" applyAlignment="1" applyProtection="1" quotePrefix="1">
      <alignment horizontal="center"/>
      <protection hidden="1"/>
    </xf>
    <xf numFmtId="0" fontId="116" fillId="37" borderId="17" xfId="0" applyNumberFormat="1" applyFont="1" applyFill="1" applyBorder="1" applyAlignment="1">
      <alignment horizontal="center"/>
    </xf>
    <xf numFmtId="2" fontId="115" fillId="37" borderId="17" xfId="0" applyNumberFormat="1" applyFont="1" applyFill="1" applyBorder="1" applyAlignment="1">
      <alignment horizontal="center"/>
    </xf>
    <xf numFmtId="0" fontId="116" fillId="37" borderId="17" xfId="0" applyNumberFormat="1" applyFont="1" applyFill="1" applyBorder="1" applyAlignment="1" applyProtection="1">
      <alignment horizontal="center" vertical="top" wrapText="1"/>
      <protection locked="0"/>
    </xf>
    <xf numFmtId="0" fontId="115" fillId="37" borderId="17" xfId="0" applyFont="1" applyFill="1" applyBorder="1" applyAlignment="1" applyProtection="1">
      <alignment horizontal="center" vertical="top" wrapText="1"/>
      <protection locked="0"/>
    </xf>
    <xf numFmtId="165" fontId="116" fillId="37" borderId="17" xfId="0" applyNumberFormat="1" applyFont="1" applyFill="1" applyBorder="1" applyAlignment="1" applyProtection="1">
      <alignment horizontal="center" vertical="top" wrapText="1"/>
      <protection locked="0"/>
    </xf>
    <xf numFmtId="0" fontId="116" fillId="37" borderId="17" xfId="0" applyFont="1" applyFill="1" applyBorder="1" applyAlignment="1">
      <alignment horizontal="center" vertical="center" wrapText="1"/>
    </xf>
    <xf numFmtId="0" fontId="116" fillId="37" borderId="0" xfId="0" applyNumberFormat="1" applyFont="1" applyFill="1" applyAlignment="1">
      <alignment horizontal="center"/>
    </xf>
    <xf numFmtId="0" fontId="115" fillId="37" borderId="11" xfId="0" applyFont="1" applyFill="1" applyBorder="1" applyAlignment="1">
      <alignment horizontal="center"/>
    </xf>
    <xf numFmtId="0" fontId="115" fillId="37" borderId="17" xfId="0" applyNumberFormat="1" applyFont="1" applyFill="1" applyBorder="1" applyAlignment="1" applyProtection="1">
      <alignment horizontal="center" vertical="top" wrapText="1"/>
      <protection/>
    </xf>
    <xf numFmtId="0" fontId="116" fillId="37" borderId="17" xfId="0" applyFont="1" applyFill="1" applyBorder="1" applyAlignment="1">
      <alignment horizontal="center" vertical="top" wrapText="1"/>
    </xf>
    <xf numFmtId="0" fontId="116" fillId="37" borderId="10" xfId="0" applyFont="1" applyFill="1" applyBorder="1" applyAlignment="1" applyProtection="1">
      <alignment horizontal="center" vertical="top" wrapText="1"/>
      <protection/>
    </xf>
    <xf numFmtId="0" fontId="116" fillId="37" borderId="17" xfId="0" applyFont="1" applyFill="1" applyBorder="1" applyAlignment="1">
      <alignment horizontal="center"/>
    </xf>
    <xf numFmtId="0" fontId="116" fillId="37" borderId="10" xfId="0" applyFont="1" applyFill="1" applyBorder="1" applyAlignment="1">
      <alignment horizontal="center"/>
    </xf>
    <xf numFmtId="0" fontId="115" fillId="37" borderId="10" xfId="0" applyFont="1" applyFill="1" applyBorder="1" applyAlignment="1">
      <alignment horizontal="center"/>
    </xf>
    <xf numFmtId="9" fontId="116" fillId="37" borderId="17" xfId="0" applyNumberFormat="1" applyFont="1" applyFill="1" applyBorder="1" applyAlignment="1" applyProtection="1">
      <alignment horizontal="center" vertical="top" wrapText="1"/>
      <protection/>
    </xf>
    <xf numFmtId="2" fontId="116" fillId="37" borderId="13" xfId="0" applyNumberFormat="1" applyFont="1" applyFill="1" applyBorder="1" applyAlignment="1" applyProtection="1">
      <alignment horizontal="center" vertical="top" wrapText="1"/>
      <protection/>
    </xf>
    <xf numFmtId="0" fontId="116" fillId="37" borderId="13" xfId="0" applyFont="1" applyFill="1" applyBorder="1" applyAlignment="1">
      <alignment horizontal="center"/>
    </xf>
    <xf numFmtId="0" fontId="116" fillId="37" borderId="13" xfId="0" applyFont="1" applyFill="1" applyBorder="1" applyAlignment="1" applyProtection="1">
      <alignment horizontal="center" vertical="top" wrapText="1"/>
      <protection/>
    </xf>
    <xf numFmtId="0" fontId="116" fillId="0" borderId="0" xfId="0" applyFont="1" applyFill="1" applyAlignment="1" applyProtection="1">
      <alignment horizontal="left" vertical="top" wrapText="1"/>
      <protection/>
    </xf>
    <xf numFmtId="2" fontId="116" fillId="0" borderId="0" xfId="0" applyNumberFormat="1" applyFont="1" applyFill="1" applyAlignment="1" applyProtection="1">
      <alignment horizontal="left" vertical="top" wrapText="1"/>
      <protection/>
    </xf>
    <xf numFmtId="2" fontId="116" fillId="37" borderId="0" xfId="0" applyNumberFormat="1" applyFont="1" applyFill="1" applyAlignment="1" applyProtection="1">
      <alignment horizontal="left" vertical="top" wrapText="1"/>
      <protection/>
    </xf>
    <xf numFmtId="0" fontId="116" fillId="37" borderId="0" xfId="0" applyFont="1" applyFill="1" applyAlignment="1" applyProtection="1">
      <alignment horizontal="left" vertical="top" wrapText="1"/>
      <protection/>
    </xf>
    <xf numFmtId="0" fontId="116" fillId="37" borderId="18" xfId="0" applyFont="1" applyFill="1" applyBorder="1" applyAlignment="1">
      <alignment horizontal="center"/>
    </xf>
    <xf numFmtId="0" fontId="8" fillId="37" borderId="17" xfId="0" applyFont="1" applyFill="1" applyBorder="1" applyAlignment="1">
      <alignment horizontal="center"/>
    </xf>
    <xf numFmtId="2" fontId="8" fillId="37" borderId="21" xfId="0" applyNumberFormat="1" applyFont="1" applyFill="1" applyBorder="1" applyAlignment="1">
      <alignment horizontal="center"/>
    </xf>
    <xf numFmtId="2" fontId="6" fillId="37" borderId="21" xfId="0" applyNumberFormat="1" applyFont="1" applyFill="1" applyBorder="1" applyAlignment="1">
      <alignment horizontal="center"/>
    </xf>
    <xf numFmtId="0" fontId="6" fillId="37" borderId="17" xfId="0" applyNumberFormat="1" applyFont="1" applyFill="1" applyBorder="1" applyAlignment="1">
      <alignment horizontal="center"/>
    </xf>
    <xf numFmtId="0" fontId="6" fillId="37" borderId="17" xfId="0" applyFont="1" applyFill="1" applyBorder="1" applyAlignment="1">
      <alignment horizontal="center" vertical="center" wrapText="1"/>
    </xf>
    <xf numFmtId="0" fontId="8" fillId="37" borderId="11" xfId="0" applyFont="1" applyFill="1" applyBorder="1" applyAlignment="1">
      <alignment horizontal="center"/>
    </xf>
    <xf numFmtId="0" fontId="6" fillId="37" borderId="10" xfId="0" applyFont="1" applyFill="1" applyBorder="1" applyAlignment="1">
      <alignment horizontal="center"/>
    </xf>
    <xf numFmtId="0" fontId="8" fillId="37" borderId="10" xfId="0" applyFont="1" applyFill="1" applyBorder="1" applyAlignment="1">
      <alignment horizontal="center"/>
    </xf>
    <xf numFmtId="0" fontId="6" fillId="37" borderId="13" xfId="0" applyFont="1" applyFill="1" applyBorder="1" applyAlignment="1">
      <alignment horizontal="center"/>
    </xf>
    <xf numFmtId="0" fontId="6" fillId="37" borderId="18" xfId="0" applyFont="1" applyFill="1" applyBorder="1" applyAlignment="1">
      <alignment horizontal="center"/>
    </xf>
    <xf numFmtId="0" fontId="116" fillId="37" borderId="18" xfId="0" applyNumberFormat="1" applyFont="1" applyFill="1" applyBorder="1" applyAlignment="1">
      <alignment horizontal="center"/>
    </xf>
    <xf numFmtId="0" fontId="116" fillId="54" borderId="17" xfId="0" applyFont="1" applyFill="1" applyBorder="1" applyAlignment="1">
      <alignment horizontal="left"/>
    </xf>
    <xf numFmtId="0" fontId="116" fillId="54" borderId="16" xfId="0" applyFont="1" applyFill="1" applyBorder="1" applyAlignment="1">
      <alignment horizontal="left"/>
    </xf>
    <xf numFmtId="0" fontId="116" fillId="54" borderId="17" xfId="0" applyFont="1" applyFill="1" applyBorder="1" applyAlignment="1" applyProtection="1">
      <alignment horizontal="left" wrapText="1"/>
      <protection locked="0"/>
    </xf>
    <xf numFmtId="0" fontId="116" fillId="54" borderId="17" xfId="0" applyFont="1" applyFill="1" applyBorder="1" applyAlignment="1" applyProtection="1">
      <alignment horizontal="left" vertical="top" wrapText="1"/>
      <protection/>
    </xf>
    <xf numFmtId="0" fontId="115" fillId="54" borderId="17" xfId="0" applyFont="1" applyFill="1" applyBorder="1" applyAlignment="1">
      <alignment horizontal="center"/>
    </xf>
    <xf numFmtId="2" fontId="115" fillId="54" borderId="21" xfId="0" applyNumberFormat="1" applyFont="1" applyFill="1" applyBorder="1" applyAlignment="1">
      <alignment horizontal="center"/>
    </xf>
    <xf numFmtId="0" fontId="116" fillId="54" borderId="17" xfId="0" applyFont="1" applyFill="1" applyBorder="1" applyAlignment="1" applyProtection="1">
      <alignment horizontal="center" vertical="top" wrapText="1"/>
      <protection locked="0"/>
    </xf>
    <xf numFmtId="0" fontId="116" fillId="54" borderId="17" xfId="0" applyNumberFormat="1" applyFont="1" applyFill="1" applyBorder="1" applyAlignment="1">
      <alignment horizontal="center"/>
    </xf>
    <xf numFmtId="2" fontId="116" fillId="54" borderId="21" xfId="0" applyNumberFormat="1" applyFont="1" applyFill="1" applyBorder="1" applyAlignment="1">
      <alignment horizontal="center"/>
    </xf>
    <xf numFmtId="2" fontId="116" fillId="54" borderId="16" xfId="0" applyNumberFormat="1" applyFont="1" applyFill="1" applyBorder="1" applyAlignment="1">
      <alignment horizontal="center"/>
    </xf>
    <xf numFmtId="2" fontId="115" fillId="54" borderId="16" xfId="0" applyNumberFormat="1" applyFont="1" applyFill="1" applyBorder="1" applyAlignment="1">
      <alignment horizontal="center"/>
    </xf>
    <xf numFmtId="2" fontId="116" fillId="54" borderId="17" xfId="0" applyNumberFormat="1" applyFont="1" applyFill="1" applyBorder="1" applyAlignment="1" applyProtection="1">
      <alignment horizontal="center" vertical="top" wrapText="1"/>
      <protection/>
    </xf>
    <xf numFmtId="2" fontId="115" fillId="54" borderId="17" xfId="0" applyNumberFormat="1" applyFont="1" applyFill="1" applyBorder="1" applyAlignment="1" applyProtection="1">
      <alignment horizontal="center" vertical="top" wrapText="1"/>
      <protection/>
    </xf>
    <xf numFmtId="2" fontId="115" fillId="54" borderId="12" xfId="0" applyNumberFormat="1" applyFont="1" applyFill="1" applyBorder="1" applyAlignment="1" applyProtection="1">
      <alignment horizontal="center" vertical="top" wrapText="1"/>
      <protection/>
    </xf>
    <xf numFmtId="2" fontId="115" fillId="54" borderId="17" xfId="0" applyNumberFormat="1" applyFont="1" applyFill="1" applyBorder="1" applyAlignment="1" applyProtection="1">
      <alignment horizontal="center" vertical="top" wrapText="1"/>
      <protection locked="0"/>
    </xf>
    <xf numFmtId="2" fontId="116" fillId="54" borderId="17" xfId="0" applyNumberFormat="1" applyFont="1" applyFill="1" applyBorder="1" applyAlignment="1" applyProtection="1">
      <alignment horizontal="center" vertical="top" wrapText="1"/>
      <protection locked="0"/>
    </xf>
    <xf numFmtId="2" fontId="116" fillId="54" borderId="12" xfId="0" applyNumberFormat="1" applyFont="1" applyFill="1" applyBorder="1" applyAlignment="1" applyProtection="1">
      <alignment horizontal="center" vertical="top" wrapText="1"/>
      <protection locked="0"/>
    </xf>
    <xf numFmtId="2" fontId="115" fillId="54" borderId="12" xfId="0" applyNumberFormat="1" applyFont="1" applyFill="1" applyBorder="1" applyAlignment="1" applyProtection="1">
      <alignment horizontal="center" vertical="top" wrapText="1"/>
      <protection locked="0"/>
    </xf>
    <xf numFmtId="164" fontId="116" fillId="54" borderId="18" xfId="0" applyNumberFormat="1" applyFont="1" applyFill="1" applyBorder="1" applyAlignment="1" applyProtection="1" quotePrefix="1">
      <alignment horizontal="center"/>
      <protection hidden="1"/>
    </xf>
    <xf numFmtId="2" fontId="115" fillId="54" borderId="17" xfId="0" applyNumberFormat="1" applyFont="1" applyFill="1" applyBorder="1" applyAlignment="1">
      <alignment horizontal="center"/>
    </xf>
    <xf numFmtId="2" fontId="116" fillId="5" borderId="21" xfId="0" applyNumberFormat="1" applyFont="1" applyFill="1" applyBorder="1" applyAlignment="1">
      <alignment horizontal="center"/>
    </xf>
    <xf numFmtId="2" fontId="115" fillId="5" borderId="21" xfId="0" applyNumberFormat="1" applyFont="1" applyFill="1" applyBorder="1" applyAlignment="1">
      <alignment horizontal="center"/>
    </xf>
    <xf numFmtId="0" fontId="116" fillId="54" borderId="17" xfId="0" applyNumberFormat="1" applyFont="1" applyFill="1" applyBorder="1" applyAlignment="1" applyProtection="1">
      <alignment horizontal="center" vertical="top" wrapText="1"/>
      <protection locked="0"/>
    </xf>
    <xf numFmtId="0" fontId="115" fillId="54" borderId="17" xfId="0" applyFont="1" applyFill="1" applyBorder="1" applyAlignment="1" applyProtection="1">
      <alignment horizontal="center" vertical="top" wrapText="1"/>
      <protection locked="0"/>
    </xf>
    <xf numFmtId="0" fontId="116" fillId="54" borderId="17" xfId="0" applyFont="1" applyFill="1" applyBorder="1" applyAlignment="1">
      <alignment horizontal="center" vertical="center" wrapText="1"/>
    </xf>
    <xf numFmtId="0" fontId="116" fillId="54" borderId="12" xfId="0" applyFont="1" applyFill="1" applyBorder="1" applyAlignment="1" applyProtection="1">
      <alignment horizontal="center" vertical="top" wrapText="1"/>
      <protection locked="0"/>
    </xf>
    <xf numFmtId="0" fontId="115" fillId="54" borderId="17" xfId="0" applyNumberFormat="1" applyFont="1" applyFill="1" applyBorder="1" applyAlignment="1">
      <alignment horizontal="center"/>
    </xf>
    <xf numFmtId="0" fontId="115" fillId="54" borderId="17" xfId="0" applyNumberFormat="1" applyFont="1" applyFill="1" applyBorder="1" applyAlignment="1" applyProtection="1">
      <alignment horizontal="center" vertical="top" wrapText="1"/>
      <protection/>
    </xf>
    <xf numFmtId="0" fontId="116" fillId="54" borderId="17" xfId="0" applyFont="1" applyFill="1" applyBorder="1" applyAlignment="1">
      <alignment horizontal="center" vertical="top" wrapText="1"/>
    </xf>
    <xf numFmtId="0" fontId="116" fillId="54" borderId="12" xfId="0" applyFont="1" applyFill="1" applyBorder="1" applyAlignment="1">
      <alignment horizontal="center" vertical="top" wrapText="1"/>
    </xf>
    <xf numFmtId="0" fontId="116" fillId="54" borderId="23" xfId="0" applyFont="1" applyFill="1" applyBorder="1" applyAlignment="1" applyProtection="1">
      <alignment horizontal="center" vertical="top" wrapText="1"/>
      <protection/>
    </xf>
    <xf numFmtId="0" fontId="116" fillId="54" borderId="17" xfId="0" applyFont="1" applyFill="1" applyBorder="1" applyAlignment="1">
      <alignment horizontal="center"/>
    </xf>
    <xf numFmtId="0" fontId="116" fillId="54" borderId="10" xfId="0" applyFont="1" applyFill="1" applyBorder="1" applyAlignment="1">
      <alignment horizontal="center"/>
    </xf>
    <xf numFmtId="0" fontId="116" fillId="54" borderId="18" xfId="0" applyFont="1" applyFill="1" applyBorder="1" applyAlignment="1">
      <alignment horizontal="center"/>
    </xf>
    <xf numFmtId="0" fontId="115" fillId="54" borderId="10" xfId="0" applyFont="1" applyFill="1" applyBorder="1" applyAlignment="1">
      <alignment horizontal="center"/>
    </xf>
    <xf numFmtId="0" fontId="116" fillId="54" borderId="12" xfId="0" applyFont="1" applyFill="1" applyBorder="1" applyAlignment="1">
      <alignment horizontal="center"/>
    </xf>
    <xf numFmtId="9" fontId="116" fillId="54" borderId="17" xfId="0" applyNumberFormat="1" applyFont="1" applyFill="1" applyBorder="1" applyAlignment="1" applyProtection="1">
      <alignment horizontal="center" vertical="top" wrapText="1"/>
      <protection/>
    </xf>
    <xf numFmtId="2" fontId="116" fillId="54" borderId="12" xfId="0" applyNumberFormat="1" applyFont="1" applyFill="1" applyBorder="1" applyAlignment="1" applyProtection="1">
      <alignment horizontal="center" vertical="top" wrapText="1"/>
      <protection/>
    </xf>
    <xf numFmtId="0" fontId="116" fillId="54" borderId="13" xfId="0" applyFont="1" applyFill="1" applyBorder="1" applyAlignment="1">
      <alignment horizontal="center"/>
    </xf>
    <xf numFmtId="2" fontId="116" fillId="54" borderId="0" xfId="0" applyNumberFormat="1" applyFont="1" applyFill="1" applyAlignment="1" applyProtection="1">
      <alignment horizontal="left" vertical="top" wrapText="1"/>
      <protection/>
    </xf>
    <xf numFmtId="0" fontId="116" fillId="54" borderId="0" xfId="0" applyFont="1" applyFill="1" applyAlignment="1" applyProtection="1">
      <alignment horizontal="left" vertical="top" wrapText="1"/>
      <protection/>
    </xf>
    <xf numFmtId="0" fontId="116" fillId="54" borderId="17" xfId="0" applyFont="1" applyFill="1" applyBorder="1" applyAlignment="1" applyProtection="1">
      <alignment horizontal="left" vertical="top" wrapText="1"/>
      <protection locked="0"/>
    </xf>
    <xf numFmtId="0" fontId="116" fillId="54" borderId="18" xfId="0" applyNumberFormat="1" applyFont="1" applyFill="1" applyBorder="1" applyAlignment="1">
      <alignment horizontal="center"/>
    </xf>
    <xf numFmtId="0" fontId="116" fillId="54" borderId="19" xfId="0" applyNumberFormat="1" applyFont="1" applyFill="1" applyBorder="1" applyAlignment="1">
      <alignment horizontal="center"/>
    </xf>
    <xf numFmtId="2" fontId="116" fillId="5" borderId="16" xfId="0" applyNumberFormat="1" applyFont="1" applyFill="1" applyBorder="1" applyAlignment="1">
      <alignment horizontal="center"/>
    </xf>
    <xf numFmtId="0" fontId="116" fillId="54" borderId="13" xfId="0" applyFont="1" applyFill="1" applyBorder="1" applyAlignment="1" applyProtection="1">
      <alignment horizontal="center" vertical="top" wrapText="1"/>
      <protection/>
    </xf>
    <xf numFmtId="0" fontId="8" fillId="0" borderId="20" xfId="0" applyFont="1" applyFill="1" applyBorder="1" applyAlignment="1" applyProtection="1">
      <alignment horizontal="center" vertical="top" wrapText="1"/>
      <protection/>
    </xf>
    <xf numFmtId="0" fontId="8" fillId="0" borderId="0" xfId="0" applyFont="1" applyFill="1" applyBorder="1" applyAlignment="1" applyProtection="1">
      <alignment/>
      <protection/>
    </xf>
    <xf numFmtId="0" fontId="8" fillId="54" borderId="17" xfId="0" applyFont="1" applyFill="1" applyBorder="1" applyAlignment="1">
      <alignment horizontal="center"/>
    </xf>
    <xf numFmtId="2" fontId="8" fillId="54" borderId="21" xfId="0" applyNumberFormat="1" applyFont="1" applyFill="1" applyBorder="1" applyAlignment="1">
      <alignment horizontal="center"/>
    </xf>
    <xf numFmtId="0" fontId="6" fillId="54" borderId="17" xfId="0" applyNumberFormat="1" applyFont="1" applyFill="1" applyBorder="1" applyAlignment="1">
      <alignment horizontal="center"/>
    </xf>
    <xf numFmtId="2" fontId="6" fillId="54" borderId="21" xfId="0" applyNumberFormat="1" applyFont="1" applyFill="1" applyBorder="1" applyAlignment="1">
      <alignment horizontal="center"/>
    </xf>
    <xf numFmtId="2" fontId="6" fillId="54" borderId="16" xfId="0" applyNumberFormat="1" applyFont="1" applyFill="1" applyBorder="1" applyAlignment="1">
      <alignment horizontal="center"/>
    </xf>
    <xf numFmtId="2" fontId="8" fillId="54" borderId="16" xfId="0" applyNumberFormat="1" applyFont="1" applyFill="1" applyBorder="1" applyAlignment="1">
      <alignment horizontal="center"/>
    </xf>
    <xf numFmtId="2" fontId="6" fillId="5" borderId="21" xfId="0" applyNumberFormat="1" applyFont="1" applyFill="1" applyBorder="1" applyAlignment="1">
      <alignment horizontal="center"/>
    </xf>
    <xf numFmtId="2" fontId="8" fillId="5" borderId="21" xfId="0" applyNumberFormat="1" applyFont="1" applyFill="1" applyBorder="1" applyAlignment="1">
      <alignment horizontal="center"/>
    </xf>
    <xf numFmtId="0" fontId="6" fillId="54" borderId="17" xfId="0" applyFont="1" applyFill="1" applyBorder="1" applyAlignment="1">
      <alignment horizontal="center" vertical="center" wrapText="1"/>
    </xf>
    <xf numFmtId="0" fontId="8" fillId="54" borderId="17" xfId="0" applyNumberFormat="1" applyFont="1" applyFill="1" applyBorder="1" applyAlignment="1">
      <alignment horizontal="center"/>
    </xf>
    <xf numFmtId="0" fontId="6" fillId="54" borderId="10" xfId="0" applyFont="1" applyFill="1" applyBorder="1" applyAlignment="1">
      <alignment horizontal="center"/>
    </xf>
    <xf numFmtId="0" fontId="6" fillId="54" borderId="18" xfId="0" applyFont="1" applyFill="1" applyBorder="1" applyAlignment="1">
      <alignment horizontal="center"/>
    </xf>
    <xf numFmtId="0" fontId="8" fillId="54" borderId="10" xfId="0" applyFont="1" applyFill="1" applyBorder="1" applyAlignment="1">
      <alignment horizontal="center"/>
    </xf>
    <xf numFmtId="0" fontId="6" fillId="54" borderId="13" xfId="0" applyFont="1" applyFill="1" applyBorder="1" applyAlignment="1">
      <alignment horizontal="center"/>
    </xf>
    <xf numFmtId="0" fontId="6" fillId="54" borderId="18" xfId="0" applyNumberFormat="1" applyFont="1" applyFill="1" applyBorder="1" applyAlignment="1">
      <alignment horizontal="center"/>
    </xf>
    <xf numFmtId="2" fontId="116" fillId="54" borderId="0" xfId="0" applyNumberFormat="1" applyFont="1" applyFill="1" applyBorder="1" applyAlignment="1" applyProtection="1">
      <alignment horizontal="left" vertical="top" wrapText="1"/>
      <protection/>
    </xf>
    <xf numFmtId="0" fontId="116" fillId="54" borderId="0" xfId="0" applyFont="1" applyFill="1" applyBorder="1" applyAlignment="1" applyProtection="1">
      <alignment horizontal="left" vertical="top" wrapText="1"/>
      <protection/>
    </xf>
    <xf numFmtId="0" fontId="116" fillId="57" borderId="17" xfId="0" applyFont="1" applyFill="1" applyBorder="1" applyAlignment="1" applyProtection="1">
      <alignment horizontal="center" vertical="top" wrapText="1"/>
      <protection/>
    </xf>
    <xf numFmtId="0" fontId="116" fillId="66" borderId="12" xfId="0" applyFont="1" applyFill="1" applyBorder="1" applyAlignment="1" applyProtection="1">
      <alignment horizontal="center" vertical="top" wrapText="1"/>
      <protection locked="0"/>
    </xf>
    <xf numFmtId="0" fontId="116" fillId="66" borderId="12" xfId="0" applyFont="1" applyFill="1" applyBorder="1" applyAlignment="1" applyProtection="1">
      <alignment horizontal="left" vertical="top" wrapText="1"/>
      <protection/>
    </xf>
    <xf numFmtId="0" fontId="116" fillId="66" borderId="17" xfId="0" applyFont="1" applyFill="1" applyBorder="1" applyAlignment="1" applyProtection="1">
      <alignment horizontal="center" vertical="top" wrapText="1"/>
      <protection locked="0"/>
    </xf>
    <xf numFmtId="0" fontId="116" fillId="12" borderId="17" xfId="0" applyFont="1" applyFill="1" applyBorder="1" applyAlignment="1" applyProtection="1">
      <alignment horizontal="center" vertical="top" wrapText="1"/>
      <protection locked="0"/>
    </xf>
    <xf numFmtId="0" fontId="117" fillId="55" borderId="17" xfId="0" applyFont="1" applyFill="1" applyBorder="1" applyAlignment="1" applyProtection="1">
      <alignment horizontal="left" vertical="top" wrapText="1"/>
      <protection locked="0"/>
    </xf>
    <xf numFmtId="0" fontId="116" fillId="55" borderId="17" xfId="0" applyFont="1" applyFill="1" applyBorder="1" applyAlignment="1" applyProtection="1">
      <alignment horizontal="center" vertical="top" wrapText="1"/>
      <protection locked="0"/>
    </xf>
    <xf numFmtId="0" fontId="118" fillId="55" borderId="17" xfId="0" applyNumberFormat="1" applyFont="1" applyFill="1" applyBorder="1" applyAlignment="1">
      <alignment/>
    </xf>
    <xf numFmtId="0" fontId="118" fillId="66" borderId="17" xfId="0" applyNumberFormat="1" applyFont="1" applyFill="1" applyBorder="1" applyAlignment="1">
      <alignment/>
    </xf>
    <xf numFmtId="0" fontId="118" fillId="66" borderId="17" xfId="0" applyNumberFormat="1" applyFont="1" applyFill="1" applyBorder="1" applyAlignment="1" quotePrefix="1">
      <alignment/>
    </xf>
    <xf numFmtId="0" fontId="116" fillId="0" borderId="0" xfId="0" applyFont="1" applyFill="1" applyAlignment="1" applyProtection="1">
      <alignment/>
      <protection/>
    </xf>
    <xf numFmtId="0" fontId="116" fillId="0" borderId="0" xfId="0" applyFont="1" applyAlignment="1" applyProtection="1">
      <alignment/>
      <protection/>
    </xf>
    <xf numFmtId="2" fontId="8" fillId="66" borderId="17" xfId="0" applyNumberFormat="1" applyFont="1" applyFill="1" applyBorder="1" applyAlignment="1" applyProtection="1">
      <alignment horizontal="left" vertical="top" wrapText="1"/>
      <protection/>
    </xf>
    <xf numFmtId="2" fontId="6" fillId="0" borderId="20" xfId="0" applyNumberFormat="1" applyFont="1" applyFill="1" applyBorder="1" applyAlignment="1" applyProtection="1">
      <alignment horizontal="center" vertical="top" wrapText="1"/>
      <protection/>
    </xf>
    <xf numFmtId="2" fontId="115" fillId="0" borderId="17" xfId="0" applyNumberFormat="1" applyFont="1" applyFill="1" applyBorder="1" applyAlignment="1" applyProtection="1">
      <alignment horizontal="left" vertical="top" wrapText="1"/>
      <protection/>
    </xf>
    <xf numFmtId="0" fontId="6" fillId="0" borderId="17" xfId="0" applyFont="1" applyFill="1" applyBorder="1" applyAlignment="1" applyProtection="1">
      <alignment horizontal="left" vertical="top" wrapText="1"/>
      <protection locked="0"/>
    </xf>
    <xf numFmtId="2" fontId="6" fillId="0" borderId="17" xfId="0" applyNumberFormat="1" applyFont="1" applyFill="1" applyBorder="1" applyAlignment="1" applyProtection="1">
      <alignment horizontal="center" vertical="top" wrapText="1"/>
      <protection locked="0"/>
    </xf>
    <xf numFmtId="165" fontId="6" fillId="0" borderId="17" xfId="0" applyNumberFormat="1" applyFont="1" applyFill="1" applyBorder="1" applyAlignment="1" applyProtection="1">
      <alignment horizontal="center" vertical="top" wrapText="1"/>
      <protection locked="0"/>
    </xf>
    <xf numFmtId="2" fontId="8" fillId="0" borderId="17" xfId="0" applyNumberFormat="1" applyFont="1" applyFill="1" applyBorder="1" applyAlignment="1" applyProtection="1">
      <alignment horizontal="left" vertical="top" wrapText="1"/>
      <protection/>
    </xf>
    <xf numFmtId="2" fontId="6" fillId="0" borderId="0" xfId="0" applyNumberFormat="1" applyFont="1" applyFill="1" applyAlignment="1">
      <alignment/>
    </xf>
    <xf numFmtId="0" fontId="6" fillId="0" borderId="0" xfId="0" applyFont="1" applyFill="1" applyAlignment="1">
      <alignment/>
    </xf>
    <xf numFmtId="2" fontId="8" fillId="0" borderId="0" xfId="0" applyNumberFormat="1" applyFont="1" applyFill="1" applyBorder="1" applyAlignment="1" applyProtection="1">
      <alignment/>
      <protection/>
    </xf>
    <xf numFmtId="0" fontId="8" fillId="0" borderId="0" xfId="0" applyFont="1" applyFill="1" applyAlignment="1" applyProtection="1">
      <alignment horizontal="left" vertical="top" wrapText="1"/>
      <protection/>
    </xf>
    <xf numFmtId="0" fontId="115" fillId="0" borderId="0" xfId="0" applyFont="1" applyFill="1" applyAlignment="1" applyProtection="1">
      <alignment horizontal="left" vertical="top" wrapText="1"/>
      <protection/>
    </xf>
    <xf numFmtId="0" fontId="8" fillId="66" borderId="0" xfId="0" applyFont="1" applyFill="1" applyAlignment="1" applyProtection="1">
      <alignment horizontal="left" vertical="top" wrapText="1"/>
      <protection/>
    </xf>
    <xf numFmtId="2" fontId="8" fillId="0" borderId="13" xfId="0" applyNumberFormat="1" applyFont="1" applyFill="1" applyBorder="1" applyAlignment="1" applyProtection="1">
      <alignment horizontal="left" vertical="top" wrapText="1"/>
      <protection/>
    </xf>
    <xf numFmtId="2" fontId="8" fillId="0" borderId="12" xfId="0" applyNumberFormat="1" applyFont="1" applyFill="1" applyBorder="1" applyAlignment="1" applyProtection="1">
      <alignment horizontal="left" vertical="top" wrapText="1"/>
      <protection/>
    </xf>
    <xf numFmtId="2" fontId="8" fillId="66" borderId="0" xfId="0" applyNumberFormat="1" applyFont="1" applyFill="1" applyBorder="1" applyAlignment="1" applyProtection="1">
      <alignment horizontal="left" vertical="top" wrapText="1"/>
      <protection/>
    </xf>
    <xf numFmtId="2" fontId="8" fillId="14" borderId="21" xfId="0" applyNumberFormat="1" applyFont="1" applyFill="1" applyBorder="1" applyAlignment="1">
      <alignment horizontal="center"/>
    </xf>
    <xf numFmtId="0" fontId="111" fillId="17" borderId="17" xfId="0" applyFont="1" applyFill="1" applyBorder="1" applyAlignment="1" applyProtection="1">
      <alignment horizontal="center" vertical="top" wrapText="1"/>
      <protection locked="0"/>
    </xf>
    <xf numFmtId="0" fontId="114" fillId="17" borderId="17" xfId="0" applyNumberFormat="1" applyFont="1" applyFill="1" applyBorder="1" applyAlignment="1" quotePrefix="1">
      <alignment/>
    </xf>
    <xf numFmtId="2" fontId="8" fillId="67" borderId="17" xfId="0" applyNumberFormat="1" applyFont="1" applyFill="1" applyBorder="1" applyAlignment="1" applyProtection="1">
      <alignment horizontal="center" vertical="top" wrapText="1"/>
      <protection/>
    </xf>
    <xf numFmtId="0" fontId="8" fillId="67" borderId="17" xfId="0" applyFont="1" applyFill="1" applyBorder="1" applyAlignment="1" applyProtection="1">
      <alignment horizontal="center" vertical="top" wrapText="1"/>
      <protection/>
    </xf>
    <xf numFmtId="2" fontId="8" fillId="55" borderId="21" xfId="0" applyNumberFormat="1" applyFont="1" applyFill="1" applyBorder="1" applyAlignment="1">
      <alignment horizontal="center"/>
    </xf>
    <xf numFmtId="2" fontId="6" fillId="14" borderId="16" xfId="0" applyNumberFormat="1" applyFont="1" applyFill="1" applyBorder="1" applyAlignment="1">
      <alignment horizontal="center"/>
    </xf>
    <xf numFmtId="0" fontId="57" fillId="55" borderId="17" xfId="0" applyFont="1" applyFill="1" applyBorder="1" applyAlignment="1" applyProtection="1">
      <alignment horizontal="center" vertical="top" wrapText="1"/>
      <protection locked="0"/>
    </xf>
    <xf numFmtId="0" fontId="57" fillId="55" borderId="17" xfId="0" applyFont="1" applyFill="1" applyBorder="1" applyAlignment="1" applyProtection="1">
      <alignment horizontal="center" vertical="top" wrapText="1"/>
      <protection/>
    </xf>
    <xf numFmtId="0" fontId="57" fillId="55" borderId="17" xfId="0" applyNumberFormat="1" applyFont="1" applyFill="1" applyBorder="1" applyAlignment="1" applyProtection="1">
      <alignment horizontal="center" vertical="top" wrapText="1"/>
      <protection/>
    </xf>
    <xf numFmtId="0" fontId="61" fillId="41" borderId="17" xfId="0" applyFont="1" applyFill="1" applyBorder="1" applyAlignment="1" applyProtection="1">
      <alignment horizontal="center" vertical="top" wrapText="1"/>
      <protection/>
    </xf>
    <xf numFmtId="2" fontId="61" fillId="37" borderId="17" xfId="0" applyNumberFormat="1" applyFont="1" applyFill="1" applyBorder="1" applyAlignment="1" applyProtection="1">
      <alignment horizontal="center"/>
      <protection hidden="1"/>
    </xf>
    <xf numFmtId="0" fontId="61" fillId="37" borderId="12" xfId="0" applyNumberFormat="1" applyFont="1" applyFill="1" applyBorder="1" applyAlignment="1">
      <alignment horizontal="center"/>
    </xf>
    <xf numFmtId="0" fontId="61" fillId="37" borderId="19" xfId="0" applyNumberFormat="1" applyFont="1" applyFill="1" applyBorder="1" applyAlignment="1">
      <alignment horizontal="center"/>
    </xf>
    <xf numFmtId="0" fontId="61" fillId="37" borderId="13" xfId="0" applyNumberFormat="1" applyFont="1" applyFill="1" applyBorder="1" applyAlignment="1">
      <alignment horizontal="center"/>
    </xf>
    <xf numFmtId="0" fontId="61" fillId="37" borderId="17" xfId="0" applyNumberFormat="1" applyFont="1" applyFill="1" applyBorder="1" applyAlignment="1">
      <alignment horizontal="center"/>
    </xf>
    <xf numFmtId="2" fontId="61" fillId="37" borderId="12" xfId="0" applyNumberFormat="1" applyFont="1" applyFill="1" applyBorder="1" applyAlignment="1" applyProtection="1">
      <alignment horizontal="center"/>
      <protection hidden="1"/>
    </xf>
    <xf numFmtId="164" fontId="119" fillId="37" borderId="18" xfId="0" applyNumberFormat="1" applyFont="1" applyFill="1" applyBorder="1" applyAlignment="1" applyProtection="1" quotePrefix="1">
      <alignment horizontal="center"/>
      <protection hidden="1"/>
    </xf>
    <xf numFmtId="0" fontId="119" fillId="37" borderId="17" xfId="0" applyNumberFormat="1" applyFont="1" applyFill="1" applyBorder="1" applyAlignment="1">
      <alignment horizontal="center"/>
    </xf>
    <xf numFmtId="0" fontId="62" fillId="37" borderId="18" xfId="0" applyFont="1" applyFill="1" applyBorder="1" applyAlignment="1">
      <alignment horizontal="center"/>
    </xf>
    <xf numFmtId="0" fontId="61" fillId="37" borderId="12" xfId="0" applyNumberFormat="1" applyFont="1" applyFill="1" applyBorder="1" applyAlignment="1">
      <alignment horizontal="center"/>
    </xf>
    <xf numFmtId="164" fontId="61" fillId="37" borderId="18" xfId="0" applyNumberFormat="1" applyFont="1" applyFill="1" applyBorder="1" applyAlignment="1" applyProtection="1" quotePrefix="1">
      <alignment horizontal="center"/>
      <protection hidden="1"/>
    </xf>
    <xf numFmtId="0" fontId="61" fillId="37" borderId="23" xfId="0" applyNumberFormat="1" applyFont="1" applyFill="1" applyBorder="1" applyAlignment="1">
      <alignment horizontal="center"/>
    </xf>
    <xf numFmtId="2" fontId="61" fillId="66" borderId="11" xfId="0" applyNumberFormat="1" applyFont="1" applyFill="1" applyBorder="1" applyAlignment="1" applyProtection="1">
      <alignment horizontal="center"/>
      <protection hidden="1"/>
    </xf>
    <xf numFmtId="0" fontId="61" fillId="66" borderId="12" xfId="0" applyNumberFormat="1" applyFont="1" applyFill="1" applyBorder="1" applyAlignment="1">
      <alignment horizontal="center"/>
    </xf>
    <xf numFmtId="0" fontId="62" fillId="54" borderId="11" xfId="0" applyFont="1" applyFill="1" applyBorder="1" applyAlignment="1">
      <alignment horizontal="center"/>
    </xf>
    <xf numFmtId="0" fontId="62" fillId="54" borderId="12" xfId="0" applyFont="1" applyFill="1" applyBorder="1" applyAlignment="1">
      <alignment horizontal="center"/>
    </xf>
    <xf numFmtId="164" fontId="61" fillId="54" borderId="18" xfId="0" applyNumberFormat="1" applyFont="1" applyFill="1" applyBorder="1" applyAlignment="1" applyProtection="1" quotePrefix="1">
      <alignment horizontal="center"/>
      <protection hidden="1"/>
    </xf>
    <xf numFmtId="0" fontId="61" fillId="54" borderId="17" xfId="0" applyNumberFormat="1" applyFont="1" applyFill="1" applyBorder="1" applyAlignment="1">
      <alignment horizontal="center"/>
    </xf>
    <xf numFmtId="164" fontId="119" fillId="54" borderId="18" xfId="0" applyNumberFormat="1" applyFont="1" applyFill="1" applyBorder="1" applyAlignment="1" applyProtection="1" quotePrefix="1">
      <alignment horizontal="center"/>
      <protection hidden="1"/>
    </xf>
    <xf numFmtId="0" fontId="119" fillId="54" borderId="12" xfId="0" applyNumberFormat="1" applyFont="1" applyFill="1" applyBorder="1" applyAlignment="1">
      <alignment horizontal="center"/>
    </xf>
    <xf numFmtId="2" fontId="61" fillId="54" borderId="17" xfId="0" applyNumberFormat="1" applyFont="1" applyFill="1" applyBorder="1" applyAlignment="1" applyProtection="1">
      <alignment horizontal="center"/>
      <protection hidden="1"/>
    </xf>
    <xf numFmtId="0" fontId="61" fillId="54" borderId="17" xfId="0" applyNumberFormat="1" applyFont="1" applyFill="1" applyBorder="1" applyAlignment="1">
      <alignment horizontal="center"/>
    </xf>
    <xf numFmtId="0" fontId="119" fillId="54" borderId="17" xfId="0" applyFont="1" applyFill="1" applyBorder="1" applyAlignment="1">
      <alignment horizontal="center"/>
    </xf>
    <xf numFmtId="0" fontId="119" fillId="54" borderId="17" xfId="0" applyNumberFormat="1" applyFont="1" applyFill="1" applyBorder="1" applyAlignment="1">
      <alignment horizontal="center"/>
    </xf>
    <xf numFmtId="0" fontId="61" fillId="54" borderId="23" xfId="0" applyNumberFormat="1" applyFont="1" applyFill="1" applyBorder="1" applyAlignment="1">
      <alignment horizontal="center"/>
    </xf>
    <xf numFmtId="0" fontId="61" fillId="54" borderId="19" xfId="0" applyNumberFormat="1" applyFont="1" applyFill="1" applyBorder="1" applyAlignment="1">
      <alignment horizontal="center"/>
    </xf>
    <xf numFmtId="0" fontId="119" fillId="54" borderId="23" xfId="0" applyNumberFormat="1" applyFont="1" applyFill="1" applyBorder="1" applyAlignment="1">
      <alignment horizontal="center"/>
    </xf>
    <xf numFmtId="164" fontId="61" fillId="66" borderId="18" xfId="0" applyNumberFormat="1" applyFont="1" applyFill="1" applyBorder="1" applyAlignment="1" applyProtection="1" quotePrefix="1">
      <alignment horizontal="center"/>
      <protection hidden="1"/>
    </xf>
    <xf numFmtId="0" fontId="61" fillId="66" borderId="18" xfId="0" applyNumberFormat="1" applyFont="1" applyFill="1" applyBorder="1" applyAlignment="1">
      <alignment horizontal="center"/>
    </xf>
    <xf numFmtId="164" fontId="61" fillId="12" borderId="18" xfId="0" applyNumberFormat="1" applyFont="1" applyFill="1" applyBorder="1" applyAlignment="1" applyProtection="1" quotePrefix="1">
      <alignment horizontal="center"/>
      <protection hidden="1"/>
    </xf>
    <xf numFmtId="0" fontId="61" fillId="12" borderId="21" xfId="0" applyNumberFormat="1" applyFont="1" applyFill="1" applyBorder="1" applyAlignment="1">
      <alignment horizontal="center" vertical="center"/>
    </xf>
    <xf numFmtId="0" fontId="61" fillId="12" borderId="17" xfId="0" applyNumberFormat="1" applyFont="1" applyFill="1" applyBorder="1" applyAlignment="1">
      <alignment horizontal="center"/>
    </xf>
    <xf numFmtId="2" fontId="61" fillId="12" borderId="17" xfId="0" applyNumberFormat="1" applyFont="1" applyFill="1" applyBorder="1" applyAlignment="1" applyProtection="1">
      <alignment horizontal="center"/>
      <protection hidden="1"/>
    </xf>
    <xf numFmtId="2" fontId="61" fillId="12" borderId="12" xfId="0" applyNumberFormat="1" applyFont="1" applyFill="1" applyBorder="1" applyAlignment="1" applyProtection="1">
      <alignment horizontal="center"/>
      <protection hidden="1"/>
    </xf>
    <xf numFmtId="2" fontId="61" fillId="66" borderId="17" xfId="0" applyNumberFormat="1" applyFont="1" applyFill="1" applyBorder="1" applyAlignment="1" applyProtection="1">
      <alignment horizontal="center"/>
      <protection hidden="1"/>
    </xf>
    <xf numFmtId="0" fontId="61" fillId="66" borderId="17" xfId="0" applyNumberFormat="1" applyFont="1" applyFill="1" applyBorder="1" applyAlignment="1">
      <alignment horizontal="center"/>
    </xf>
    <xf numFmtId="0" fontId="61" fillId="55" borderId="17" xfId="0" applyFont="1" applyFill="1" applyBorder="1" applyAlignment="1" applyProtection="1">
      <alignment horizontal="center" vertical="top" wrapText="1"/>
      <protection locked="0"/>
    </xf>
    <xf numFmtId="0" fontId="61" fillId="55" borderId="17" xfId="0" applyFont="1" applyFill="1" applyBorder="1" applyAlignment="1">
      <alignment horizontal="center"/>
    </xf>
    <xf numFmtId="0" fontId="61" fillId="66" borderId="17" xfId="0" applyFont="1" applyFill="1" applyBorder="1" applyAlignment="1">
      <alignment horizontal="center"/>
    </xf>
    <xf numFmtId="0" fontId="61" fillId="66" borderId="17" xfId="0" applyFont="1" applyFill="1" applyBorder="1" applyAlignment="1" applyProtection="1">
      <alignment horizontal="center" vertical="top" wrapText="1"/>
      <protection locked="0"/>
    </xf>
    <xf numFmtId="0" fontId="120" fillId="56" borderId="17" xfId="0" applyFont="1" applyFill="1" applyBorder="1" applyAlignment="1">
      <alignment horizontal="center"/>
    </xf>
    <xf numFmtId="0" fontId="120" fillId="56" borderId="17" xfId="0" applyFont="1" applyFill="1" applyBorder="1" applyAlignment="1" applyProtection="1">
      <alignment horizontal="center" vertical="top" wrapText="1"/>
      <protection locked="0"/>
    </xf>
    <xf numFmtId="0" fontId="120" fillId="66" borderId="17" xfId="0" applyFont="1" applyFill="1" applyBorder="1" applyAlignment="1">
      <alignment horizontal="center"/>
    </xf>
    <xf numFmtId="0" fontId="120" fillId="66" borderId="17" xfId="0" applyFont="1" applyFill="1" applyBorder="1" applyAlignment="1" applyProtection="1">
      <alignment horizontal="center" vertical="top" wrapText="1"/>
      <protection locked="0"/>
    </xf>
    <xf numFmtId="0" fontId="61" fillId="17" borderId="17" xfId="0" applyFont="1" applyFill="1" applyBorder="1" applyAlignment="1">
      <alignment horizontal="center"/>
    </xf>
    <xf numFmtId="0" fontId="61" fillId="17" borderId="17" xfId="0" applyFont="1" applyFill="1" applyBorder="1" applyAlignment="1" applyProtection="1">
      <alignment horizontal="center" vertical="top" wrapText="1"/>
      <protection locked="0"/>
    </xf>
    <xf numFmtId="0" fontId="61" fillId="0" borderId="0" xfId="0" applyFont="1" applyFill="1" applyAlignment="1" applyProtection="1">
      <alignment/>
      <protection/>
    </xf>
    <xf numFmtId="0" fontId="61" fillId="0" borderId="0" xfId="0" applyFont="1" applyAlignment="1" applyProtection="1">
      <alignment/>
      <protection/>
    </xf>
    <xf numFmtId="0" fontId="18" fillId="37" borderId="10" xfId="0" applyFont="1" applyFill="1" applyBorder="1" applyAlignment="1">
      <alignment horizontal="center" vertical="top"/>
    </xf>
    <xf numFmtId="0" fontId="116" fillId="37" borderId="10" xfId="0" applyFont="1" applyFill="1" applyBorder="1" applyAlignment="1">
      <alignment horizontal="center" vertical="top"/>
    </xf>
    <xf numFmtId="0" fontId="6" fillId="37" borderId="10" xfId="0" applyFont="1" applyFill="1" applyBorder="1" applyAlignment="1">
      <alignment horizontal="center" vertical="top"/>
    </xf>
    <xf numFmtId="0" fontId="18" fillId="66" borderId="23" xfId="0" applyFont="1" applyFill="1" applyBorder="1" applyAlignment="1">
      <alignment horizontal="center" vertical="top"/>
    </xf>
    <xf numFmtId="0" fontId="18" fillId="54" borderId="23" xfId="0" applyFont="1" applyFill="1" applyBorder="1" applyAlignment="1">
      <alignment horizontal="center" vertical="top"/>
    </xf>
    <xf numFmtId="0" fontId="6" fillId="54" borderId="10" xfId="0" applyFont="1" applyFill="1" applyBorder="1" applyAlignment="1">
      <alignment horizontal="center" vertical="top"/>
    </xf>
    <xf numFmtId="0" fontId="116" fillId="54" borderId="10" xfId="0" applyFont="1" applyFill="1" applyBorder="1" applyAlignment="1">
      <alignment horizontal="center" vertical="top"/>
    </xf>
    <xf numFmtId="0" fontId="18" fillId="54" borderId="10" xfId="0" applyFont="1" applyFill="1" applyBorder="1" applyAlignment="1">
      <alignment horizontal="center" vertical="top"/>
    </xf>
    <xf numFmtId="0" fontId="18" fillId="66" borderId="10" xfId="0" applyFont="1" applyFill="1" applyBorder="1" applyAlignment="1">
      <alignment horizontal="center" vertical="top"/>
    </xf>
    <xf numFmtId="0" fontId="116" fillId="12" borderId="10" xfId="0" applyFont="1" applyFill="1" applyBorder="1" applyAlignment="1">
      <alignment horizontal="center" vertical="top"/>
    </xf>
    <xf numFmtId="0" fontId="18" fillId="12" borderId="10" xfId="0" applyFont="1" applyFill="1" applyBorder="1" applyAlignment="1">
      <alignment horizontal="center" vertical="top"/>
    </xf>
    <xf numFmtId="0" fontId="6" fillId="55" borderId="17" xfId="0" applyFont="1" applyFill="1" applyBorder="1" applyAlignment="1" applyProtection="1">
      <alignment horizontal="center" vertical="top"/>
      <protection/>
    </xf>
    <xf numFmtId="0" fontId="6" fillId="66" borderId="17" xfId="0" applyFont="1" applyFill="1" applyBorder="1" applyAlignment="1">
      <alignment horizontal="center" vertical="top"/>
    </xf>
    <xf numFmtId="0" fontId="6" fillId="66" borderId="17" xfId="0" applyFont="1" applyFill="1" applyBorder="1" applyAlignment="1" applyProtection="1">
      <alignment horizontal="center" vertical="top"/>
      <protection/>
    </xf>
    <xf numFmtId="0" fontId="111" fillId="56" borderId="17" xfId="0" applyFont="1" applyFill="1" applyBorder="1" applyAlignment="1">
      <alignment horizontal="center" vertical="top"/>
    </xf>
    <xf numFmtId="0" fontId="111" fillId="66" borderId="17" xfId="0" applyFont="1" applyFill="1" applyBorder="1" applyAlignment="1">
      <alignment horizontal="center" vertical="top"/>
    </xf>
    <xf numFmtId="0" fontId="6" fillId="17" borderId="17" xfId="0" applyFont="1" applyFill="1" applyBorder="1" applyAlignment="1">
      <alignment horizontal="center" vertical="top"/>
    </xf>
    <xf numFmtId="0" fontId="6" fillId="0" borderId="0" xfId="0" applyFont="1" applyFill="1" applyAlignment="1" applyProtection="1">
      <alignment horizontal="center" vertical="top"/>
      <protection/>
    </xf>
    <xf numFmtId="0" fontId="6" fillId="65" borderId="0" xfId="0" applyFont="1" applyFill="1" applyAlignment="1" applyProtection="1">
      <alignment horizontal="center" vertical="top"/>
      <protection/>
    </xf>
    <xf numFmtId="2" fontId="19" fillId="66" borderId="17" xfId="0" applyNumberFormat="1" applyFont="1" applyFill="1" applyBorder="1" applyAlignment="1">
      <alignment horizontal="center"/>
    </xf>
    <xf numFmtId="2" fontId="18" fillId="66" borderId="17" xfId="0" applyNumberFormat="1" applyFont="1" applyFill="1" applyBorder="1" applyAlignment="1">
      <alignment horizontal="center"/>
    </xf>
    <xf numFmtId="2" fontId="24" fillId="66" borderId="17" xfId="0" applyNumberFormat="1" applyFont="1" applyFill="1" applyBorder="1" applyAlignment="1" applyProtection="1">
      <alignment horizontal="center" vertical="top" wrapText="1"/>
      <protection locked="0"/>
    </xf>
    <xf numFmtId="2" fontId="115" fillId="5" borderId="11" xfId="0" applyNumberFormat="1" applyFont="1" applyFill="1" applyBorder="1" applyAlignment="1" applyProtection="1">
      <alignment horizontal="center" vertical="top" wrapText="1"/>
      <protection locked="0"/>
    </xf>
    <xf numFmtId="2" fontId="8" fillId="55" borderId="11" xfId="0" applyNumberFormat="1" applyFont="1" applyFill="1" applyBorder="1" applyAlignment="1" applyProtection="1">
      <alignment horizontal="center" vertical="top" wrapText="1"/>
      <protection locked="0"/>
    </xf>
    <xf numFmtId="2" fontId="8" fillId="62" borderId="11" xfId="0" applyNumberFormat="1" applyFont="1" applyFill="1" applyBorder="1" applyAlignment="1" applyProtection="1">
      <alignment horizontal="center" vertical="top" wrapText="1"/>
      <protection locked="0"/>
    </xf>
    <xf numFmtId="2" fontId="112" fillId="56" borderId="11" xfId="0" applyNumberFormat="1" applyFont="1" applyFill="1" applyBorder="1" applyAlignment="1" applyProtection="1">
      <alignment horizontal="center" vertical="top" wrapText="1"/>
      <protection locked="0"/>
    </xf>
    <xf numFmtId="2" fontId="8" fillId="17" borderId="11" xfId="0" applyNumberFormat="1" applyFont="1" applyFill="1" applyBorder="1" applyAlignment="1" applyProtection="1">
      <alignment horizontal="center" vertical="top" wrapText="1"/>
      <protection locked="0"/>
    </xf>
    <xf numFmtId="0" fontId="63" fillId="0" borderId="0" xfId="0" applyFont="1" applyFill="1" applyAlignment="1" applyProtection="1">
      <alignment horizontal="left"/>
      <protection/>
    </xf>
    <xf numFmtId="0" fontId="121" fillId="0" borderId="0" xfId="0" applyFont="1" applyFill="1" applyAlignment="1" applyProtection="1">
      <alignment horizontal="left"/>
      <protection/>
    </xf>
    <xf numFmtId="0" fontId="63" fillId="0" borderId="0" xfId="0" applyFont="1" applyFill="1" applyAlignment="1" applyProtection="1">
      <alignment horizontal="center"/>
      <protection/>
    </xf>
    <xf numFmtId="0" fontId="63" fillId="0" borderId="0" xfId="0" applyFont="1" applyFill="1" applyAlignment="1" applyProtection="1">
      <alignment/>
      <protection/>
    </xf>
    <xf numFmtId="0" fontId="57" fillId="0" borderId="0" xfId="0" applyFont="1" applyFill="1" applyAlignment="1" applyProtection="1">
      <alignment/>
      <protection/>
    </xf>
    <xf numFmtId="0" fontId="64" fillId="0" borderId="0" xfId="0" applyFont="1" applyFill="1" applyAlignment="1" applyProtection="1">
      <alignment/>
      <protection/>
    </xf>
    <xf numFmtId="2" fontId="63" fillId="0" borderId="0" xfId="0" applyNumberFormat="1" applyFont="1" applyFill="1" applyAlignment="1" applyProtection="1">
      <alignment/>
      <protection/>
    </xf>
    <xf numFmtId="0" fontId="121" fillId="0" borderId="0" xfId="0" applyFont="1" applyFill="1" applyAlignment="1" applyProtection="1">
      <alignment/>
      <protection/>
    </xf>
    <xf numFmtId="0" fontId="57" fillId="0" borderId="0" xfId="0" applyNumberFormat="1" applyFont="1" applyFill="1" applyAlignment="1" applyProtection="1">
      <alignment/>
      <protection/>
    </xf>
    <xf numFmtId="0" fontId="63" fillId="0" borderId="0" xfId="0" applyFont="1" applyFill="1" applyAlignment="1" applyProtection="1">
      <alignment horizontal="center" vertical="top"/>
      <protection/>
    </xf>
    <xf numFmtId="2" fontId="57" fillId="0" borderId="0" xfId="0" applyNumberFormat="1" applyFont="1" applyFill="1" applyBorder="1" applyAlignment="1" applyProtection="1">
      <alignment/>
      <protection/>
    </xf>
    <xf numFmtId="0" fontId="57" fillId="0" borderId="0" xfId="0" applyFont="1" applyFill="1" applyBorder="1" applyAlignment="1" applyProtection="1">
      <alignment/>
      <protection/>
    </xf>
    <xf numFmtId="0" fontId="57" fillId="0" borderId="0" xfId="0" applyFont="1" applyFill="1" applyAlignment="1" applyProtection="1">
      <alignment horizontal="center"/>
      <protection/>
    </xf>
    <xf numFmtId="0" fontId="65" fillId="0" borderId="0" xfId="0" applyFont="1" applyFill="1" applyAlignment="1" applyProtection="1">
      <alignment/>
      <protection/>
    </xf>
    <xf numFmtId="2" fontId="57" fillId="0" borderId="0" xfId="0" applyNumberFormat="1" applyFont="1" applyFill="1" applyAlignment="1" applyProtection="1">
      <alignment/>
      <protection/>
    </xf>
    <xf numFmtId="0" fontId="122" fillId="0" borderId="0" xfId="0" applyFont="1" applyFill="1" applyAlignment="1" applyProtection="1">
      <alignment/>
      <protection/>
    </xf>
    <xf numFmtId="0" fontId="57" fillId="0" borderId="0" xfId="0" applyFont="1" applyFill="1" applyAlignment="1" applyProtection="1">
      <alignment horizontal="center" vertical="top"/>
      <protection/>
    </xf>
    <xf numFmtId="0" fontId="123" fillId="0" borderId="17" xfId="0" applyFont="1" applyFill="1" applyBorder="1" applyAlignment="1" applyProtection="1">
      <alignment horizontal="left"/>
      <protection/>
    </xf>
    <xf numFmtId="0" fontId="57" fillId="0" borderId="17" xfId="0" applyFont="1" applyFill="1" applyBorder="1" applyAlignment="1" applyProtection="1">
      <alignment horizontal="left"/>
      <protection/>
    </xf>
    <xf numFmtId="0" fontId="124" fillId="0" borderId="17" xfId="0" applyFont="1" applyBorder="1" applyAlignment="1">
      <alignment horizontal="center" vertical="center" wrapText="1"/>
    </xf>
    <xf numFmtId="0" fontId="125" fillId="0" borderId="17" xfId="0" applyFont="1" applyBorder="1" applyAlignment="1">
      <alignment horizontal="left" vertical="center" wrapText="1"/>
    </xf>
    <xf numFmtId="0" fontId="124" fillId="0" borderId="17" xfId="0" applyFont="1" applyBorder="1" applyAlignment="1">
      <alignment horizontal="left" vertical="center" wrapText="1"/>
    </xf>
    <xf numFmtId="0" fontId="57" fillId="0" borderId="17" xfId="0" applyFont="1" applyFill="1" applyBorder="1" applyAlignment="1" applyProtection="1">
      <alignment horizontal="left" wrapText="1"/>
      <protection/>
    </xf>
    <xf numFmtId="0" fontId="124" fillId="0" borderId="0" xfId="0" applyFont="1" applyBorder="1" applyAlignment="1">
      <alignment horizontal="left" vertical="center" wrapText="1"/>
    </xf>
    <xf numFmtId="0" fontId="8" fillId="36" borderId="13" xfId="0" applyFont="1" applyFill="1" applyBorder="1" applyAlignment="1">
      <alignment horizontal="center" vertical="top" wrapText="1"/>
    </xf>
    <xf numFmtId="0" fontId="8" fillId="36" borderId="19"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U258"/>
  <sheetViews>
    <sheetView tabSelected="1" zoomScale="78" zoomScaleNormal="78" zoomScalePageLayoutView="0" workbookViewId="0" topLeftCell="AV1">
      <selection activeCell="EX75" sqref="A1:EX75"/>
    </sheetView>
  </sheetViews>
  <sheetFormatPr defaultColWidth="9.140625" defaultRowHeight="12.75"/>
  <cols>
    <col min="1" max="1" width="25.140625" style="2" hidden="1" customWidth="1"/>
    <col min="2" max="2" width="28.57421875" style="2" customWidth="1"/>
    <col min="3" max="3" width="14.8515625" style="2" customWidth="1"/>
    <col min="4" max="4" width="18.421875" style="2" bestFit="1" customWidth="1"/>
    <col min="5" max="5" width="25.00390625" style="2" customWidth="1"/>
    <col min="6" max="6" width="29.7109375" style="2" bestFit="1" customWidth="1"/>
    <col min="7" max="7" width="20.00390625" style="28" customWidth="1"/>
    <col min="8" max="8" width="20.00390625" style="1" customWidth="1"/>
    <col min="9" max="9" width="14.7109375" style="29" customWidth="1"/>
    <col min="10" max="10" width="9.8515625" style="1" customWidth="1"/>
    <col min="11" max="11" width="11.421875" style="53" bestFit="1" customWidth="1"/>
    <col min="12" max="12" width="11.8515625" style="52" customWidth="1"/>
    <col min="13" max="13" width="12.140625" style="30" bestFit="1" customWidth="1"/>
    <col min="14" max="14" width="10.8515625" style="30" bestFit="1" customWidth="1"/>
    <col min="15" max="15" width="13.28125" style="30" customWidth="1"/>
    <col min="16" max="16" width="13.8515625" style="2" customWidth="1"/>
    <col min="17" max="17" width="15.421875" style="30" customWidth="1"/>
    <col min="18" max="18" width="14.421875" style="30" customWidth="1"/>
    <col min="19" max="19" width="11.57421875" style="2" customWidth="1"/>
    <col min="20" max="20" width="14.140625" style="2" customWidth="1"/>
    <col min="21" max="21" width="13.28125" style="2" customWidth="1"/>
    <col min="22" max="22" width="12.8515625" style="2" customWidth="1"/>
    <col min="23" max="23" width="15.421875" style="2" customWidth="1"/>
    <col min="24" max="24" width="16.00390625" style="106" bestFit="1" customWidth="1"/>
    <col min="25" max="25" width="16.00390625" style="30" customWidth="1"/>
    <col min="26" max="26" width="16.140625" style="89" customWidth="1"/>
    <col min="27" max="27" width="21.57421875" style="2" customWidth="1"/>
    <col min="28" max="28" width="14.57421875" style="2" customWidth="1"/>
    <col min="29" max="29" width="17.00390625" style="2" customWidth="1"/>
    <col min="30" max="30" width="16.140625" style="2" customWidth="1"/>
    <col min="31" max="31" width="14.28125" style="2" customWidth="1"/>
    <col min="32" max="32" width="14.00390625" style="2" bestFit="1" customWidth="1"/>
    <col min="33" max="33" width="22.7109375" style="87" customWidth="1"/>
    <col min="34" max="34" width="19.00390625" style="30" bestFit="1" customWidth="1"/>
    <col min="35" max="35" width="20.8515625" style="30" bestFit="1" customWidth="1"/>
    <col min="36" max="36" width="20.7109375" style="30" customWidth="1"/>
    <col min="37" max="37" width="16.28125" style="29" bestFit="1" customWidth="1"/>
    <col min="38" max="38" width="13.140625" style="34" bestFit="1" customWidth="1"/>
    <col min="39" max="39" width="18.7109375" style="34" customWidth="1"/>
    <col min="40" max="40" width="20.8515625" style="29" bestFit="1" customWidth="1"/>
    <col min="41" max="41" width="17.140625" style="29" customWidth="1"/>
    <col min="42" max="42" width="0.85546875" style="776" customWidth="1"/>
    <col min="43" max="43" width="1.28515625" style="776" customWidth="1"/>
    <col min="44" max="44" width="12.7109375" style="29" customWidth="1"/>
    <col min="45" max="45" width="1.1484375" style="1" customWidth="1"/>
    <col min="46" max="46" width="1.421875" style="1" customWidth="1"/>
    <col min="47" max="47" width="13.421875" style="1" customWidth="1"/>
    <col min="48" max="48" width="15.140625" style="29" customWidth="1"/>
    <col min="49" max="49" width="12.28125" style="2" customWidth="1"/>
    <col min="50" max="50" width="19.00390625" style="29" bestFit="1" customWidth="1"/>
    <col min="51" max="52" width="13.8515625" style="1" customWidth="1"/>
    <col min="53" max="53" width="16.421875" style="1" customWidth="1"/>
    <col min="54" max="54" width="14.7109375" style="1" customWidth="1"/>
    <col min="55" max="55" width="13.7109375" style="1" customWidth="1"/>
    <col min="56" max="56" width="16.00390625" style="1" customWidth="1"/>
    <col min="57" max="57" width="24.7109375" style="1" customWidth="1"/>
    <col min="58" max="58" width="17.140625" style="1" customWidth="1"/>
    <col min="59" max="59" width="15.8515625" style="29" customWidth="1"/>
    <col min="60" max="60" width="21.00390625" style="1" customWidth="1"/>
    <col min="61" max="61" width="17.00390625" style="1" customWidth="1"/>
    <col min="62" max="62" width="21.140625" style="29" bestFit="1" customWidth="1"/>
    <col min="63" max="63" width="21.8515625" style="1" customWidth="1"/>
    <col min="64" max="64" width="16.7109375" style="1" bestFit="1" customWidth="1"/>
    <col min="65" max="65" width="27.28125" style="29" bestFit="1" customWidth="1"/>
    <col min="66" max="66" width="19.28125" style="391" bestFit="1" customWidth="1"/>
    <col min="67" max="67" width="14.8515625" style="1" bestFit="1" customWidth="1"/>
    <col min="68" max="68" width="23.28125" style="1" customWidth="1"/>
    <col min="69" max="69" width="20.28125" style="1" customWidth="1"/>
    <col min="70" max="70" width="21.7109375" style="56" customWidth="1"/>
    <col min="71" max="71" width="25.28125" style="57" customWidth="1"/>
    <col min="72" max="72" width="20.00390625" style="57" customWidth="1"/>
    <col min="73" max="73" width="19.57421875" style="1" bestFit="1" customWidth="1"/>
    <col min="74" max="74" width="18.421875" style="1" customWidth="1"/>
    <col min="75" max="75" width="20.28125" style="1" bestFit="1" customWidth="1"/>
    <col min="76" max="76" width="27.57421875" style="1" customWidth="1"/>
    <col min="77" max="77" width="19.421875" style="1" customWidth="1"/>
    <col min="78" max="78" width="16.28125" style="1" customWidth="1"/>
    <col min="79" max="79" width="11.140625" style="701" bestFit="1" customWidth="1"/>
    <col min="80" max="80" width="11.57421875" style="701" bestFit="1" customWidth="1"/>
    <col min="81" max="81" width="13.140625" style="1" customWidth="1"/>
    <col min="82" max="82" width="19.7109375" style="2" bestFit="1" customWidth="1"/>
    <col min="83" max="83" width="16.8515625" style="30" customWidth="1"/>
    <col min="84" max="84" width="18.421875" style="104" bestFit="1" customWidth="1"/>
    <col min="85" max="85" width="16.28125" style="1" bestFit="1" customWidth="1"/>
    <col min="86" max="86" width="18.57421875" style="1" bestFit="1" customWidth="1"/>
    <col min="87" max="87" width="13.00390625" style="29" customWidth="1"/>
    <col min="88" max="88" width="17.140625" style="2" bestFit="1" customWidth="1"/>
    <col min="89" max="90" width="18.28125" style="1" customWidth="1"/>
    <col min="91" max="92" width="17.8515625" style="1" customWidth="1"/>
    <col min="93" max="94" width="16.8515625" style="1" customWidth="1"/>
    <col min="95" max="95" width="16.7109375" style="1" bestFit="1" customWidth="1"/>
    <col min="96" max="96" width="16.7109375" style="1" customWidth="1"/>
    <col min="97" max="97" width="15.7109375" style="1" customWidth="1"/>
    <col min="98" max="98" width="9.421875" style="1" customWidth="1"/>
    <col min="99" max="99" width="14.140625" style="1" customWidth="1"/>
    <col min="100" max="101" width="14.8515625" style="425" customWidth="1"/>
    <col min="102" max="103" width="15.140625" style="795" customWidth="1"/>
    <col min="104" max="105" width="16.57421875" style="1" customWidth="1"/>
    <col min="106" max="107" width="18.28125" style="1" customWidth="1"/>
    <col min="108" max="108" width="18.421875" style="1" bestFit="1" customWidth="1"/>
    <col min="109" max="109" width="18.421875" style="1" customWidth="1"/>
    <col min="110" max="110" width="16.8515625" style="1" bestFit="1" customWidth="1"/>
    <col min="111" max="111" width="16.8515625" style="1" customWidth="1"/>
    <col min="112" max="112" width="16.421875" style="1" bestFit="1" customWidth="1"/>
    <col min="113" max="113" width="16.421875" style="1" customWidth="1"/>
    <col min="114" max="114" width="17.00390625" style="1" bestFit="1" customWidth="1"/>
    <col min="115" max="115" width="17.00390625" style="1" customWidth="1"/>
    <col min="116" max="116" width="18.00390625" style="1" customWidth="1"/>
    <col min="117" max="117" width="17.57421875" style="1" bestFit="1" customWidth="1"/>
    <col min="118" max="118" width="17.57421875" style="1" customWidth="1"/>
    <col min="119" max="119" width="17.57421875" style="1" bestFit="1" customWidth="1"/>
    <col min="120" max="120" width="17.57421875" style="1" customWidth="1"/>
    <col min="121" max="121" width="18.00390625" style="1" bestFit="1" customWidth="1"/>
    <col min="122" max="122" width="18.00390625" style="440" customWidth="1"/>
    <col min="123" max="123" width="12.28125" style="1" customWidth="1"/>
    <col min="124" max="124" width="17.57421875" style="1" bestFit="1" customWidth="1"/>
    <col min="125" max="125" width="17.57421875" style="1" customWidth="1"/>
    <col min="126" max="126" width="17.421875" style="1" bestFit="1" customWidth="1"/>
    <col min="127" max="127" width="17.421875" style="1" customWidth="1"/>
    <col min="128" max="129" width="17.140625" style="1" customWidth="1"/>
    <col min="130" max="131" width="15.140625" style="1" customWidth="1"/>
    <col min="132" max="133" width="16.7109375" style="1" customWidth="1"/>
    <col min="134" max="135" width="15.140625" style="1" customWidth="1"/>
    <col min="136" max="136" width="15.00390625" style="1" customWidth="1"/>
    <col min="137" max="137" width="13.8515625" style="27" customWidth="1"/>
    <col min="138" max="139" width="5.421875" style="27" bestFit="1" customWidth="1"/>
    <col min="140" max="140" width="9.00390625" style="27" bestFit="1" customWidth="1"/>
    <col min="141" max="141" width="12.28125" style="27" customWidth="1"/>
    <col min="142" max="142" width="12.140625" style="439" bestFit="1" customWidth="1"/>
    <col min="143" max="143" width="13.8515625" style="439" bestFit="1" customWidth="1"/>
    <col min="144" max="144" width="15.57421875" style="711" bestFit="1" customWidth="1"/>
    <col min="145" max="145" width="10.140625" style="27" customWidth="1"/>
    <col min="146" max="146" width="10.00390625" style="439" customWidth="1"/>
    <col min="147" max="150" width="13.421875" style="439" customWidth="1"/>
    <col min="151" max="151" width="13.421875" style="672" customWidth="1"/>
    <col min="152" max="153" width="15.00390625" style="27" bestFit="1" customWidth="1"/>
    <col min="154" max="154" width="18.57421875" style="32" bestFit="1" customWidth="1"/>
    <col min="155" max="155" width="9.140625" style="27" customWidth="1"/>
    <col min="156" max="157" width="13.421875" style="27" bestFit="1" customWidth="1"/>
    <col min="158" max="158" width="12.00390625" style="27" customWidth="1"/>
    <col min="159" max="160" width="9.140625" style="27" customWidth="1"/>
    <col min="161" max="161" width="13.421875" style="27" bestFit="1" customWidth="1"/>
    <col min="162" max="163" width="9.140625" style="27" customWidth="1"/>
    <col min="164" max="164" width="9.140625" style="38" customWidth="1"/>
    <col min="165" max="165" width="13.421875" style="38" bestFit="1" customWidth="1"/>
    <col min="166" max="168" width="9.140625" style="38" customWidth="1"/>
    <col min="169" max="169" width="13.421875" style="38" bestFit="1" customWidth="1"/>
    <col min="170" max="170" width="10.57421875" style="38" bestFit="1" customWidth="1"/>
    <col min="171" max="171" width="11.57421875" style="38" bestFit="1" customWidth="1"/>
    <col min="172" max="172" width="9.140625" style="1" customWidth="1"/>
    <col min="173" max="173" width="14.57421875" style="27" bestFit="1" customWidth="1"/>
    <col min="174" max="174" width="13.7109375" style="27" bestFit="1" customWidth="1"/>
    <col min="175" max="175" width="14.00390625" style="27" bestFit="1" customWidth="1"/>
    <col min="176" max="178" width="13.421875" style="27" bestFit="1" customWidth="1"/>
    <col min="179" max="179" width="10.421875" style="27" customWidth="1"/>
    <col min="180" max="181" width="13.421875" style="27" bestFit="1" customWidth="1"/>
    <col min="182" max="182" width="12.28125" style="27" bestFit="1" customWidth="1"/>
    <col min="183" max="189" width="13.421875" style="27" bestFit="1" customWidth="1"/>
    <col min="190" max="190" width="12.140625" style="27" bestFit="1" customWidth="1"/>
    <col min="191" max="192" width="13.421875" style="27" bestFit="1" customWidth="1"/>
    <col min="193" max="193" width="12.140625" style="27" bestFit="1" customWidth="1"/>
    <col min="194" max="194" width="11.00390625" style="27" bestFit="1" customWidth="1"/>
    <col min="195" max="197" width="13.421875" style="27" bestFit="1" customWidth="1"/>
    <col min="198" max="211" width="9.140625" style="27" customWidth="1"/>
    <col min="212" max="212" width="18.57421875" style="27" bestFit="1" customWidth="1"/>
    <col min="213" max="213" width="9.140625" style="27" customWidth="1"/>
    <col min="214" max="215" width="13.421875" style="27" bestFit="1" customWidth="1"/>
    <col min="216" max="216" width="12.00390625" style="27" customWidth="1"/>
    <col min="217" max="218" width="9.140625" style="27" customWidth="1"/>
    <col min="219" max="219" width="13.421875" style="27" bestFit="1" customWidth="1"/>
    <col min="220" max="221" width="9.140625" style="27" customWidth="1"/>
    <col min="222" max="222" width="9.140625" style="38" customWidth="1"/>
    <col min="223" max="223" width="13.421875" style="38" bestFit="1" customWidth="1"/>
    <col min="224" max="226" width="9.140625" style="38" customWidth="1"/>
    <col min="227" max="227" width="13.421875" style="38" bestFit="1" customWidth="1"/>
    <col min="228" max="228" width="10.57421875" style="38" bestFit="1" customWidth="1"/>
    <col min="229" max="229" width="11.57421875" style="38" bestFit="1" customWidth="1"/>
    <col min="230" max="16384" width="9.140625" style="1" customWidth="1"/>
  </cols>
  <sheetData>
    <row r="1" spans="1:229" s="85" customFormat="1" ht="127.5" customHeight="1">
      <c r="A1" s="319" t="s">
        <v>71</v>
      </c>
      <c r="B1" s="319" t="s">
        <v>434</v>
      </c>
      <c r="C1" s="319" t="s">
        <v>432</v>
      </c>
      <c r="D1" s="319" t="s">
        <v>433</v>
      </c>
      <c r="E1" s="319" t="s">
        <v>75</v>
      </c>
      <c r="F1" s="319" t="s">
        <v>76</v>
      </c>
      <c r="G1" s="39" t="s">
        <v>77</v>
      </c>
      <c r="H1" s="39" t="s">
        <v>78</v>
      </c>
      <c r="I1" s="39" t="s">
        <v>124</v>
      </c>
      <c r="J1" s="318" t="s">
        <v>7</v>
      </c>
      <c r="K1" s="90" t="s">
        <v>57</v>
      </c>
      <c r="L1" s="90" t="s">
        <v>95</v>
      </c>
      <c r="M1" s="90" t="s">
        <v>79</v>
      </c>
      <c r="N1" s="90" t="s">
        <v>80</v>
      </c>
      <c r="O1" s="49" t="s">
        <v>96</v>
      </c>
      <c r="P1" s="90" t="s">
        <v>335</v>
      </c>
      <c r="Q1" s="49" t="s">
        <v>336</v>
      </c>
      <c r="R1" s="51" t="s">
        <v>184</v>
      </c>
      <c r="S1" s="370" t="s">
        <v>100</v>
      </c>
      <c r="T1" s="50" t="s">
        <v>72</v>
      </c>
      <c r="U1" s="50" t="s">
        <v>73</v>
      </c>
      <c r="V1" s="50" t="s">
        <v>81</v>
      </c>
      <c r="W1" s="50" t="s">
        <v>74</v>
      </c>
      <c r="X1" s="51" t="s">
        <v>189</v>
      </c>
      <c r="Y1" s="88" t="s">
        <v>185</v>
      </c>
      <c r="Z1" s="88" t="s">
        <v>186</v>
      </c>
      <c r="AA1" s="54" t="s">
        <v>187</v>
      </c>
      <c r="AB1" s="54" t="s">
        <v>188</v>
      </c>
      <c r="AC1" s="54" t="s">
        <v>99</v>
      </c>
      <c r="AD1" s="54" t="s">
        <v>97</v>
      </c>
      <c r="AE1" s="54" t="s">
        <v>98</v>
      </c>
      <c r="AF1" s="54" t="s">
        <v>98</v>
      </c>
      <c r="AG1" s="86" t="s">
        <v>101</v>
      </c>
      <c r="AH1" s="40" t="s">
        <v>102</v>
      </c>
      <c r="AI1" s="40" t="s">
        <v>103</v>
      </c>
      <c r="AJ1" s="40" t="s">
        <v>191</v>
      </c>
      <c r="AK1" s="350" t="s">
        <v>104</v>
      </c>
      <c r="AL1" s="41" t="s">
        <v>105</v>
      </c>
      <c r="AM1" s="41" t="s">
        <v>338</v>
      </c>
      <c r="AN1" s="41" t="s">
        <v>337</v>
      </c>
      <c r="AO1" s="41" t="s">
        <v>125</v>
      </c>
      <c r="AP1" s="728" t="s">
        <v>56</v>
      </c>
      <c r="AQ1" s="728">
        <v>2</v>
      </c>
      <c r="AR1" s="43" t="s">
        <v>106</v>
      </c>
      <c r="AS1" s="42" t="s">
        <v>0</v>
      </c>
      <c r="AT1" s="42">
        <v>2</v>
      </c>
      <c r="AU1" s="43" t="s">
        <v>107</v>
      </c>
      <c r="AV1" s="43" t="s">
        <v>126</v>
      </c>
      <c r="AW1" s="90" t="s">
        <v>333</v>
      </c>
      <c r="AX1" s="43" t="s">
        <v>334</v>
      </c>
      <c r="AY1" s="42" t="s">
        <v>108</v>
      </c>
      <c r="AZ1" s="42" t="s">
        <v>109</v>
      </c>
      <c r="BA1" s="42" t="s">
        <v>110</v>
      </c>
      <c r="BB1" s="42" t="s">
        <v>111</v>
      </c>
      <c r="BC1" s="42" t="s">
        <v>112</v>
      </c>
      <c r="BD1" s="48" t="s">
        <v>113</v>
      </c>
      <c r="BE1" s="111" t="s">
        <v>341</v>
      </c>
      <c r="BF1" s="111" t="s">
        <v>127</v>
      </c>
      <c r="BG1" s="112" t="s">
        <v>342</v>
      </c>
      <c r="BH1" s="111" t="s">
        <v>128</v>
      </c>
      <c r="BI1" s="111" t="s">
        <v>129</v>
      </c>
      <c r="BJ1" s="112" t="s">
        <v>132</v>
      </c>
      <c r="BK1" s="111" t="s">
        <v>130</v>
      </c>
      <c r="BL1" s="111" t="s">
        <v>131</v>
      </c>
      <c r="BM1" s="112" t="s">
        <v>133</v>
      </c>
      <c r="BN1" s="261" t="s">
        <v>339</v>
      </c>
      <c r="BO1" s="111" t="s">
        <v>70</v>
      </c>
      <c r="BP1" s="111" t="s">
        <v>137</v>
      </c>
      <c r="BQ1" s="111" t="s">
        <v>138</v>
      </c>
      <c r="BR1" s="55" t="s">
        <v>340</v>
      </c>
      <c r="BS1" s="39" t="s">
        <v>139</v>
      </c>
      <c r="BT1" s="39" t="s">
        <v>140</v>
      </c>
      <c r="BU1" s="114" t="s">
        <v>134</v>
      </c>
      <c r="BV1" s="44" t="s">
        <v>114</v>
      </c>
      <c r="BW1" s="44" t="s">
        <v>115</v>
      </c>
      <c r="BX1" s="45" t="s">
        <v>141</v>
      </c>
      <c r="BY1" s="44" t="s">
        <v>116</v>
      </c>
      <c r="BZ1" s="44" t="s">
        <v>117</v>
      </c>
      <c r="CA1" s="690" t="s">
        <v>428</v>
      </c>
      <c r="CB1" s="690" t="s">
        <v>429</v>
      </c>
      <c r="CC1" s="115" t="s">
        <v>135</v>
      </c>
      <c r="CD1" s="115" t="s">
        <v>136</v>
      </c>
      <c r="CE1" s="109" t="s">
        <v>118</v>
      </c>
      <c r="CF1" s="101" t="s">
        <v>119</v>
      </c>
      <c r="CG1" s="46" t="s">
        <v>120</v>
      </c>
      <c r="CH1" s="46" t="s">
        <v>121</v>
      </c>
      <c r="CI1" s="47" t="s">
        <v>122</v>
      </c>
      <c r="CJ1" s="48" t="s">
        <v>123</v>
      </c>
      <c r="CK1" s="394" t="s">
        <v>343</v>
      </c>
      <c r="CL1" s="394" t="s">
        <v>384</v>
      </c>
      <c r="CM1" s="394" t="s">
        <v>344</v>
      </c>
      <c r="CN1" s="394" t="s">
        <v>385</v>
      </c>
      <c r="CO1" s="395" t="s">
        <v>345</v>
      </c>
      <c r="CP1" s="395" t="s">
        <v>386</v>
      </c>
      <c r="CQ1" s="394" t="s">
        <v>346</v>
      </c>
      <c r="CR1" s="394" t="s">
        <v>387</v>
      </c>
      <c r="CS1" s="394" t="s">
        <v>347</v>
      </c>
      <c r="CT1" s="394" t="s">
        <v>348</v>
      </c>
      <c r="CU1" s="394" t="s">
        <v>388</v>
      </c>
      <c r="CV1" s="394" t="s">
        <v>349</v>
      </c>
      <c r="CW1" s="394" t="s">
        <v>389</v>
      </c>
      <c r="CX1" s="396" t="s">
        <v>350</v>
      </c>
      <c r="CY1" s="396" t="s">
        <v>390</v>
      </c>
      <c r="CZ1" s="396" t="s">
        <v>351</v>
      </c>
      <c r="DA1" s="396" t="s">
        <v>391</v>
      </c>
      <c r="DB1" s="396" t="s">
        <v>352</v>
      </c>
      <c r="DC1" s="396" t="s">
        <v>392</v>
      </c>
      <c r="DD1" s="396" t="s">
        <v>353</v>
      </c>
      <c r="DE1" s="396" t="s">
        <v>393</v>
      </c>
      <c r="DF1" s="46" t="s">
        <v>354</v>
      </c>
      <c r="DG1" s="46" t="s">
        <v>394</v>
      </c>
      <c r="DH1" s="46" t="s">
        <v>355</v>
      </c>
      <c r="DI1" s="46" t="s">
        <v>395</v>
      </c>
      <c r="DJ1" s="46" t="s">
        <v>356</v>
      </c>
      <c r="DK1" s="46" t="s">
        <v>396</v>
      </c>
      <c r="DL1" s="46" t="s">
        <v>357</v>
      </c>
      <c r="DM1" s="46" t="s">
        <v>358</v>
      </c>
      <c r="DN1" s="46" t="s">
        <v>397</v>
      </c>
      <c r="DO1" s="46" t="s">
        <v>359</v>
      </c>
      <c r="DP1" s="46" t="s">
        <v>398</v>
      </c>
      <c r="DQ1" s="46" t="s">
        <v>360</v>
      </c>
      <c r="DR1" s="433" t="s">
        <v>399</v>
      </c>
      <c r="DS1" s="46" t="s">
        <v>361</v>
      </c>
      <c r="DT1" s="46" t="s">
        <v>362</v>
      </c>
      <c r="DU1" s="46" t="s">
        <v>401</v>
      </c>
      <c r="DV1" s="46" t="s">
        <v>363</v>
      </c>
      <c r="DW1" s="46" t="s">
        <v>402</v>
      </c>
      <c r="DX1" s="46" t="s">
        <v>364</v>
      </c>
      <c r="DY1" s="46" t="s">
        <v>400</v>
      </c>
      <c r="DZ1" s="320" t="s">
        <v>365</v>
      </c>
      <c r="EA1" s="320" t="s">
        <v>403</v>
      </c>
      <c r="EB1" s="320" t="s">
        <v>366</v>
      </c>
      <c r="EC1" s="320" t="s">
        <v>404</v>
      </c>
      <c r="ED1" s="115" t="s">
        <v>367</v>
      </c>
      <c r="EE1" s="115" t="s">
        <v>405</v>
      </c>
      <c r="EF1" s="115" t="s">
        <v>368</v>
      </c>
      <c r="EG1" s="98" t="s">
        <v>406</v>
      </c>
      <c r="EH1" s="98" t="s">
        <v>407</v>
      </c>
      <c r="EI1" s="98" t="s">
        <v>408</v>
      </c>
      <c r="EJ1" s="98" t="s">
        <v>410</v>
      </c>
      <c r="EK1" s="98" t="s">
        <v>409</v>
      </c>
      <c r="EL1" s="703" t="s">
        <v>412</v>
      </c>
      <c r="EM1" s="703" t="s">
        <v>411</v>
      </c>
      <c r="EN1" s="721" t="s">
        <v>413</v>
      </c>
      <c r="EO1" s="98" t="s">
        <v>414</v>
      </c>
      <c r="EP1" s="703" t="s">
        <v>415</v>
      </c>
      <c r="EQ1" s="703" t="s">
        <v>416</v>
      </c>
      <c r="ER1" s="703" t="s">
        <v>417</v>
      </c>
      <c r="ES1" s="703" t="s">
        <v>419</v>
      </c>
      <c r="ET1" s="703" t="s">
        <v>418</v>
      </c>
      <c r="EU1" s="722" t="s">
        <v>420</v>
      </c>
      <c r="EV1" s="98" t="s">
        <v>445</v>
      </c>
      <c r="EW1" s="98" t="s">
        <v>446</v>
      </c>
      <c r="EX1" s="671"/>
      <c r="EY1" s="98"/>
      <c r="EZ1" s="98"/>
      <c r="FA1" s="98"/>
      <c r="FB1" s="98"/>
      <c r="FC1" s="98"/>
      <c r="FD1" s="98"/>
      <c r="FE1" s="98"/>
      <c r="FF1" s="98"/>
      <c r="FG1" s="384"/>
      <c r="FH1" s="62"/>
      <c r="FI1" s="62"/>
      <c r="FJ1" s="62"/>
      <c r="FK1" s="62"/>
      <c r="FL1" s="62"/>
      <c r="FM1" s="62"/>
      <c r="FN1" s="62"/>
      <c r="FO1" s="383"/>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384"/>
      <c r="HN1" s="62"/>
      <c r="HO1" s="62"/>
      <c r="HP1" s="62"/>
      <c r="HQ1" s="62"/>
      <c r="HR1" s="62"/>
      <c r="HS1" s="62"/>
      <c r="HT1" s="62"/>
      <c r="HU1" s="383"/>
    </row>
    <row r="2" spans="1:229" s="36" customFormat="1" ht="18.75" customHeight="1">
      <c r="A2" s="75" t="s">
        <v>58</v>
      </c>
      <c r="B2" s="75" t="s">
        <v>58</v>
      </c>
      <c r="C2" s="75" t="s">
        <v>190</v>
      </c>
      <c r="D2" s="75">
        <v>1</v>
      </c>
      <c r="E2" s="371" t="s">
        <v>41</v>
      </c>
      <c r="F2" s="63" t="s">
        <v>40</v>
      </c>
      <c r="G2" s="64">
        <v>1500</v>
      </c>
      <c r="H2" s="64">
        <v>625</v>
      </c>
      <c r="I2" s="94">
        <f aca="true" t="shared" si="0" ref="I2:I35">(G2-H2)/G2</f>
        <v>0.5833333333333334</v>
      </c>
      <c r="J2" s="61">
        <v>125</v>
      </c>
      <c r="K2" s="82">
        <v>10453.76</v>
      </c>
      <c r="L2" s="93">
        <f aca="true" t="shared" si="1" ref="L2:L40">SUM(N2+M2)</f>
        <v>126712.22024960001</v>
      </c>
      <c r="M2" s="93">
        <f aca="true" t="shared" si="2" ref="M2:M40">SUM(K2*10)</f>
        <v>104537.6</v>
      </c>
      <c r="N2" s="93">
        <f aca="true" t="shared" si="3" ref="N2:N40">M2*0.212121</f>
        <v>22174.6202496</v>
      </c>
      <c r="O2" s="94">
        <f aca="true" t="shared" si="4" ref="O2:O40">L2-S2+X2</f>
        <v>114813.94276816257</v>
      </c>
      <c r="P2" s="93">
        <f>O2/1000</f>
        <v>114.81394276816256</v>
      </c>
      <c r="Q2" s="94">
        <f>L2/40</f>
        <v>3167.8055062400003</v>
      </c>
      <c r="R2" s="105">
        <v>10</v>
      </c>
      <c r="S2" s="91">
        <f aca="true" t="shared" si="5" ref="S2:S40">(R2/100)*L2</f>
        <v>12671.222024960001</v>
      </c>
      <c r="T2" s="62">
        <v>4</v>
      </c>
      <c r="U2" s="62">
        <v>1.5</v>
      </c>
      <c r="V2" s="62">
        <f aca="true" t="shared" si="6" ref="V2:V40">(T2+U2+(0.02*AD2*AF2))/100</f>
        <v>0.061</v>
      </c>
      <c r="W2" s="62">
        <v>1</v>
      </c>
      <c r="X2" s="92">
        <f>S2*V2*W2</f>
        <v>772.94454352256</v>
      </c>
      <c r="Y2" s="323">
        <v>8</v>
      </c>
      <c r="Z2" s="92">
        <f aca="true" t="shared" si="7" ref="Z2:Z40">(Y2/100)*O2</f>
        <v>9185.115421453005</v>
      </c>
      <c r="AA2" s="62">
        <v>10</v>
      </c>
      <c r="AB2" s="91">
        <f aca="true" t="shared" si="8" ref="AB2:AB40">(AA2/100)*O2</f>
        <v>11481.394276816258</v>
      </c>
      <c r="AC2" s="62" t="s">
        <v>44</v>
      </c>
      <c r="AD2" s="62">
        <v>30</v>
      </c>
      <c r="AE2" s="326" t="s">
        <v>42</v>
      </c>
      <c r="AF2" s="62">
        <v>1</v>
      </c>
      <c r="AG2" s="92">
        <f>AB2*(1+(AD2/100)*AF2)</f>
        <v>14925.812559861135</v>
      </c>
      <c r="AH2" s="92">
        <f aca="true" t="shared" si="9" ref="AH2:AH40">AR2*AK2</f>
        <v>32992.5</v>
      </c>
      <c r="AI2" s="92">
        <f>AU2*AK2</f>
        <v>69742.7222222222</v>
      </c>
      <c r="AJ2" s="107">
        <f>(AH2-AI2)/AH2</f>
        <v>-1.1138962558830705</v>
      </c>
      <c r="AK2" s="95">
        <v>5</v>
      </c>
      <c r="AL2" s="96">
        <v>28</v>
      </c>
      <c r="AM2" s="378">
        <f aca="true" t="shared" si="10" ref="AM2:AM35">AR2/G2</f>
        <v>4.399</v>
      </c>
      <c r="AN2" s="108">
        <f aca="true" t="shared" si="11" ref="AN2:AN35">AU2/H2</f>
        <v>22.317671111111103</v>
      </c>
      <c r="AO2" s="110">
        <f>(AM2-AN2)/AM2</f>
        <v>-4.0733510141193685</v>
      </c>
      <c r="AP2" s="729">
        <v>718.5</v>
      </c>
      <c r="AQ2" s="730">
        <v>5880</v>
      </c>
      <c r="AR2" s="64">
        <f aca="true" t="shared" si="12" ref="AR2:AR33">SUM(AP2,AQ2)</f>
        <v>6598.5</v>
      </c>
      <c r="AS2" s="67">
        <v>3339.54444444444</v>
      </c>
      <c r="AT2" s="65">
        <v>10609</v>
      </c>
      <c r="AU2" s="97">
        <f aca="true" t="shared" si="13" ref="AU2:AU40">SUM(AS2,AT2)</f>
        <v>13948.54444444444</v>
      </c>
      <c r="AV2" s="94">
        <f>(AR2-AU2)/AR2</f>
        <v>-1.1138962558830705</v>
      </c>
      <c r="AW2" s="93">
        <f>37+21</f>
        <v>58</v>
      </c>
      <c r="AX2" s="94">
        <f>AW2*(R2/100)</f>
        <v>5.800000000000001</v>
      </c>
      <c r="AY2" s="69">
        <v>3</v>
      </c>
      <c r="AZ2" s="69">
        <v>30</v>
      </c>
      <c r="BA2" s="61">
        <v>12.5</v>
      </c>
      <c r="BB2" s="61">
        <v>9</v>
      </c>
      <c r="BC2" s="69">
        <v>40</v>
      </c>
      <c r="BD2" s="96">
        <f aca="true" t="shared" si="14" ref="BD2:BD35">O2/AR2</f>
        <v>17.400006481497698</v>
      </c>
      <c r="BE2" s="61">
        <v>0</v>
      </c>
      <c r="BF2" s="61">
        <v>0</v>
      </c>
      <c r="BG2" s="66">
        <f>BE2-BF2</f>
        <v>0</v>
      </c>
      <c r="BH2" s="62">
        <v>165</v>
      </c>
      <c r="BI2" s="62">
        <v>68</v>
      </c>
      <c r="BJ2" s="92">
        <f>(BH2-BI2)</f>
        <v>97</v>
      </c>
      <c r="BK2" s="61">
        <v>0</v>
      </c>
      <c r="BL2" s="61">
        <v>0</v>
      </c>
      <c r="BM2" s="105">
        <f>BK2-BL2</f>
        <v>0</v>
      </c>
      <c r="BN2" s="96">
        <f>BH2/O2</f>
        <v>0.001437107689378592</v>
      </c>
      <c r="BO2" s="61">
        <v>217</v>
      </c>
      <c r="BP2" s="113">
        <v>40</v>
      </c>
      <c r="BQ2" s="61">
        <v>0</v>
      </c>
      <c r="BR2" s="96">
        <f aca="true" t="shared" si="15" ref="BR2:BR59">BH2/(BH2+BP2)</f>
        <v>0.8048780487804879</v>
      </c>
      <c r="BS2" s="96">
        <f aca="true" t="shared" si="16" ref="BS2:BS35">SUM(BH2,BE2,BK2)*100/SUM(BH2,BE2,BK2,BP2,BQ2)</f>
        <v>80.48780487804878</v>
      </c>
      <c r="BT2" s="96">
        <f aca="true" t="shared" si="17" ref="BT2:BT10">SUM(BF2,BI2,BL2)/SUM(BE2,BH2,BK2)</f>
        <v>0.4121212121212121</v>
      </c>
      <c r="BU2" s="61">
        <f>CJ2</f>
        <v>5</v>
      </c>
      <c r="BV2" s="78">
        <v>210</v>
      </c>
      <c r="BW2" s="78">
        <v>210</v>
      </c>
      <c r="BX2" s="65">
        <f aca="true" t="shared" si="18" ref="BX2:BX10">BV2/BW2</f>
        <v>1</v>
      </c>
      <c r="BY2" s="61">
        <f aca="true" t="shared" si="19" ref="BY2:BY35">BV2*Y2/100</f>
        <v>16.8</v>
      </c>
      <c r="BZ2" s="71">
        <f aca="true" t="shared" si="20" ref="BZ2:BZ74">BY2/BV2</f>
        <v>0.08</v>
      </c>
      <c r="CA2" s="579"/>
      <c r="CB2" s="579"/>
      <c r="CC2" s="83">
        <v>353</v>
      </c>
      <c r="CD2" s="100">
        <v>65</v>
      </c>
      <c r="CE2" s="105">
        <v>0</v>
      </c>
      <c r="CF2" s="102">
        <v>100</v>
      </c>
      <c r="CG2" s="61">
        <v>9</v>
      </c>
      <c r="CH2" s="61">
        <v>6</v>
      </c>
      <c r="CI2" s="66">
        <f>SUM(CG2,CH2)</f>
        <v>15</v>
      </c>
      <c r="CJ2" s="61">
        <v>5</v>
      </c>
      <c r="CK2" s="397" t="s">
        <v>46</v>
      </c>
      <c r="CL2" s="397">
        <v>6.2</v>
      </c>
      <c r="CM2" s="62" t="s">
        <v>42</v>
      </c>
      <c r="CN2" s="62">
        <v>0</v>
      </c>
      <c r="CO2" s="62" t="s">
        <v>369</v>
      </c>
      <c r="CP2" s="62">
        <v>7.07</v>
      </c>
      <c r="CQ2" s="62" t="s">
        <v>45</v>
      </c>
      <c r="CR2" s="62">
        <v>1.1</v>
      </c>
      <c r="CS2" s="75" t="s">
        <v>58</v>
      </c>
      <c r="CT2" s="62" t="s">
        <v>370</v>
      </c>
      <c r="CU2" s="427">
        <v>7.8</v>
      </c>
      <c r="CV2" s="398" t="s">
        <v>43</v>
      </c>
      <c r="CW2" s="398">
        <v>0.92</v>
      </c>
      <c r="CX2" s="777" t="s">
        <v>43</v>
      </c>
      <c r="CY2" s="777">
        <v>0.9</v>
      </c>
      <c r="CZ2" s="399" t="s">
        <v>45</v>
      </c>
      <c r="DA2" s="399">
        <v>1.15</v>
      </c>
      <c r="DB2" s="398" t="s">
        <v>369</v>
      </c>
      <c r="DC2" s="398">
        <v>0.81</v>
      </c>
      <c r="DD2" s="397" t="s">
        <v>371</v>
      </c>
      <c r="DE2" s="397">
        <v>0.87</v>
      </c>
      <c r="DF2" s="72" t="s">
        <v>44</v>
      </c>
      <c r="DG2" s="72">
        <v>1</v>
      </c>
      <c r="DH2" s="72" t="s">
        <v>44</v>
      </c>
      <c r="DI2" s="72">
        <v>1</v>
      </c>
      <c r="DJ2" s="72" t="s">
        <v>43</v>
      </c>
      <c r="DK2" s="72">
        <v>0.87</v>
      </c>
      <c r="DL2" s="72" t="s">
        <v>44</v>
      </c>
      <c r="DM2" s="400" t="s">
        <v>44</v>
      </c>
      <c r="DN2" s="91">
        <v>0.01</v>
      </c>
      <c r="DO2" s="400" t="s">
        <v>44</v>
      </c>
      <c r="DP2" s="91">
        <v>0.01</v>
      </c>
      <c r="DQ2" s="400" t="s">
        <v>43</v>
      </c>
      <c r="DR2" s="434">
        <v>1.12</v>
      </c>
      <c r="DS2" s="401" t="s">
        <v>45</v>
      </c>
      <c r="DT2" s="62" t="s">
        <v>372</v>
      </c>
      <c r="DU2" s="62">
        <v>0.88</v>
      </c>
      <c r="DV2" s="62" t="s">
        <v>372</v>
      </c>
      <c r="DW2" s="62">
        <v>0.91</v>
      </c>
      <c r="DX2" s="62" t="s">
        <v>372</v>
      </c>
      <c r="DY2" s="441">
        <v>0.91</v>
      </c>
      <c r="DZ2" s="401" t="s">
        <v>44</v>
      </c>
      <c r="EA2" s="401">
        <v>1</v>
      </c>
      <c r="EB2" s="401" t="s">
        <v>43</v>
      </c>
      <c r="EC2" s="401">
        <v>1.09</v>
      </c>
      <c r="ED2" s="401" t="s">
        <v>47</v>
      </c>
      <c r="EE2" s="401">
        <v>1</v>
      </c>
      <c r="EF2" s="401" t="s">
        <v>46</v>
      </c>
      <c r="EG2" s="99">
        <f aca="true" t="shared" si="21" ref="EG2:EG18">CW2*CY2*DA2*DC2*DE2*DG2*DI2*DK2*DN2*DP2*DR2*DU2*DW2*DY2*EA2*EC2*EE2</f>
        <v>5.193518448381484E-05</v>
      </c>
      <c r="EH2" s="99">
        <v>2.94</v>
      </c>
      <c r="EI2" s="99">
        <v>0.91</v>
      </c>
      <c r="EJ2" s="99">
        <f aca="true" t="shared" si="22" ref="EJ2:EJ18">SUM(CL2,CN2,CP2,CR2,CU2,CW2,CW2)</f>
        <v>24.01</v>
      </c>
      <c r="EK2" s="99">
        <f>EI2+0.01*EJ2</f>
        <v>1.1501000000000001</v>
      </c>
      <c r="EL2" s="444">
        <f aca="true" t="shared" si="23" ref="EL2:EL18">L2</f>
        <v>126712.22024960001</v>
      </c>
      <c r="EM2" s="444">
        <f>POWER(EL2,EK2)</f>
        <v>739182.2976970333</v>
      </c>
      <c r="EN2" s="708">
        <f>EH2*EM2*EG2</f>
        <v>112.86533285431275</v>
      </c>
      <c r="EO2" s="99">
        <f aca="true" t="shared" si="24" ref="EO2:EO18">G2</f>
        <v>1500</v>
      </c>
      <c r="EP2" s="444">
        <f aca="true" t="shared" si="25" ref="EP2:EP18">G2/J2</f>
        <v>12</v>
      </c>
      <c r="EQ2" s="444">
        <f>0.28+0.2*0.01*EJ2</f>
        <v>0.32802000000000003</v>
      </c>
      <c r="ER2" s="444">
        <f>1/EQ2</f>
        <v>3.0485945978903723</v>
      </c>
      <c r="ES2" s="444">
        <f>(EP2/3.67)</f>
        <v>3.2697547683923704</v>
      </c>
      <c r="ET2" s="444">
        <f>POWER(ES2,ER2)</f>
        <v>37.029530339715386</v>
      </c>
      <c r="EU2" s="708">
        <f>ET2</f>
        <v>37.029530339715386</v>
      </c>
      <c r="EV2" s="99">
        <f>AR2</f>
        <v>6598.5</v>
      </c>
      <c r="EW2" s="444">
        <f>AU2</f>
        <v>13948.54444444444</v>
      </c>
      <c r="EX2" s="712"/>
      <c r="EY2" s="99"/>
      <c r="EZ2" s="99"/>
      <c r="FA2" s="99"/>
      <c r="FB2" s="99"/>
      <c r="FC2" s="99"/>
      <c r="FD2" s="99"/>
      <c r="FE2" s="99"/>
      <c r="FF2" s="99"/>
      <c r="FG2" s="99"/>
      <c r="FH2" s="99"/>
      <c r="FI2" s="99"/>
      <c r="FJ2" s="99"/>
      <c r="FK2" s="99"/>
      <c r="FL2" s="99"/>
      <c r="FM2" s="99"/>
      <c r="FN2" s="99"/>
      <c r="FO2" s="385"/>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385"/>
    </row>
    <row r="3" spans="1:229" s="36" customFormat="1" ht="20.25" customHeight="1">
      <c r="A3" s="60" t="s">
        <v>58</v>
      </c>
      <c r="B3" s="60" t="s">
        <v>58</v>
      </c>
      <c r="C3" s="75" t="s">
        <v>190</v>
      </c>
      <c r="D3" s="60">
        <v>1</v>
      </c>
      <c r="E3" s="371" t="s">
        <v>41</v>
      </c>
      <c r="F3" s="63" t="s">
        <v>40</v>
      </c>
      <c r="G3" s="64">
        <v>1500</v>
      </c>
      <c r="H3" s="64">
        <v>625</v>
      </c>
      <c r="I3" s="94">
        <f t="shared" si="0"/>
        <v>0.5833333333333334</v>
      </c>
      <c r="J3" s="61">
        <v>125</v>
      </c>
      <c r="K3" s="65">
        <v>4940.94</v>
      </c>
      <c r="L3" s="93">
        <f t="shared" si="1"/>
        <v>59890.171337399996</v>
      </c>
      <c r="M3" s="93">
        <f t="shared" si="2"/>
        <v>49409.399999999994</v>
      </c>
      <c r="N3" s="93">
        <f t="shared" si="3"/>
        <v>10480.7713374</v>
      </c>
      <c r="O3" s="94">
        <f t="shared" si="4"/>
        <v>54266.48424881813</v>
      </c>
      <c r="P3" s="93">
        <f aca="true" t="shared" si="26" ref="P3:P18">O3/1000</f>
        <v>54.26648424881813</v>
      </c>
      <c r="Q3" s="94">
        <f aca="true" t="shared" si="27" ref="Q3:Q18">L3/40</f>
        <v>1497.254283435</v>
      </c>
      <c r="R3" s="105">
        <v>10</v>
      </c>
      <c r="S3" s="91">
        <f t="shared" si="5"/>
        <v>5989.01713374</v>
      </c>
      <c r="T3" s="62">
        <v>4</v>
      </c>
      <c r="U3" s="62">
        <v>1.5</v>
      </c>
      <c r="V3" s="62">
        <f t="shared" si="6"/>
        <v>0.061</v>
      </c>
      <c r="W3" s="62">
        <v>1</v>
      </c>
      <c r="X3" s="92">
        <f>S3*V3*W3</f>
        <v>365.33004515813997</v>
      </c>
      <c r="Y3" s="323">
        <v>8</v>
      </c>
      <c r="Z3" s="92">
        <f t="shared" si="7"/>
        <v>4341.3187399054505</v>
      </c>
      <c r="AA3" s="62">
        <v>10</v>
      </c>
      <c r="AB3" s="91">
        <f t="shared" si="8"/>
        <v>5426.648424881813</v>
      </c>
      <c r="AC3" s="62" t="s">
        <v>44</v>
      </c>
      <c r="AD3" s="62">
        <v>30</v>
      </c>
      <c r="AE3" s="326" t="s">
        <v>42</v>
      </c>
      <c r="AF3" s="62">
        <v>1</v>
      </c>
      <c r="AG3" s="92">
        <f>AB3*(1+(AD3/100)*AF3)</f>
        <v>7054.642952346358</v>
      </c>
      <c r="AH3" s="92">
        <f t="shared" si="9"/>
        <v>30150</v>
      </c>
      <c r="AI3" s="92">
        <f>AU3*AK3</f>
        <v>80322.86944444446</v>
      </c>
      <c r="AJ3" s="107">
        <f aca="true" t="shared" si="28" ref="AJ3:AJ74">(AH3-AI3)/AH3</f>
        <v>-1.6641084392850565</v>
      </c>
      <c r="AK3" s="95">
        <v>5</v>
      </c>
      <c r="AL3" s="96">
        <v>28</v>
      </c>
      <c r="AM3" s="378">
        <f t="shared" si="10"/>
        <v>4.02</v>
      </c>
      <c r="AN3" s="108">
        <f t="shared" si="11"/>
        <v>25.703318222222222</v>
      </c>
      <c r="AO3" s="110">
        <f aca="true" t="shared" si="29" ref="AO3:AO74">(AM3-AN3)/AM3</f>
        <v>-5.393860254284135</v>
      </c>
      <c r="AP3" s="729">
        <v>871</v>
      </c>
      <c r="AQ3" s="731">
        <v>5159</v>
      </c>
      <c r="AR3" s="64">
        <f t="shared" si="12"/>
        <v>6030</v>
      </c>
      <c r="AS3" s="67">
        <v>11225.57388888889</v>
      </c>
      <c r="AT3" s="67">
        <v>4839</v>
      </c>
      <c r="AU3" s="97">
        <f t="shared" si="13"/>
        <v>16064.57388888889</v>
      </c>
      <c r="AV3" s="94">
        <f>(AU3-AR3)/AU3</f>
        <v>0.6246399038214971</v>
      </c>
      <c r="AW3" s="93">
        <f>37.5+23.5</f>
        <v>61</v>
      </c>
      <c r="AX3" s="94">
        <f aca="true" t="shared" si="30" ref="AX3:AX74">AW3*(R3/100)</f>
        <v>6.1000000000000005</v>
      </c>
      <c r="AY3" s="69">
        <v>3</v>
      </c>
      <c r="AZ3" s="69">
        <v>30</v>
      </c>
      <c r="BA3" s="61">
        <v>12.5</v>
      </c>
      <c r="BB3" s="61">
        <v>9</v>
      </c>
      <c r="BC3" s="69">
        <v>40</v>
      </c>
      <c r="BD3" s="96">
        <f t="shared" si="14"/>
        <v>8.999416956686257</v>
      </c>
      <c r="BE3" s="61">
        <v>0</v>
      </c>
      <c r="BF3" s="61">
        <v>0</v>
      </c>
      <c r="BG3" s="66">
        <f aca="true" t="shared" si="31" ref="BG3:BG74">BE3-BF3</f>
        <v>0</v>
      </c>
      <c r="BH3" s="62">
        <v>177</v>
      </c>
      <c r="BI3" s="62">
        <v>131</v>
      </c>
      <c r="BJ3" s="92">
        <f aca="true" t="shared" si="32" ref="BJ3:BJ74">(BH3-BI3)</f>
        <v>46</v>
      </c>
      <c r="BK3" s="61">
        <v>0</v>
      </c>
      <c r="BL3" s="61">
        <v>0</v>
      </c>
      <c r="BM3" s="105">
        <f aca="true" t="shared" si="33" ref="BM3:BM74">BK3-BL3</f>
        <v>0</v>
      </c>
      <c r="BN3" s="96">
        <f aca="true" t="shared" si="34" ref="BN3:BN74">BH3/O3</f>
        <v>0.003261681725840842</v>
      </c>
      <c r="BO3" s="70">
        <v>68</v>
      </c>
      <c r="BP3" s="113">
        <v>10</v>
      </c>
      <c r="BQ3" s="61">
        <v>0</v>
      </c>
      <c r="BR3" s="96">
        <f t="shared" si="15"/>
        <v>0.946524064171123</v>
      </c>
      <c r="BS3" s="96">
        <f t="shared" si="16"/>
        <v>94.6524064171123</v>
      </c>
      <c r="BT3" s="96">
        <f t="shared" si="17"/>
        <v>0.7401129943502824</v>
      </c>
      <c r="BU3" s="61">
        <f aca="true" t="shared" si="35" ref="BU3:BU18">CJ3</f>
        <v>5</v>
      </c>
      <c r="BV3" s="65">
        <v>42</v>
      </c>
      <c r="BW3" s="65">
        <v>42</v>
      </c>
      <c r="BX3" s="65">
        <f t="shared" si="18"/>
        <v>1</v>
      </c>
      <c r="BY3" s="61">
        <f t="shared" si="19"/>
        <v>3.36</v>
      </c>
      <c r="BZ3" s="71">
        <f t="shared" si="20"/>
        <v>0.08</v>
      </c>
      <c r="CA3" s="579"/>
      <c r="CB3" s="579"/>
      <c r="CC3" s="65">
        <v>98</v>
      </c>
      <c r="CD3" s="100">
        <v>65</v>
      </c>
      <c r="CE3" s="105">
        <v>0</v>
      </c>
      <c r="CF3" s="102">
        <v>100</v>
      </c>
      <c r="CG3" s="61">
        <v>9</v>
      </c>
      <c r="CH3" s="61">
        <v>6</v>
      </c>
      <c r="CI3" s="66">
        <f>SUM(CG3,CH3)</f>
        <v>15</v>
      </c>
      <c r="CJ3" s="61">
        <v>5</v>
      </c>
      <c r="CK3" s="397" t="s">
        <v>46</v>
      </c>
      <c r="CL3" s="397">
        <v>6.2</v>
      </c>
      <c r="CM3" s="62" t="s">
        <v>42</v>
      </c>
      <c r="CN3" s="62">
        <v>0</v>
      </c>
      <c r="CO3" s="62" t="s">
        <v>369</v>
      </c>
      <c r="CP3" s="62">
        <v>7.07</v>
      </c>
      <c r="CQ3" s="62" t="s">
        <v>45</v>
      </c>
      <c r="CR3" s="62">
        <v>1.1</v>
      </c>
      <c r="CS3" s="60" t="s">
        <v>58</v>
      </c>
      <c r="CT3" s="62" t="s">
        <v>370</v>
      </c>
      <c r="CU3" s="427">
        <v>7.8</v>
      </c>
      <c r="CV3" s="398" t="s">
        <v>43</v>
      </c>
      <c r="CW3" s="398">
        <v>0.92</v>
      </c>
      <c r="CX3" s="777" t="s">
        <v>43</v>
      </c>
      <c r="CY3" s="777">
        <v>0.9</v>
      </c>
      <c r="CZ3" s="399" t="s">
        <v>45</v>
      </c>
      <c r="DA3" s="399">
        <v>1.15</v>
      </c>
      <c r="DB3" s="398" t="s">
        <v>369</v>
      </c>
      <c r="DC3" s="398">
        <v>0.81</v>
      </c>
      <c r="DD3" s="397" t="s">
        <v>371</v>
      </c>
      <c r="DE3" s="397">
        <v>0.87</v>
      </c>
      <c r="DF3" s="72" t="s">
        <v>44</v>
      </c>
      <c r="DG3" s="72">
        <v>1</v>
      </c>
      <c r="DH3" s="72" t="s">
        <v>44</v>
      </c>
      <c r="DI3" s="72">
        <v>1</v>
      </c>
      <c r="DJ3" s="72" t="s">
        <v>43</v>
      </c>
      <c r="DK3" s="72">
        <v>0.87</v>
      </c>
      <c r="DL3" s="72" t="s">
        <v>44</v>
      </c>
      <c r="DM3" s="400" t="s">
        <v>44</v>
      </c>
      <c r="DN3" s="91">
        <v>0.01</v>
      </c>
      <c r="DO3" s="400" t="s">
        <v>44</v>
      </c>
      <c r="DP3" s="91">
        <v>0.01</v>
      </c>
      <c r="DQ3" s="400" t="s">
        <v>43</v>
      </c>
      <c r="DR3" s="434">
        <v>1.12</v>
      </c>
      <c r="DS3" s="401" t="s">
        <v>45</v>
      </c>
      <c r="DT3" s="62" t="s">
        <v>372</v>
      </c>
      <c r="DU3" s="62">
        <v>0.88</v>
      </c>
      <c r="DV3" s="62" t="s">
        <v>372</v>
      </c>
      <c r="DW3" s="62">
        <v>0.91</v>
      </c>
      <c r="DX3" s="62" t="s">
        <v>372</v>
      </c>
      <c r="DY3" s="441">
        <v>0.91</v>
      </c>
      <c r="DZ3" s="401" t="s">
        <v>44</v>
      </c>
      <c r="EA3" s="401">
        <v>1</v>
      </c>
      <c r="EB3" s="401" t="s">
        <v>43</v>
      </c>
      <c r="EC3" s="401">
        <v>1.09</v>
      </c>
      <c r="ED3" s="401" t="s">
        <v>47</v>
      </c>
      <c r="EE3" s="401">
        <v>1</v>
      </c>
      <c r="EF3" s="401" t="s">
        <v>46</v>
      </c>
      <c r="EG3" s="99">
        <f t="shared" si="21"/>
        <v>5.193518448381484E-05</v>
      </c>
      <c r="EH3" s="99">
        <v>2.94</v>
      </c>
      <c r="EI3" s="99">
        <v>0.91</v>
      </c>
      <c r="EJ3" s="99">
        <f t="shared" si="22"/>
        <v>24.01</v>
      </c>
      <c r="EK3" s="99">
        <f aca="true" t="shared" si="36" ref="EK3:EK74">EI3+0.01*EJ3</f>
        <v>1.1501000000000001</v>
      </c>
      <c r="EL3" s="444">
        <f t="shared" si="23"/>
        <v>59890.171337399996</v>
      </c>
      <c r="EM3" s="444">
        <f aca="true" t="shared" si="37" ref="EM3:EM74">POWER(EL3,EK3)</f>
        <v>312202.6782960583</v>
      </c>
      <c r="EN3" s="708">
        <f aca="true" t="shared" si="38" ref="EN3:EN74">EH3*EM3*EG3</f>
        <v>47.670052859321835</v>
      </c>
      <c r="EO3" s="99">
        <f t="shared" si="24"/>
        <v>1500</v>
      </c>
      <c r="EP3" s="444">
        <f t="shared" si="25"/>
        <v>12</v>
      </c>
      <c r="EQ3" s="444">
        <f aca="true" t="shared" si="39" ref="EQ3:EQ74">0.28+0.2*0.01*EJ3</f>
        <v>0.32802000000000003</v>
      </c>
      <c r="ER3" s="444">
        <f aca="true" t="shared" si="40" ref="ER3:ER74">1/EQ3</f>
        <v>3.0485945978903723</v>
      </c>
      <c r="ES3" s="444">
        <f aca="true" t="shared" si="41" ref="ES3:ES74">(EP3/3.67)</f>
        <v>3.2697547683923704</v>
      </c>
      <c r="ET3" s="444">
        <f aca="true" t="shared" si="42" ref="ET3:ET74">POWER(ES3,ER3)</f>
        <v>37.029530339715386</v>
      </c>
      <c r="EU3" s="708">
        <f aca="true" t="shared" si="43" ref="EU3:EU74">ET3</f>
        <v>37.029530339715386</v>
      </c>
      <c r="EV3" s="99">
        <f aca="true" t="shared" si="44" ref="EV3:EV74">AR3</f>
        <v>6030</v>
      </c>
      <c r="EW3" s="444">
        <f aca="true" t="shared" si="45" ref="EW3:EW74">AU3</f>
        <v>16064.57388888889</v>
      </c>
      <c r="EX3" s="712"/>
      <c r="EY3" s="99"/>
      <c r="EZ3" s="99"/>
      <c r="FA3" s="99"/>
      <c r="FB3" s="99"/>
      <c r="FC3" s="99"/>
      <c r="FD3" s="99"/>
      <c r="FE3" s="99"/>
      <c r="FF3" s="99"/>
      <c r="FG3" s="99"/>
      <c r="FH3" s="99"/>
      <c r="FI3" s="99"/>
      <c r="FJ3" s="99"/>
      <c r="FK3" s="99"/>
      <c r="FL3" s="99"/>
      <c r="FM3" s="99"/>
      <c r="FN3" s="99"/>
      <c r="FO3" s="385"/>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385"/>
    </row>
    <row r="4" spans="1:229" s="36" customFormat="1" ht="18.75" customHeight="1">
      <c r="A4" s="60" t="s">
        <v>58</v>
      </c>
      <c r="B4" s="60" t="s">
        <v>58</v>
      </c>
      <c r="C4" s="75" t="s">
        <v>190</v>
      </c>
      <c r="D4" s="60">
        <v>1</v>
      </c>
      <c r="E4" s="371" t="s">
        <v>41</v>
      </c>
      <c r="F4" s="63" t="s">
        <v>40</v>
      </c>
      <c r="G4" s="64">
        <v>1500</v>
      </c>
      <c r="H4" s="64">
        <v>625</v>
      </c>
      <c r="I4" s="94">
        <f t="shared" si="0"/>
        <v>0.5833333333333334</v>
      </c>
      <c r="J4" s="61">
        <v>125</v>
      </c>
      <c r="K4" s="65">
        <v>3459.16</v>
      </c>
      <c r="L4" s="93">
        <f t="shared" si="1"/>
        <v>41929.2047836</v>
      </c>
      <c r="M4" s="93">
        <f t="shared" si="2"/>
        <v>34591.6</v>
      </c>
      <c r="N4" s="93">
        <f t="shared" si="3"/>
        <v>7337.6047836</v>
      </c>
      <c r="O4" s="94">
        <f t="shared" si="4"/>
        <v>37992.05245441996</v>
      </c>
      <c r="P4" s="93">
        <f t="shared" si="26"/>
        <v>37.992052454419955</v>
      </c>
      <c r="Q4" s="94">
        <f t="shared" si="27"/>
        <v>1048.23011959</v>
      </c>
      <c r="R4" s="105">
        <v>10</v>
      </c>
      <c r="S4" s="91">
        <f t="shared" si="5"/>
        <v>4192.92047836</v>
      </c>
      <c r="T4" s="62">
        <v>4</v>
      </c>
      <c r="U4" s="62">
        <v>1.5</v>
      </c>
      <c r="V4" s="62">
        <f t="shared" si="6"/>
        <v>0.061</v>
      </c>
      <c r="W4" s="62">
        <v>1</v>
      </c>
      <c r="X4" s="92">
        <f>S4*V4*W4</f>
        <v>255.76814917995998</v>
      </c>
      <c r="Y4" s="323">
        <v>8</v>
      </c>
      <c r="Z4" s="92">
        <f t="shared" si="7"/>
        <v>3039.3641963535965</v>
      </c>
      <c r="AA4" s="62">
        <v>10</v>
      </c>
      <c r="AB4" s="91">
        <f t="shared" si="8"/>
        <v>3799.205245441996</v>
      </c>
      <c r="AC4" s="62" t="s">
        <v>44</v>
      </c>
      <c r="AD4" s="62">
        <v>30</v>
      </c>
      <c r="AE4" s="326" t="s">
        <v>42</v>
      </c>
      <c r="AF4" s="62">
        <v>1</v>
      </c>
      <c r="AG4" s="92">
        <f>AB4*(1+(AD4/100)*AF4)</f>
        <v>4938.966819074595</v>
      </c>
      <c r="AH4" s="92">
        <f t="shared" si="9"/>
        <v>10867.5</v>
      </c>
      <c r="AI4" s="92">
        <f>AU4*AK4</f>
        <v>24235.875</v>
      </c>
      <c r="AJ4" s="107">
        <f t="shared" si="28"/>
        <v>-1.2301242236024845</v>
      </c>
      <c r="AK4" s="95">
        <v>5</v>
      </c>
      <c r="AL4" s="96">
        <v>28</v>
      </c>
      <c r="AM4" s="378">
        <f t="shared" si="10"/>
        <v>1.449</v>
      </c>
      <c r="AN4" s="108">
        <f t="shared" si="11"/>
        <v>7.75548</v>
      </c>
      <c r="AO4" s="110">
        <f t="shared" si="29"/>
        <v>-4.352298136645963</v>
      </c>
      <c r="AP4" s="729">
        <v>354.5</v>
      </c>
      <c r="AQ4" s="732">
        <v>1819</v>
      </c>
      <c r="AR4" s="64">
        <f t="shared" si="12"/>
        <v>2173.5</v>
      </c>
      <c r="AS4" s="67">
        <v>1478.1750000000004</v>
      </c>
      <c r="AT4" s="84">
        <v>3369</v>
      </c>
      <c r="AU4" s="97">
        <f t="shared" si="13"/>
        <v>4847.175</v>
      </c>
      <c r="AV4" s="94">
        <f>(AU4-AR4)/AU4</f>
        <v>0.5515944854477093</v>
      </c>
      <c r="AW4" s="93">
        <f>37.5+23.6</f>
        <v>61.1</v>
      </c>
      <c r="AX4" s="94">
        <f t="shared" si="30"/>
        <v>6.11</v>
      </c>
      <c r="AY4" s="69">
        <v>3</v>
      </c>
      <c r="AZ4" s="69">
        <v>30</v>
      </c>
      <c r="BA4" s="61">
        <v>12.5</v>
      </c>
      <c r="BB4" s="61">
        <v>9</v>
      </c>
      <c r="BC4" s="69">
        <v>40</v>
      </c>
      <c r="BD4" s="96">
        <f t="shared" si="14"/>
        <v>17.479665265433614</v>
      </c>
      <c r="BE4" s="61">
        <v>0</v>
      </c>
      <c r="BF4" s="61">
        <v>0</v>
      </c>
      <c r="BG4" s="66">
        <f t="shared" si="31"/>
        <v>0</v>
      </c>
      <c r="BH4" s="62">
        <v>59</v>
      </c>
      <c r="BI4" s="62">
        <v>31</v>
      </c>
      <c r="BJ4" s="92">
        <f t="shared" si="32"/>
        <v>28</v>
      </c>
      <c r="BK4" s="61">
        <v>0</v>
      </c>
      <c r="BL4" s="61">
        <v>0</v>
      </c>
      <c r="BM4" s="105">
        <f t="shared" si="33"/>
        <v>0</v>
      </c>
      <c r="BN4" s="96">
        <f t="shared" si="34"/>
        <v>0.0015529563734621554</v>
      </c>
      <c r="BO4" s="70">
        <v>106</v>
      </c>
      <c r="BP4" s="113">
        <v>20</v>
      </c>
      <c r="BQ4" s="61">
        <v>0</v>
      </c>
      <c r="BR4" s="96">
        <f t="shared" si="15"/>
        <v>0.7468354430379747</v>
      </c>
      <c r="BS4" s="96">
        <f t="shared" si="16"/>
        <v>74.68354430379746</v>
      </c>
      <c r="BT4" s="96">
        <f t="shared" si="17"/>
        <v>0.5254237288135594</v>
      </c>
      <c r="BU4" s="61">
        <f t="shared" si="35"/>
        <v>5</v>
      </c>
      <c r="BV4" s="65">
        <v>58</v>
      </c>
      <c r="BW4" s="65">
        <v>58</v>
      </c>
      <c r="BX4" s="65">
        <f t="shared" si="18"/>
        <v>1</v>
      </c>
      <c r="BY4" s="61">
        <f t="shared" si="19"/>
        <v>4.64</v>
      </c>
      <c r="BZ4" s="71">
        <f t="shared" si="20"/>
        <v>0.07999999999999999</v>
      </c>
      <c r="CA4" s="579"/>
      <c r="CB4" s="579"/>
      <c r="CC4" s="65">
        <v>152</v>
      </c>
      <c r="CD4" s="100">
        <v>65</v>
      </c>
      <c r="CE4" s="105">
        <v>0</v>
      </c>
      <c r="CF4" s="102">
        <v>100</v>
      </c>
      <c r="CG4" s="61">
        <v>9</v>
      </c>
      <c r="CH4" s="61">
        <v>6</v>
      </c>
      <c r="CI4" s="66">
        <f>SUM(CG4,CH4)</f>
        <v>15</v>
      </c>
      <c r="CJ4" s="61">
        <v>5</v>
      </c>
      <c r="CK4" s="397" t="s">
        <v>46</v>
      </c>
      <c r="CL4" s="397">
        <v>6.2</v>
      </c>
      <c r="CM4" s="62" t="s">
        <v>42</v>
      </c>
      <c r="CN4" s="62">
        <v>0</v>
      </c>
      <c r="CO4" s="62" t="s">
        <v>369</v>
      </c>
      <c r="CP4" s="62">
        <v>7.07</v>
      </c>
      <c r="CQ4" s="62" t="s">
        <v>45</v>
      </c>
      <c r="CR4" s="62">
        <v>1.1</v>
      </c>
      <c r="CS4" s="60" t="s">
        <v>58</v>
      </c>
      <c r="CT4" s="62" t="s">
        <v>370</v>
      </c>
      <c r="CU4" s="427">
        <v>7.8</v>
      </c>
      <c r="CV4" s="398" t="s">
        <v>43</v>
      </c>
      <c r="CW4" s="398">
        <v>0.92</v>
      </c>
      <c r="CX4" s="777" t="s">
        <v>43</v>
      </c>
      <c r="CY4" s="777">
        <v>0.9</v>
      </c>
      <c r="CZ4" s="399" t="s">
        <v>47</v>
      </c>
      <c r="DA4" s="399">
        <v>1.07</v>
      </c>
      <c r="DB4" s="398" t="s">
        <v>369</v>
      </c>
      <c r="DC4" s="398">
        <v>0.81</v>
      </c>
      <c r="DD4" s="397" t="s">
        <v>371</v>
      </c>
      <c r="DE4" s="397">
        <v>0.87</v>
      </c>
      <c r="DF4" s="72" t="s">
        <v>44</v>
      </c>
      <c r="DG4" s="72">
        <v>1</v>
      </c>
      <c r="DH4" s="72" t="s">
        <v>44</v>
      </c>
      <c r="DI4" s="72">
        <v>1</v>
      </c>
      <c r="DJ4" s="72" t="s">
        <v>43</v>
      </c>
      <c r="DK4" s="72">
        <v>0.87</v>
      </c>
      <c r="DL4" s="72" t="s">
        <v>44</v>
      </c>
      <c r="DM4" s="400" t="s">
        <v>44</v>
      </c>
      <c r="DN4" s="91">
        <v>0.01</v>
      </c>
      <c r="DO4" s="400" t="s">
        <v>44</v>
      </c>
      <c r="DP4" s="91">
        <v>0.01</v>
      </c>
      <c r="DQ4" s="400" t="s">
        <v>43</v>
      </c>
      <c r="DR4" s="434">
        <v>1.12</v>
      </c>
      <c r="DS4" s="401" t="s">
        <v>45</v>
      </c>
      <c r="DT4" s="62" t="s">
        <v>372</v>
      </c>
      <c r="DU4" s="62">
        <v>0.88</v>
      </c>
      <c r="DV4" s="62" t="s">
        <v>372</v>
      </c>
      <c r="DW4" s="62">
        <v>0.91</v>
      </c>
      <c r="DX4" s="62" t="s">
        <v>372</v>
      </c>
      <c r="DY4" s="441">
        <v>0.91</v>
      </c>
      <c r="DZ4" s="401" t="s">
        <v>44</v>
      </c>
      <c r="EA4" s="401">
        <v>1</v>
      </c>
      <c r="EB4" s="401" t="s">
        <v>43</v>
      </c>
      <c r="EC4" s="401">
        <v>1.09</v>
      </c>
      <c r="ED4" s="401" t="s">
        <v>47</v>
      </c>
      <c r="EE4" s="401">
        <v>1</v>
      </c>
      <c r="EF4" s="401" t="s">
        <v>46</v>
      </c>
      <c r="EG4" s="99">
        <f t="shared" si="21"/>
        <v>4.832230208494077E-05</v>
      </c>
      <c r="EH4" s="99">
        <v>2.94</v>
      </c>
      <c r="EI4" s="99">
        <v>0.91</v>
      </c>
      <c r="EJ4" s="99">
        <f t="shared" si="22"/>
        <v>24.01</v>
      </c>
      <c r="EK4" s="99">
        <f t="shared" si="36"/>
        <v>1.1501000000000001</v>
      </c>
      <c r="EL4" s="444">
        <f t="shared" si="23"/>
        <v>41929.2047836</v>
      </c>
      <c r="EM4" s="444">
        <f t="shared" si="37"/>
        <v>207184.07527595916</v>
      </c>
      <c r="EN4" s="708">
        <f t="shared" si="38"/>
        <v>29.43413772966158</v>
      </c>
      <c r="EO4" s="99">
        <f t="shared" si="24"/>
        <v>1500</v>
      </c>
      <c r="EP4" s="444">
        <f t="shared" si="25"/>
        <v>12</v>
      </c>
      <c r="EQ4" s="444">
        <f t="shared" si="39"/>
        <v>0.32802000000000003</v>
      </c>
      <c r="ER4" s="444">
        <f t="shared" si="40"/>
        <v>3.0485945978903723</v>
      </c>
      <c r="ES4" s="444">
        <f t="shared" si="41"/>
        <v>3.2697547683923704</v>
      </c>
      <c r="ET4" s="444">
        <f t="shared" si="42"/>
        <v>37.029530339715386</v>
      </c>
      <c r="EU4" s="708">
        <f t="shared" si="43"/>
        <v>37.029530339715386</v>
      </c>
      <c r="EV4" s="99">
        <f t="shared" si="44"/>
        <v>2173.5</v>
      </c>
      <c r="EW4" s="444">
        <f t="shared" si="45"/>
        <v>4847.175</v>
      </c>
      <c r="EX4" s="712"/>
      <c r="EY4" s="99"/>
      <c r="EZ4" s="99"/>
      <c r="FA4" s="99"/>
      <c r="FB4" s="99"/>
      <c r="FC4" s="99"/>
      <c r="FD4" s="99"/>
      <c r="FE4" s="99"/>
      <c r="FF4" s="99"/>
      <c r="FG4" s="99"/>
      <c r="FH4" s="99"/>
      <c r="FI4" s="99"/>
      <c r="FJ4" s="99"/>
      <c r="FK4" s="99"/>
      <c r="FL4" s="99"/>
      <c r="FM4" s="99"/>
      <c r="FN4" s="99"/>
      <c r="FO4" s="385"/>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385"/>
    </row>
    <row r="5" spans="1:229" s="36" customFormat="1" ht="18.75" customHeight="1">
      <c r="A5" s="60" t="s">
        <v>59</v>
      </c>
      <c r="B5" s="60" t="s">
        <v>59</v>
      </c>
      <c r="C5" s="75" t="s">
        <v>190</v>
      </c>
      <c r="D5" s="312">
        <v>1</v>
      </c>
      <c r="E5" s="371" t="s">
        <v>41</v>
      </c>
      <c r="F5" s="63" t="s">
        <v>40</v>
      </c>
      <c r="G5" s="64">
        <v>1500</v>
      </c>
      <c r="H5" s="64">
        <v>625</v>
      </c>
      <c r="I5" s="94">
        <f t="shared" si="0"/>
        <v>0.5833333333333334</v>
      </c>
      <c r="J5" s="61">
        <v>125</v>
      </c>
      <c r="K5" s="65">
        <v>3632.52</v>
      </c>
      <c r="L5" s="93">
        <f t="shared" si="1"/>
        <v>44030.5377492</v>
      </c>
      <c r="M5" s="93">
        <f t="shared" si="2"/>
        <v>36325.2</v>
      </c>
      <c r="N5" s="93">
        <f t="shared" si="3"/>
        <v>7705.3377492</v>
      </c>
      <c r="O5" s="94">
        <f t="shared" si="4"/>
        <v>39896.07025455012</v>
      </c>
      <c r="P5" s="93">
        <f t="shared" si="26"/>
        <v>39.89607025455012</v>
      </c>
      <c r="Q5" s="94">
        <f t="shared" si="27"/>
        <v>1100.7634437299998</v>
      </c>
      <c r="R5" s="105">
        <v>10</v>
      </c>
      <c r="S5" s="91">
        <f t="shared" si="5"/>
        <v>4403.05377492</v>
      </c>
      <c r="T5" s="62">
        <v>4</v>
      </c>
      <c r="U5" s="62">
        <v>1.5</v>
      </c>
      <c r="V5" s="62">
        <f t="shared" si="6"/>
        <v>0.061</v>
      </c>
      <c r="W5" s="62">
        <v>1</v>
      </c>
      <c r="X5" s="92">
        <f aca="true" t="shared" si="46" ref="X5:X25">S5*V5*W5</f>
        <v>268.58628027012</v>
      </c>
      <c r="Y5" s="323">
        <v>8</v>
      </c>
      <c r="Z5" s="92">
        <f t="shared" si="7"/>
        <v>3191.6856203640095</v>
      </c>
      <c r="AA5" s="62">
        <v>10</v>
      </c>
      <c r="AB5" s="91">
        <f t="shared" si="8"/>
        <v>3989.6070254550123</v>
      </c>
      <c r="AC5" s="62" t="s">
        <v>44</v>
      </c>
      <c r="AD5" s="62">
        <v>30</v>
      </c>
      <c r="AE5" s="326" t="s">
        <v>42</v>
      </c>
      <c r="AF5" s="62">
        <v>1</v>
      </c>
      <c r="AG5" s="92">
        <f aca="true" t="shared" si="47" ref="AG5:AG25">AB5*(1+(AD5/100)*AF5)</f>
        <v>5186.489133091516</v>
      </c>
      <c r="AH5" s="92">
        <f t="shared" si="9"/>
        <v>12020</v>
      </c>
      <c r="AI5" s="92">
        <f aca="true" t="shared" si="48" ref="AI5:AI25">AU5*AK5</f>
        <v>18844.045833333334</v>
      </c>
      <c r="AJ5" s="107">
        <f t="shared" si="28"/>
        <v>-0.5677242789794786</v>
      </c>
      <c r="AK5" s="95">
        <v>5</v>
      </c>
      <c r="AL5" s="96">
        <v>28</v>
      </c>
      <c r="AM5" s="378">
        <f t="shared" si="10"/>
        <v>1.6026666666666667</v>
      </c>
      <c r="AN5" s="108">
        <f t="shared" si="11"/>
        <v>6.030094666666667</v>
      </c>
      <c r="AO5" s="110">
        <f t="shared" si="29"/>
        <v>-2.7625382695507485</v>
      </c>
      <c r="AP5" s="729">
        <v>65</v>
      </c>
      <c r="AQ5" s="733">
        <v>2339</v>
      </c>
      <c r="AR5" s="64">
        <f t="shared" si="12"/>
        <v>2404</v>
      </c>
      <c r="AS5" s="67">
        <v>401.8091666666668</v>
      </c>
      <c r="AT5" s="68">
        <v>3367</v>
      </c>
      <c r="AU5" s="97">
        <f t="shared" si="13"/>
        <v>3768.809166666667</v>
      </c>
      <c r="AV5" s="94">
        <f aca="true" t="shared" si="49" ref="AV5:AV25">(AU5-AR5)/AU5</f>
        <v>0.36213273379234956</v>
      </c>
      <c r="AW5" s="93">
        <f>37.5+23.7</f>
        <v>61.2</v>
      </c>
      <c r="AX5" s="94">
        <f t="shared" si="30"/>
        <v>6.120000000000001</v>
      </c>
      <c r="AY5" s="69">
        <v>3</v>
      </c>
      <c r="AZ5" s="69">
        <v>30</v>
      </c>
      <c r="BA5" s="61">
        <v>12.5</v>
      </c>
      <c r="BB5" s="61">
        <v>9</v>
      </c>
      <c r="BC5" s="69">
        <v>30</v>
      </c>
      <c r="BD5" s="96">
        <f t="shared" si="14"/>
        <v>16.595703100894394</v>
      </c>
      <c r="BE5" s="61">
        <v>0</v>
      </c>
      <c r="BF5" s="61">
        <v>0</v>
      </c>
      <c r="BG5" s="66">
        <f t="shared" si="31"/>
        <v>0</v>
      </c>
      <c r="BH5" s="62">
        <v>236</v>
      </c>
      <c r="BI5" s="62">
        <v>143</v>
      </c>
      <c r="BJ5" s="92">
        <f t="shared" si="32"/>
        <v>93</v>
      </c>
      <c r="BK5" s="61">
        <v>0</v>
      </c>
      <c r="BL5" s="61">
        <v>0</v>
      </c>
      <c r="BM5" s="105">
        <f t="shared" si="33"/>
        <v>0</v>
      </c>
      <c r="BN5" s="96">
        <f t="shared" si="34"/>
        <v>0.005915369571344796</v>
      </c>
      <c r="BO5" s="70">
        <v>23</v>
      </c>
      <c r="BP5" s="113">
        <v>2</v>
      </c>
      <c r="BQ5" s="61">
        <v>0</v>
      </c>
      <c r="BR5" s="96">
        <f t="shared" si="15"/>
        <v>0.9915966386554622</v>
      </c>
      <c r="BS5" s="96">
        <f t="shared" si="16"/>
        <v>99.15966386554622</v>
      </c>
      <c r="BT5" s="96">
        <f t="shared" si="17"/>
        <v>0.6059322033898306</v>
      </c>
      <c r="BU5" s="61">
        <f t="shared" si="35"/>
        <v>5</v>
      </c>
      <c r="BV5" s="65">
        <v>59</v>
      </c>
      <c r="BW5" s="65">
        <v>59</v>
      </c>
      <c r="BX5" s="65">
        <f t="shared" si="18"/>
        <v>1</v>
      </c>
      <c r="BY5" s="61">
        <f t="shared" si="19"/>
        <v>4.72</v>
      </c>
      <c r="BZ5" s="71">
        <f t="shared" si="20"/>
        <v>0.08</v>
      </c>
      <c r="CA5" s="579"/>
      <c r="CB5" s="579"/>
      <c r="CC5" s="65">
        <v>39</v>
      </c>
      <c r="CD5" s="100">
        <v>65</v>
      </c>
      <c r="CE5" s="105">
        <v>0</v>
      </c>
      <c r="CF5" s="102">
        <v>100</v>
      </c>
      <c r="CG5" s="61">
        <v>9</v>
      </c>
      <c r="CH5" s="61">
        <v>6</v>
      </c>
      <c r="CI5" s="66">
        <f aca="true" t="shared" si="50" ref="CI5:CI25">SUM(CG5,CH5)</f>
        <v>15</v>
      </c>
      <c r="CJ5" s="61">
        <v>5</v>
      </c>
      <c r="CK5" s="397" t="s">
        <v>43</v>
      </c>
      <c r="CL5" s="397">
        <v>4.96</v>
      </c>
      <c r="CM5" s="62" t="s">
        <v>42</v>
      </c>
      <c r="CN5" s="62">
        <v>0</v>
      </c>
      <c r="CO5" s="62" t="s">
        <v>369</v>
      </c>
      <c r="CP5" s="62">
        <v>7.07</v>
      </c>
      <c r="CQ5" s="62" t="s">
        <v>45</v>
      </c>
      <c r="CR5" s="62">
        <v>1.1</v>
      </c>
      <c r="CS5" s="60" t="s">
        <v>59</v>
      </c>
      <c r="CT5" s="62" t="s">
        <v>370</v>
      </c>
      <c r="CU5" s="427">
        <v>7.8</v>
      </c>
      <c r="CV5" s="398" t="s">
        <v>43</v>
      </c>
      <c r="CW5" s="398">
        <v>0.92</v>
      </c>
      <c r="CX5" s="777" t="s">
        <v>47</v>
      </c>
      <c r="CY5" s="777">
        <v>1.14</v>
      </c>
      <c r="CZ5" s="399" t="s">
        <v>45</v>
      </c>
      <c r="DA5" s="399">
        <v>1.15</v>
      </c>
      <c r="DB5" s="398" t="s">
        <v>43</v>
      </c>
      <c r="DC5" s="398">
        <v>0.91</v>
      </c>
      <c r="DD5" s="397" t="s">
        <v>371</v>
      </c>
      <c r="DE5" s="397">
        <v>0.87</v>
      </c>
      <c r="DF5" s="72" t="s">
        <v>44</v>
      </c>
      <c r="DG5" s="72">
        <v>1</v>
      </c>
      <c r="DH5" s="72" t="s">
        <v>44</v>
      </c>
      <c r="DI5" s="72">
        <v>1</v>
      </c>
      <c r="DJ5" s="72" t="s">
        <v>43</v>
      </c>
      <c r="DK5" s="72">
        <v>0.87</v>
      </c>
      <c r="DL5" s="72" t="s">
        <v>44</v>
      </c>
      <c r="DM5" s="400" t="s">
        <v>44</v>
      </c>
      <c r="DN5" s="91">
        <v>0.01</v>
      </c>
      <c r="DO5" s="400" t="s">
        <v>44</v>
      </c>
      <c r="DP5" s="91">
        <v>0.01</v>
      </c>
      <c r="DQ5" s="400" t="s">
        <v>43</v>
      </c>
      <c r="DR5" s="434">
        <v>1.12</v>
      </c>
      <c r="DS5" s="401" t="s">
        <v>45</v>
      </c>
      <c r="DT5" s="62" t="s">
        <v>372</v>
      </c>
      <c r="DU5" s="62">
        <v>0.88</v>
      </c>
      <c r="DV5" s="62" t="s">
        <v>372</v>
      </c>
      <c r="DW5" s="62">
        <v>0.91</v>
      </c>
      <c r="DX5" s="62" t="s">
        <v>372</v>
      </c>
      <c r="DY5" s="441">
        <v>0.91</v>
      </c>
      <c r="DZ5" s="401" t="s">
        <v>44</v>
      </c>
      <c r="EA5" s="401">
        <v>1</v>
      </c>
      <c r="EB5" s="401" t="s">
        <v>43</v>
      </c>
      <c r="EC5" s="401">
        <v>1.09</v>
      </c>
      <c r="ED5" s="401" t="s">
        <v>47</v>
      </c>
      <c r="EE5" s="401">
        <v>1</v>
      </c>
      <c r="EF5" s="401" t="s">
        <v>46</v>
      </c>
      <c r="EG5" s="99">
        <f t="shared" si="21"/>
        <v>7.39061184958978E-05</v>
      </c>
      <c r="EH5" s="99">
        <v>2.94</v>
      </c>
      <c r="EI5" s="99">
        <v>0.91</v>
      </c>
      <c r="EJ5" s="99">
        <f t="shared" si="22"/>
        <v>22.770000000000003</v>
      </c>
      <c r="EK5" s="99">
        <f t="shared" si="36"/>
        <v>1.1377000000000002</v>
      </c>
      <c r="EL5" s="444">
        <f t="shared" si="23"/>
        <v>44030.5377492</v>
      </c>
      <c r="EM5" s="444">
        <f t="shared" si="37"/>
        <v>191954.7723438879</v>
      </c>
      <c r="EN5" s="708">
        <f t="shared" si="38"/>
        <v>41.70869852305936</v>
      </c>
      <c r="EO5" s="99">
        <f t="shared" si="24"/>
        <v>1500</v>
      </c>
      <c r="EP5" s="444">
        <f t="shared" si="25"/>
        <v>12</v>
      </c>
      <c r="EQ5" s="444">
        <f t="shared" si="39"/>
        <v>0.32554000000000005</v>
      </c>
      <c r="ER5" s="444">
        <f t="shared" si="40"/>
        <v>3.071819131289549</v>
      </c>
      <c r="ES5" s="444">
        <f t="shared" si="41"/>
        <v>3.2697547683923704</v>
      </c>
      <c r="ET5" s="444">
        <f t="shared" si="42"/>
        <v>38.06252355834696</v>
      </c>
      <c r="EU5" s="708">
        <f t="shared" si="43"/>
        <v>38.06252355834696</v>
      </c>
      <c r="EV5" s="99">
        <f t="shared" si="44"/>
        <v>2404</v>
      </c>
      <c r="EW5" s="444">
        <f t="shared" si="45"/>
        <v>3768.809166666667</v>
      </c>
      <c r="EX5" s="712"/>
      <c r="EY5" s="99"/>
      <c r="EZ5" s="99"/>
      <c r="FA5" s="99"/>
      <c r="FB5" s="99"/>
      <c r="FC5" s="99"/>
      <c r="FD5" s="99"/>
      <c r="FE5" s="99"/>
      <c r="FF5" s="99"/>
      <c r="FG5" s="99"/>
      <c r="FH5" s="99"/>
      <c r="FI5" s="99"/>
      <c r="FJ5" s="99"/>
      <c r="FK5" s="99"/>
      <c r="FL5" s="99"/>
      <c r="FM5" s="99"/>
      <c r="FN5" s="99"/>
      <c r="FO5" s="385"/>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385"/>
    </row>
    <row r="6" spans="1:229" s="36" customFormat="1" ht="16.5" customHeight="1">
      <c r="A6" s="60" t="s">
        <v>60</v>
      </c>
      <c r="B6" s="60" t="s">
        <v>60</v>
      </c>
      <c r="C6" s="75" t="s">
        <v>190</v>
      </c>
      <c r="D6" s="312">
        <v>1</v>
      </c>
      <c r="E6" s="371" t="s">
        <v>41</v>
      </c>
      <c r="F6" s="63" t="s">
        <v>40</v>
      </c>
      <c r="G6" s="64">
        <v>1500</v>
      </c>
      <c r="H6" s="64">
        <v>625</v>
      </c>
      <c r="I6" s="94">
        <f t="shared" si="0"/>
        <v>0.5833333333333334</v>
      </c>
      <c r="J6" s="61">
        <v>125</v>
      </c>
      <c r="K6" s="65">
        <v>940.56</v>
      </c>
      <c r="L6" s="93">
        <f t="shared" si="1"/>
        <v>11400.725277599999</v>
      </c>
      <c r="M6" s="93">
        <f t="shared" si="2"/>
        <v>9405.599999999999</v>
      </c>
      <c r="N6" s="93">
        <f t="shared" si="3"/>
        <v>1995.1252775999997</v>
      </c>
      <c r="O6" s="94">
        <f t="shared" si="4"/>
        <v>10330.19717403336</v>
      </c>
      <c r="P6" s="93">
        <f t="shared" si="26"/>
        <v>10.330197174033358</v>
      </c>
      <c r="Q6" s="94">
        <f t="shared" si="27"/>
        <v>285.01813194</v>
      </c>
      <c r="R6" s="105">
        <v>10</v>
      </c>
      <c r="S6" s="91">
        <f t="shared" si="5"/>
        <v>1140.07252776</v>
      </c>
      <c r="T6" s="62">
        <v>4</v>
      </c>
      <c r="U6" s="62">
        <v>1.5</v>
      </c>
      <c r="V6" s="62">
        <f t="shared" si="6"/>
        <v>0.061</v>
      </c>
      <c r="W6" s="62">
        <v>1</v>
      </c>
      <c r="X6" s="92">
        <f t="shared" si="46"/>
        <v>69.54442419336</v>
      </c>
      <c r="Y6" s="323">
        <v>8</v>
      </c>
      <c r="Z6" s="92">
        <f t="shared" si="7"/>
        <v>826.4157739226688</v>
      </c>
      <c r="AA6" s="62">
        <v>10</v>
      </c>
      <c r="AB6" s="91">
        <f t="shared" si="8"/>
        <v>1033.019717403336</v>
      </c>
      <c r="AC6" s="62" t="s">
        <v>44</v>
      </c>
      <c r="AD6" s="62">
        <v>30</v>
      </c>
      <c r="AE6" s="326" t="s">
        <v>42</v>
      </c>
      <c r="AF6" s="62">
        <v>1</v>
      </c>
      <c r="AG6" s="92">
        <f t="shared" si="47"/>
        <v>1342.925632624337</v>
      </c>
      <c r="AH6" s="92">
        <f t="shared" si="9"/>
        <v>6838</v>
      </c>
      <c r="AI6" s="92">
        <f t="shared" si="48"/>
        <v>6336.527777777778</v>
      </c>
      <c r="AJ6" s="107">
        <f t="shared" si="28"/>
        <v>0.07333609567449864</v>
      </c>
      <c r="AK6" s="95">
        <v>5</v>
      </c>
      <c r="AL6" s="96">
        <v>28</v>
      </c>
      <c r="AM6" s="378">
        <f t="shared" si="10"/>
        <v>0.9117333333333333</v>
      </c>
      <c r="AN6" s="108">
        <f t="shared" si="11"/>
        <v>2.027688888888889</v>
      </c>
      <c r="AO6" s="110">
        <f t="shared" si="29"/>
        <v>-1.2239933703812034</v>
      </c>
      <c r="AP6" s="729">
        <v>33.6</v>
      </c>
      <c r="AQ6" s="733">
        <v>1334</v>
      </c>
      <c r="AR6" s="64">
        <f t="shared" si="12"/>
        <v>1367.6</v>
      </c>
      <c r="AS6" s="67">
        <v>294.3055555555556</v>
      </c>
      <c r="AT6" s="65">
        <v>973</v>
      </c>
      <c r="AU6" s="97">
        <f t="shared" si="13"/>
        <v>1267.3055555555557</v>
      </c>
      <c r="AV6" s="94">
        <f t="shared" si="49"/>
        <v>-0.07913990750279448</v>
      </c>
      <c r="AW6" s="93">
        <f>39.5+18.5</f>
        <v>58</v>
      </c>
      <c r="AX6" s="94">
        <f t="shared" si="30"/>
        <v>5.800000000000001</v>
      </c>
      <c r="AY6" s="69">
        <v>3</v>
      </c>
      <c r="AZ6" s="69">
        <v>30</v>
      </c>
      <c r="BA6" s="61">
        <v>12.5</v>
      </c>
      <c r="BB6" s="61">
        <v>9</v>
      </c>
      <c r="BC6" s="69">
        <v>40</v>
      </c>
      <c r="BD6" s="96">
        <f t="shared" si="14"/>
        <v>7.553522355976426</v>
      </c>
      <c r="BE6" s="61">
        <v>0</v>
      </c>
      <c r="BF6" s="61">
        <v>0</v>
      </c>
      <c r="BG6" s="66">
        <f t="shared" si="31"/>
        <v>0</v>
      </c>
      <c r="BH6" s="62">
        <v>214</v>
      </c>
      <c r="BI6" s="62">
        <v>153</v>
      </c>
      <c r="BJ6" s="92">
        <f t="shared" si="32"/>
        <v>61</v>
      </c>
      <c r="BK6" s="61">
        <v>0</v>
      </c>
      <c r="BL6" s="61">
        <v>0</v>
      </c>
      <c r="BM6" s="105">
        <f t="shared" si="33"/>
        <v>0</v>
      </c>
      <c r="BN6" s="96">
        <f t="shared" si="34"/>
        <v>0.02071596469987272</v>
      </c>
      <c r="BO6" s="70">
        <v>28</v>
      </c>
      <c r="BP6" s="113">
        <v>6</v>
      </c>
      <c r="BQ6" s="61">
        <v>0</v>
      </c>
      <c r="BR6" s="96">
        <f t="shared" si="15"/>
        <v>0.9727272727272728</v>
      </c>
      <c r="BS6" s="96">
        <f t="shared" si="16"/>
        <v>97.27272727272727</v>
      </c>
      <c r="BT6" s="96">
        <f t="shared" si="17"/>
        <v>0.7149532710280374</v>
      </c>
      <c r="BU6" s="61">
        <f t="shared" si="35"/>
        <v>5</v>
      </c>
      <c r="BV6" s="72">
        <v>50</v>
      </c>
      <c r="BW6" s="72">
        <v>50</v>
      </c>
      <c r="BX6" s="65">
        <f t="shared" si="18"/>
        <v>1</v>
      </c>
      <c r="BY6" s="61">
        <f t="shared" si="19"/>
        <v>4</v>
      </c>
      <c r="BZ6" s="71">
        <f t="shared" si="20"/>
        <v>0.08</v>
      </c>
      <c r="CA6" s="579"/>
      <c r="CB6" s="579"/>
      <c r="CC6" s="72">
        <v>41</v>
      </c>
      <c r="CD6" s="100">
        <v>65</v>
      </c>
      <c r="CE6" s="105">
        <v>0</v>
      </c>
      <c r="CF6" s="102">
        <v>100</v>
      </c>
      <c r="CG6" s="61">
        <v>9</v>
      </c>
      <c r="CH6" s="61">
        <v>6</v>
      </c>
      <c r="CI6" s="66">
        <f t="shared" si="50"/>
        <v>15</v>
      </c>
      <c r="CJ6" s="61">
        <v>5</v>
      </c>
      <c r="CK6" s="397" t="s">
        <v>46</v>
      </c>
      <c r="CL6" s="397">
        <v>6.2</v>
      </c>
      <c r="CM6" s="62" t="s">
        <v>42</v>
      </c>
      <c r="CN6" s="62">
        <v>0</v>
      </c>
      <c r="CO6" s="62" t="s">
        <v>369</v>
      </c>
      <c r="CP6" s="62">
        <v>7.07</v>
      </c>
      <c r="CQ6" s="62" t="s">
        <v>45</v>
      </c>
      <c r="CR6" s="62">
        <v>1.1</v>
      </c>
      <c r="CS6" s="60" t="s">
        <v>60</v>
      </c>
      <c r="CT6" s="62" t="s">
        <v>370</v>
      </c>
      <c r="CU6" s="427">
        <v>7.8</v>
      </c>
      <c r="CV6" s="398" t="s">
        <v>43</v>
      </c>
      <c r="CW6" s="398">
        <v>0.92</v>
      </c>
      <c r="CX6" s="777" t="s">
        <v>44</v>
      </c>
      <c r="CY6" s="777">
        <v>1</v>
      </c>
      <c r="CZ6" s="399" t="s">
        <v>45</v>
      </c>
      <c r="DA6" s="399">
        <v>1.15</v>
      </c>
      <c r="DB6" s="398" t="s">
        <v>369</v>
      </c>
      <c r="DC6" s="398">
        <v>0.81</v>
      </c>
      <c r="DD6" s="397" t="s">
        <v>371</v>
      </c>
      <c r="DE6" s="397">
        <v>0.87</v>
      </c>
      <c r="DF6" s="72" t="s">
        <v>44</v>
      </c>
      <c r="DG6" s="72">
        <v>1</v>
      </c>
      <c r="DH6" s="72" t="s">
        <v>44</v>
      </c>
      <c r="DI6" s="72">
        <v>1</v>
      </c>
      <c r="DJ6" s="72" t="s">
        <v>43</v>
      </c>
      <c r="DK6" s="72">
        <v>0.87</v>
      </c>
      <c r="DL6" s="72" t="s">
        <v>44</v>
      </c>
      <c r="DM6" s="400" t="s">
        <v>44</v>
      </c>
      <c r="DN6" s="91">
        <v>0.01</v>
      </c>
      <c r="DO6" s="400" t="s">
        <v>44</v>
      </c>
      <c r="DP6" s="91">
        <v>0.01</v>
      </c>
      <c r="DQ6" s="400" t="s">
        <v>43</v>
      </c>
      <c r="DR6" s="434">
        <v>1.12</v>
      </c>
      <c r="DS6" s="401" t="s">
        <v>45</v>
      </c>
      <c r="DT6" s="62" t="s">
        <v>372</v>
      </c>
      <c r="DU6" s="62">
        <v>0.88</v>
      </c>
      <c r="DV6" s="62" t="s">
        <v>372</v>
      </c>
      <c r="DW6" s="62">
        <v>0.91</v>
      </c>
      <c r="DX6" s="62" t="s">
        <v>372</v>
      </c>
      <c r="DY6" s="441">
        <v>0.91</v>
      </c>
      <c r="DZ6" s="401" t="s">
        <v>44</v>
      </c>
      <c r="EA6" s="401">
        <v>1</v>
      </c>
      <c r="EB6" s="401" t="s">
        <v>43</v>
      </c>
      <c r="EC6" s="401">
        <v>1.09</v>
      </c>
      <c r="ED6" s="401" t="s">
        <v>47</v>
      </c>
      <c r="EE6" s="401">
        <v>1</v>
      </c>
      <c r="EF6" s="401" t="s">
        <v>46</v>
      </c>
      <c r="EG6" s="99">
        <f t="shared" si="21"/>
        <v>5.770576053757204E-05</v>
      </c>
      <c r="EH6" s="99">
        <v>2.94</v>
      </c>
      <c r="EI6" s="99">
        <v>0.91</v>
      </c>
      <c r="EJ6" s="99">
        <f t="shared" si="22"/>
        <v>24.01</v>
      </c>
      <c r="EK6" s="99">
        <f t="shared" si="36"/>
        <v>1.1501000000000001</v>
      </c>
      <c r="EL6" s="444">
        <f t="shared" si="23"/>
        <v>11400.725277599999</v>
      </c>
      <c r="EM6" s="444">
        <f t="shared" si="37"/>
        <v>46331.6797707336</v>
      </c>
      <c r="EN6" s="708">
        <f t="shared" si="38"/>
        <v>7.860398165371065</v>
      </c>
      <c r="EO6" s="99">
        <f t="shared" si="24"/>
        <v>1500</v>
      </c>
      <c r="EP6" s="444">
        <f t="shared" si="25"/>
        <v>12</v>
      </c>
      <c r="EQ6" s="444">
        <f t="shared" si="39"/>
        <v>0.32802000000000003</v>
      </c>
      <c r="ER6" s="444">
        <f t="shared" si="40"/>
        <v>3.0485945978903723</v>
      </c>
      <c r="ES6" s="444">
        <f t="shared" si="41"/>
        <v>3.2697547683923704</v>
      </c>
      <c r="ET6" s="444">
        <f t="shared" si="42"/>
        <v>37.029530339715386</v>
      </c>
      <c r="EU6" s="708">
        <f t="shared" si="43"/>
        <v>37.029530339715386</v>
      </c>
      <c r="EV6" s="99">
        <f t="shared" si="44"/>
        <v>1367.6</v>
      </c>
      <c r="EW6" s="444">
        <f t="shared" si="45"/>
        <v>1267.3055555555557</v>
      </c>
      <c r="EX6" s="712"/>
      <c r="EY6" s="99"/>
      <c r="EZ6" s="99"/>
      <c r="FA6" s="99"/>
      <c r="FB6" s="99"/>
      <c r="FC6" s="99"/>
      <c r="FD6" s="99"/>
      <c r="FE6" s="99"/>
      <c r="FF6" s="99"/>
      <c r="FG6" s="99"/>
      <c r="FH6" s="99"/>
      <c r="FI6" s="99"/>
      <c r="FJ6" s="99"/>
      <c r="FK6" s="99"/>
      <c r="FL6" s="99"/>
      <c r="FM6" s="99"/>
      <c r="FN6" s="99"/>
      <c r="FO6" s="385"/>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385"/>
    </row>
    <row r="7" spans="1:229" s="36" customFormat="1" ht="17.25" customHeight="1">
      <c r="A7" s="60" t="s">
        <v>59</v>
      </c>
      <c r="B7" s="60" t="s">
        <v>59</v>
      </c>
      <c r="C7" s="75" t="s">
        <v>190</v>
      </c>
      <c r="D7" s="313">
        <v>1</v>
      </c>
      <c r="E7" s="371" t="s">
        <v>41</v>
      </c>
      <c r="F7" s="63" t="s">
        <v>40</v>
      </c>
      <c r="G7" s="64">
        <v>1500</v>
      </c>
      <c r="H7" s="64">
        <v>625</v>
      </c>
      <c r="I7" s="94">
        <f t="shared" si="0"/>
        <v>0.5833333333333334</v>
      </c>
      <c r="J7" s="61">
        <v>125</v>
      </c>
      <c r="K7" s="65">
        <v>1189.07</v>
      </c>
      <c r="L7" s="93">
        <f t="shared" si="1"/>
        <v>14412.9671747</v>
      </c>
      <c r="M7" s="93">
        <f t="shared" si="2"/>
        <v>11890.699999999999</v>
      </c>
      <c r="N7" s="93">
        <f t="shared" si="3"/>
        <v>2522.2671747</v>
      </c>
      <c r="O7" s="94">
        <f t="shared" si="4"/>
        <v>13059.589556995668</v>
      </c>
      <c r="P7" s="93">
        <f t="shared" si="26"/>
        <v>13.059589556995668</v>
      </c>
      <c r="Q7" s="94">
        <f t="shared" si="27"/>
        <v>360.3241793675</v>
      </c>
      <c r="R7" s="105">
        <v>10</v>
      </c>
      <c r="S7" s="91">
        <f t="shared" si="5"/>
        <v>1441.29671747</v>
      </c>
      <c r="T7" s="62">
        <v>4</v>
      </c>
      <c r="U7" s="62">
        <v>1.5</v>
      </c>
      <c r="V7" s="62">
        <f t="shared" si="6"/>
        <v>0.061</v>
      </c>
      <c r="W7" s="62">
        <v>1</v>
      </c>
      <c r="X7" s="92">
        <f t="shared" si="46"/>
        <v>87.91909976567</v>
      </c>
      <c r="Y7" s="323">
        <v>8</v>
      </c>
      <c r="Z7" s="92">
        <f t="shared" si="7"/>
        <v>1044.7671645596536</v>
      </c>
      <c r="AA7" s="62">
        <v>10</v>
      </c>
      <c r="AB7" s="91">
        <f t="shared" si="8"/>
        <v>1305.958955699567</v>
      </c>
      <c r="AC7" s="62" t="s">
        <v>44</v>
      </c>
      <c r="AD7" s="62">
        <v>30</v>
      </c>
      <c r="AE7" s="326" t="s">
        <v>42</v>
      </c>
      <c r="AF7" s="62">
        <v>1</v>
      </c>
      <c r="AG7" s="92">
        <f t="shared" si="47"/>
        <v>1697.746642409437</v>
      </c>
      <c r="AH7" s="92">
        <f t="shared" si="9"/>
        <v>4482.5</v>
      </c>
      <c r="AI7" s="92">
        <f t="shared" si="48"/>
        <v>6951.055555555557</v>
      </c>
      <c r="AJ7" s="107">
        <f t="shared" si="28"/>
        <v>-0.5507095494825558</v>
      </c>
      <c r="AK7" s="95">
        <v>5</v>
      </c>
      <c r="AL7" s="96">
        <v>28</v>
      </c>
      <c r="AM7" s="378">
        <f t="shared" si="10"/>
        <v>0.5976666666666667</v>
      </c>
      <c r="AN7" s="108">
        <f t="shared" si="11"/>
        <v>2.224337777777778</v>
      </c>
      <c r="AO7" s="110">
        <f t="shared" si="29"/>
        <v>-2.721702918758134</v>
      </c>
      <c r="AP7" s="734">
        <v>93.5</v>
      </c>
      <c r="AQ7" s="733">
        <v>803</v>
      </c>
      <c r="AR7" s="64">
        <f t="shared" si="12"/>
        <v>896.5</v>
      </c>
      <c r="AS7" s="73">
        <v>327.2111111111111</v>
      </c>
      <c r="AT7" s="65">
        <v>1063</v>
      </c>
      <c r="AU7" s="97">
        <f t="shared" si="13"/>
        <v>1390.2111111111112</v>
      </c>
      <c r="AV7" s="94">
        <f t="shared" si="49"/>
        <v>0.3551339125152855</v>
      </c>
      <c r="AW7" s="93">
        <f>39.5+18.5</f>
        <v>58</v>
      </c>
      <c r="AX7" s="94">
        <f t="shared" si="30"/>
        <v>5.800000000000001</v>
      </c>
      <c r="AY7" s="69">
        <v>3</v>
      </c>
      <c r="AZ7" s="69">
        <v>30</v>
      </c>
      <c r="BA7" s="61">
        <v>12.5</v>
      </c>
      <c r="BB7" s="61">
        <v>9</v>
      </c>
      <c r="BC7" s="69">
        <v>30</v>
      </c>
      <c r="BD7" s="96">
        <f t="shared" si="14"/>
        <v>14.56730569659305</v>
      </c>
      <c r="BE7" s="61">
        <v>0</v>
      </c>
      <c r="BF7" s="61">
        <v>0</v>
      </c>
      <c r="BG7" s="66">
        <f t="shared" si="31"/>
        <v>0</v>
      </c>
      <c r="BH7" s="62">
        <v>24</v>
      </c>
      <c r="BI7" s="62">
        <v>5</v>
      </c>
      <c r="BJ7" s="92">
        <f t="shared" si="32"/>
        <v>19</v>
      </c>
      <c r="BK7" s="61">
        <v>0</v>
      </c>
      <c r="BL7" s="61">
        <v>0</v>
      </c>
      <c r="BM7" s="105">
        <f t="shared" si="33"/>
        <v>0</v>
      </c>
      <c r="BN7" s="96">
        <f t="shared" si="34"/>
        <v>0.0018377300370166572</v>
      </c>
      <c r="BO7" s="61">
        <v>45</v>
      </c>
      <c r="BP7" s="113">
        <v>5</v>
      </c>
      <c r="BQ7" s="61">
        <v>0</v>
      </c>
      <c r="BR7" s="96">
        <f t="shared" si="15"/>
        <v>0.8275862068965517</v>
      </c>
      <c r="BS7" s="96">
        <f t="shared" si="16"/>
        <v>82.75862068965517</v>
      </c>
      <c r="BT7" s="96">
        <f t="shared" si="17"/>
        <v>0.20833333333333334</v>
      </c>
      <c r="BU7" s="61">
        <f t="shared" si="35"/>
        <v>5</v>
      </c>
      <c r="BV7" s="65">
        <v>19</v>
      </c>
      <c r="BW7" s="65">
        <v>19</v>
      </c>
      <c r="BX7" s="65">
        <f t="shared" si="18"/>
        <v>1</v>
      </c>
      <c r="BY7" s="61">
        <f t="shared" si="19"/>
        <v>1.52</v>
      </c>
      <c r="BZ7" s="71">
        <f t="shared" si="20"/>
        <v>0.08</v>
      </c>
      <c r="CA7" s="579"/>
      <c r="CB7" s="579"/>
      <c r="CC7" s="74">
        <v>64</v>
      </c>
      <c r="CD7" s="100">
        <v>65</v>
      </c>
      <c r="CE7" s="105">
        <v>0</v>
      </c>
      <c r="CF7" s="102">
        <v>100</v>
      </c>
      <c r="CG7" s="61">
        <v>9</v>
      </c>
      <c r="CH7" s="61">
        <v>6</v>
      </c>
      <c r="CI7" s="66">
        <f t="shared" si="50"/>
        <v>15</v>
      </c>
      <c r="CJ7" s="61">
        <v>5</v>
      </c>
      <c r="CK7" s="397" t="s">
        <v>43</v>
      </c>
      <c r="CL7" s="397">
        <v>4.96</v>
      </c>
      <c r="CM7" s="62" t="s">
        <v>42</v>
      </c>
      <c r="CN7" s="62">
        <v>0</v>
      </c>
      <c r="CO7" s="62" t="s">
        <v>369</v>
      </c>
      <c r="CP7" s="62">
        <v>7.07</v>
      </c>
      <c r="CQ7" s="62" t="s">
        <v>45</v>
      </c>
      <c r="CR7" s="62">
        <v>1.1</v>
      </c>
      <c r="CS7" s="60" t="s">
        <v>59</v>
      </c>
      <c r="CT7" s="62" t="s">
        <v>370</v>
      </c>
      <c r="CU7" s="427">
        <v>7.8</v>
      </c>
      <c r="CV7" s="398" t="s">
        <v>43</v>
      </c>
      <c r="CW7" s="398">
        <v>0.92</v>
      </c>
      <c r="CX7" s="777" t="s">
        <v>43</v>
      </c>
      <c r="CY7" s="777">
        <v>0.9</v>
      </c>
      <c r="CZ7" s="399" t="s">
        <v>47</v>
      </c>
      <c r="DA7" s="399">
        <v>1.07</v>
      </c>
      <c r="DB7" s="398" t="s">
        <v>43</v>
      </c>
      <c r="DC7" s="398">
        <v>0.91</v>
      </c>
      <c r="DD7" s="397" t="s">
        <v>371</v>
      </c>
      <c r="DE7" s="397">
        <v>0.87</v>
      </c>
      <c r="DF7" s="72" t="s">
        <v>44</v>
      </c>
      <c r="DG7" s="72">
        <v>1</v>
      </c>
      <c r="DH7" s="72" t="s">
        <v>44</v>
      </c>
      <c r="DI7" s="72">
        <v>1</v>
      </c>
      <c r="DJ7" s="72" t="s">
        <v>43</v>
      </c>
      <c r="DK7" s="72">
        <v>0.87</v>
      </c>
      <c r="DL7" s="72" t="s">
        <v>44</v>
      </c>
      <c r="DM7" s="400" t="s">
        <v>44</v>
      </c>
      <c r="DN7" s="91">
        <v>0.01</v>
      </c>
      <c r="DO7" s="400" t="s">
        <v>44</v>
      </c>
      <c r="DP7" s="91">
        <v>0.01</v>
      </c>
      <c r="DQ7" s="400" t="s">
        <v>43</v>
      </c>
      <c r="DR7" s="434">
        <v>1.12</v>
      </c>
      <c r="DS7" s="401" t="s">
        <v>45</v>
      </c>
      <c r="DT7" s="62" t="s">
        <v>372</v>
      </c>
      <c r="DU7" s="62">
        <v>0.88</v>
      </c>
      <c r="DV7" s="62" t="s">
        <v>372</v>
      </c>
      <c r="DW7" s="62">
        <v>0.91</v>
      </c>
      <c r="DX7" s="62" t="s">
        <v>372</v>
      </c>
      <c r="DY7" s="441">
        <v>0.91</v>
      </c>
      <c r="DZ7" s="401" t="s">
        <v>44</v>
      </c>
      <c r="EA7" s="401">
        <v>1</v>
      </c>
      <c r="EB7" s="401" t="s">
        <v>43</v>
      </c>
      <c r="EC7" s="401">
        <v>1.09</v>
      </c>
      <c r="ED7" s="401" t="s">
        <v>47</v>
      </c>
      <c r="EE7" s="401">
        <v>1</v>
      </c>
      <c r="EF7" s="401" t="s">
        <v>46</v>
      </c>
      <c r="EG7" s="99">
        <f t="shared" si="21"/>
        <v>5.428801839172359E-05</v>
      </c>
      <c r="EH7" s="99">
        <v>2.94</v>
      </c>
      <c r="EI7" s="99">
        <v>0.91</v>
      </c>
      <c r="EJ7" s="99">
        <f t="shared" si="22"/>
        <v>22.770000000000003</v>
      </c>
      <c r="EK7" s="99">
        <f t="shared" si="36"/>
        <v>1.1377000000000002</v>
      </c>
      <c r="EL7" s="444">
        <f t="shared" si="23"/>
        <v>14412.9671747</v>
      </c>
      <c r="EM7" s="444">
        <f t="shared" si="37"/>
        <v>53878.28216331815</v>
      </c>
      <c r="EN7" s="708">
        <f t="shared" si="38"/>
        <v>8.599338808610266</v>
      </c>
      <c r="EO7" s="99">
        <f t="shared" si="24"/>
        <v>1500</v>
      </c>
      <c r="EP7" s="444">
        <f t="shared" si="25"/>
        <v>12</v>
      </c>
      <c r="EQ7" s="444">
        <f t="shared" si="39"/>
        <v>0.32554000000000005</v>
      </c>
      <c r="ER7" s="444">
        <f t="shared" si="40"/>
        <v>3.071819131289549</v>
      </c>
      <c r="ES7" s="444">
        <f t="shared" si="41"/>
        <v>3.2697547683923704</v>
      </c>
      <c r="ET7" s="444">
        <f t="shared" si="42"/>
        <v>38.06252355834696</v>
      </c>
      <c r="EU7" s="708">
        <f t="shared" si="43"/>
        <v>38.06252355834696</v>
      </c>
      <c r="EV7" s="99">
        <f t="shared" si="44"/>
        <v>896.5</v>
      </c>
      <c r="EW7" s="444">
        <f t="shared" si="45"/>
        <v>1390.2111111111112</v>
      </c>
      <c r="EX7" s="712"/>
      <c r="EY7" s="99"/>
      <c r="EZ7" s="99"/>
      <c r="FA7" s="99"/>
      <c r="FB7" s="99"/>
      <c r="FC7" s="99"/>
      <c r="FD7" s="99"/>
      <c r="FE7" s="99"/>
      <c r="FF7" s="99"/>
      <c r="FG7" s="99"/>
      <c r="FH7" s="99"/>
      <c r="FI7" s="99"/>
      <c r="FJ7" s="99"/>
      <c r="FK7" s="99"/>
      <c r="FL7" s="99"/>
      <c r="FM7" s="99"/>
      <c r="FN7" s="99"/>
      <c r="FO7" s="385"/>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385"/>
    </row>
    <row r="8" spans="1:229" s="36" customFormat="1" ht="18" customHeight="1">
      <c r="A8" s="75" t="s">
        <v>59</v>
      </c>
      <c r="B8" s="75" t="s">
        <v>59</v>
      </c>
      <c r="C8" s="75" t="s">
        <v>190</v>
      </c>
      <c r="D8" s="75">
        <v>1</v>
      </c>
      <c r="E8" s="371" t="s">
        <v>41</v>
      </c>
      <c r="F8" s="63" t="s">
        <v>40</v>
      </c>
      <c r="G8" s="64">
        <v>1500</v>
      </c>
      <c r="H8" s="64">
        <v>625</v>
      </c>
      <c r="I8" s="94">
        <f t="shared" si="0"/>
        <v>0.5833333333333334</v>
      </c>
      <c r="J8" s="61">
        <v>125</v>
      </c>
      <c r="K8" s="65">
        <v>1575.02</v>
      </c>
      <c r="L8" s="93">
        <f t="shared" si="1"/>
        <v>19091.1481742</v>
      </c>
      <c r="M8" s="93">
        <f t="shared" si="2"/>
        <v>15750.2</v>
      </c>
      <c r="N8" s="93">
        <f t="shared" si="3"/>
        <v>3340.9481742000003</v>
      </c>
      <c r="O8" s="94">
        <f t="shared" si="4"/>
        <v>17298.48936064262</v>
      </c>
      <c r="P8" s="93">
        <f t="shared" si="26"/>
        <v>17.29848936064262</v>
      </c>
      <c r="Q8" s="94">
        <f t="shared" si="27"/>
        <v>477.278704355</v>
      </c>
      <c r="R8" s="105">
        <v>10</v>
      </c>
      <c r="S8" s="91">
        <f t="shared" si="5"/>
        <v>1909.11481742</v>
      </c>
      <c r="T8" s="62">
        <v>4</v>
      </c>
      <c r="U8" s="62">
        <v>1.5</v>
      </c>
      <c r="V8" s="62">
        <f t="shared" si="6"/>
        <v>0.061</v>
      </c>
      <c r="W8" s="62">
        <v>1</v>
      </c>
      <c r="X8" s="92">
        <f t="shared" si="46"/>
        <v>116.45600386262</v>
      </c>
      <c r="Y8" s="323">
        <v>8</v>
      </c>
      <c r="Z8" s="92">
        <f t="shared" si="7"/>
        <v>1383.8791488514096</v>
      </c>
      <c r="AA8" s="62">
        <v>10</v>
      </c>
      <c r="AB8" s="91">
        <f t="shared" si="8"/>
        <v>1729.848936064262</v>
      </c>
      <c r="AC8" s="62" t="s">
        <v>44</v>
      </c>
      <c r="AD8" s="62">
        <v>30</v>
      </c>
      <c r="AE8" s="326" t="s">
        <v>42</v>
      </c>
      <c r="AF8" s="62">
        <v>1</v>
      </c>
      <c r="AG8" s="92">
        <f t="shared" si="47"/>
        <v>2248.8036168835406</v>
      </c>
      <c r="AH8" s="92">
        <f t="shared" si="9"/>
        <v>4965</v>
      </c>
      <c r="AI8" s="92">
        <f t="shared" si="48"/>
        <v>8746.069444444445</v>
      </c>
      <c r="AJ8" s="107">
        <f t="shared" si="28"/>
        <v>-0.7615447018014996</v>
      </c>
      <c r="AK8" s="95">
        <v>5</v>
      </c>
      <c r="AL8" s="96">
        <v>28</v>
      </c>
      <c r="AM8" s="378">
        <f t="shared" si="10"/>
        <v>0.662</v>
      </c>
      <c r="AN8" s="108">
        <f t="shared" si="11"/>
        <v>2.7987422222222222</v>
      </c>
      <c r="AO8" s="110">
        <f t="shared" si="29"/>
        <v>-3.2277072843235985</v>
      </c>
      <c r="AP8" s="734">
        <v>18</v>
      </c>
      <c r="AQ8" s="730">
        <v>975</v>
      </c>
      <c r="AR8" s="64">
        <f t="shared" si="12"/>
        <v>993</v>
      </c>
      <c r="AS8" s="73">
        <v>238.21388888888887</v>
      </c>
      <c r="AT8" s="65">
        <v>1511</v>
      </c>
      <c r="AU8" s="97">
        <f t="shared" si="13"/>
        <v>1749.213888888889</v>
      </c>
      <c r="AV8" s="94">
        <f t="shared" si="49"/>
        <v>0.43231642150362787</v>
      </c>
      <c r="AW8" s="93">
        <f>39.5+18.6</f>
        <v>58.1</v>
      </c>
      <c r="AX8" s="94">
        <f t="shared" si="30"/>
        <v>5.8100000000000005</v>
      </c>
      <c r="AY8" s="69">
        <v>3</v>
      </c>
      <c r="AZ8" s="69">
        <v>30</v>
      </c>
      <c r="BA8" s="61">
        <v>12.5</v>
      </c>
      <c r="BB8" s="61">
        <v>9</v>
      </c>
      <c r="BC8" s="69">
        <v>30</v>
      </c>
      <c r="BD8" s="96">
        <f t="shared" si="14"/>
        <v>17.420432387354097</v>
      </c>
      <c r="BE8" s="61">
        <v>0</v>
      </c>
      <c r="BF8" s="61">
        <v>0</v>
      </c>
      <c r="BG8" s="66">
        <f t="shared" si="31"/>
        <v>0</v>
      </c>
      <c r="BH8" s="62">
        <v>459</v>
      </c>
      <c r="BI8" s="62">
        <v>434</v>
      </c>
      <c r="BJ8" s="92">
        <f t="shared" si="32"/>
        <v>25</v>
      </c>
      <c r="BK8" s="61">
        <v>0</v>
      </c>
      <c r="BL8" s="61">
        <v>0</v>
      </c>
      <c r="BM8" s="105">
        <f t="shared" si="33"/>
        <v>0</v>
      </c>
      <c r="BN8" s="96">
        <f t="shared" si="34"/>
        <v>0.0265341088710505</v>
      </c>
      <c r="BO8" s="61">
        <v>22</v>
      </c>
      <c r="BP8" s="113">
        <v>2</v>
      </c>
      <c r="BQ8" s="61">
        <v>0</v>
      </c>
      <c r="BR8" s="96">
        <f t="shared" si="15"/>
        <v>0.9956616052060737</v>
      </c>
      <c r="BS8" s="96">
        <f t="shared" si="16"/>
        <v>99.56616052060737</v>
      </c>
      <c r="BT8" s="96">
        <f t="shared" si="17"/>
        <v>0.9455337690631809</v>
      </c>
      <c r="BU8" s="61">
        <f t="shared" si="35"/>
        <v>5</v>
      </c>
      <c r="BV8" s="65">
        <v>22</v>
      </c>
      <c r="BW8" s="65">
        <v>22</v>
      </c>
      <c r="BX8" s="65">
        <f t="shared" si="18"/>
        <v>1</v>
      </c>
      <c r="BY8" s="61">
        <f t="shared" si="19"/>
        <v>1.76</v>
      </c>
      <c r="BZ8" s="71">
        <f t="shared" si="20"/>
        <v>0.08</v>
      </c>
      <c r="CA8" s="579"/>
      <c r="CB8" s="579"/>
      <c r="CC8" s="74">
        <v>25</v>
      </c>
      <c r="CD8" s="100">
        <v>65</v>
      </c>
      <c r="CE8" s="105">
        <v>0</v>
      </c>
      <c r="CF8" s="102">
        <v>100</v>
      </c>
      <c r="CG8" s="61">
        <v>9</v>
      </c>
      <c r="CH8" s="61">
        <v>6</v>
      </c>
      <c r="CI8" s="66">
        <f t="shared" si="50"/>
        <v>15</v>
      </c>
      <c r="CJ8" s="61">
        <v>5</v>
      </c>
      <c r="CK8" s="397" t="s">
        <v>43</v>
      </c>
      <c r="CL8" s="397">
        <v>4.96</v>
      </c>
      <c r="CM8" s="62" t="s">
        <v>42</v>
      </c>
      <c r="CN8" s="62">
        <v>0</v>
      </c>
      <c r="CO8" s="62" t="s">
        <v>369</v>
      </c>
      <c r="CP8" s="62">
        <v>7.07</v>
      </c>
      <c r="CQ8" s="62" t="s">
        <v>45</v>
      </c>
      <c r="CR8" s="62">
        <v>1.1</v>
      </c>
      <c r="CS8" s="75" t="s">
        <v>59</v>
      </c>
      <c r="CT8" s="62" t="s">
        <v>370</v>
      </c>
      <c r="CU8" s="427">
        <v>7.8</v>
      </c>
      <c r="CV8" s="398" t="s">
        <v>43</v>
      </c>
      <c r="CW8" s="398">
        <v>0.92</v>
      </c>
      <c r="CX8" s="777" t="s">
        <v>44</v>
      </c>
      <c r="CY8" s="777">
        <v>1</v>
      </c>
      <c r="CZ8" s="399" t="s">
        <v>44</v>
      </c>
      <c r="DA8" s="399">
        <v>1</v>
      </c>
      <c r="DB8" s="78" t="s">
        <v>43</v>
      </c>
      <c r="DC8" s="398">
        <v>0.91</v>
      </c>
      <c r="DD8" s="397" t="s">
        <v>371</v>
      </c>
      <c r="DE8" s="397">
        <v>0.87</v>
      </c>
      <c r="DF8" s="72" t="s">
        <v>44</v>
      </c>
      <c r="DG8" s="72">
        <v>1</v>
      </c>
      <c r="DH8" s="72" t="s">
        <v>44</v>
      </c>
      <c r="DI8" s="72">
        <v>1</v>
      </c>
      <c r="DJ8" s="72" t="s">
        <v>43</v>
      </c>
      <c r="DK8" s="72">
        <v>0.87</v>
      </c>
      <c r="DL8" s="72" t="s">
        <v>44</v>
      </c>
      <c r="DM8" s="400" t="s">
        <v>44</v>
      </c>
      <c r="DN8" s="91">
        <v>0.01</v>
      </c>
      <c r="DO8" s="400" t="s">
        <v>44</v>
      </c>
      <c r="DP8" s="91">
        <v>0.01</v>
      </c>
      <c r="DQ8" s="400" t="s">
        <v>43</v>
      </c>
      <c r="DR8" s="434">
        <v>1.12</v>
      </c>
      <c r="DS8" s="401" t="s">
        <v>45</v>
      </c>
      <c r="DT8" s="62" t="s">
        <v>372</v>
      </c>
      <c r="DU8" s="62">
        <v>0.88</v>
      </c>
      <c r="DV8" s="62" t="s">
        <v>372</v>
      </c>
      <c r="DW8" s="62">
        <v>0.91</v>
      </c>
      <c r="DX8" s="62" t="s">
        <v>372</v>
      </c>
      <c r="DY8" s="441">
        <v>0.91</v>
      </c>
      <c r="DZ8" s="401" t="s">
        <v>44</v>
      </c>
      <c r="EA8" s="401">
        <v>1</v>
      </c>
      <c r="EB8" s="401" t="s">
        <v>43</v>
      </c>
      <c r="EC8" s="401">
        <v>1.09</v>
      </c>
      <c r="ED8" s="401" t="s">
        <v>47</v>
      </c>
      <c r="EE8" s="401">
        <v>1</v>
      </c>
      <c r="EF8" s="401" t="s">
        <v>46</v>
      </c>
      <c r="EG8" s="99">
        <f t="shared" si="21"/>
        <v>5.637385087406394E-05</v>
      </c>
      <c r="EH8" s="99">
        <v>2.94</v>
      </c>
      <c r="EI8" s="99">
        <v>0.91</v>
      </c>
      <c r="EJ8" s="99">
        <f t="shared" si="22"/>
        <v>22.770000000000003</v>
      </c>
      <c r="EK8" s="99">
        <f t="shared" si="36"/>
        <v>1.1377000000000002</v>
      </c>
      <c r="EL8" s="444">
        <f t="shared" si="23"/>
        <v>19091.1481742</v>
      </c>
      <c r="EM8" s="444">
        <f t="shared" si="37"/>
        <v>74182.69749227588</v>
      </c>
      <c r="EN8" s="708">
        <f t="shared" si="38"/>
        <v>12.294975118044151</v>
      </c>
      <c r="EO8" s="99">
        <f t="shared" si="24"/>
        <v>1500</v>
      </c>
      <c r="EP8" s="444">
        <f t="shared" si="25"/>
        <v>12</v>
      </c>
      <c r="EQ8" s="444">
        <f t="shared" si="39"/>
        <v>0.32554000000000005</v>
      </c>
      <c r="ER8" s="444">
        <f t="shared" si="40"/>
        <v>3.071819131289549</v>
      </c>
      <c r="ES8" s="444">
        <f t="shared" si="41"/>
        <v>3.2697547683923704</v>
      </c>
      <c r="ET8" s="444">
        <f t="shared" si="42"/>
        <v>38.06252355834696</v>
      </c>
      <c r="EU8" s="708">
        <f t="shared" si="43"/>
        <v>38.06252355834696</v>
      </c>
      <c r="EV8" s="99">
        <f t="shared" si="44"/>
        <v>993</v>
      </c>
      <c r="EW8" s="444">
        <f t="shared" si="45"/>
        <v>1749.213888888889</v>
      </c>
      <c r="EX8" s="712"/>
      <c r="EY8" s="99"/>
      <c r="EZ8" s="99"/>
      <c r="FA8" s="99"/>
      <c r="FB8" s="99"/>
      <c r="FC8" s="99"/>
      <c r="FD8" s="99"/>
      <c r="FE8" s="99"/>
      <c r="FF8" s="99"/>
      <c r="FG8" s="99"/>
      <c r="FH8" s="99"/>
      <c r="FI8" s="99"/>
      <c r="FJ8" s="99"/>
      <c r="FK8" s="99"/>
      <c r="FL8" s="99"/>
      <c r="FM8" s="99"/>
      <c r="FN8" s="99"/>
      <c r="FO8" s="385"/>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385"/>
    </row>
    <row r="9" spans="1:229" s="36" customFormat="1" ht="15.75" customHeight="1">
      <c r="A9" s="75" t="s">
        <v>65</v>
      </c>
      <c r="B9" s="75" t="s">
        <v>65</v>
      </c>
      <c r="C9" s="75" t="s">
        <v>190</v>
      </c>
      <c r="D9" s="314">
        <v>1</v>
      </c>
      <c r="E9" s="371" t="s">
        <v>41</v>
      </c>
      <c r="F9" s="63" t="s">
        <v>40</v>
      </c>
      <c r="G9" s="64">
        <v>1500</v>
      </c>
      <c r="H9" s="64">
        <v>625</v>
      </c>
      <c r="I9" s="94">
        <f t="shared" si="0"/>
        <v>0.5833333333333334</v>
      </c>
      <c r="J9" s="61">
        <v>125</v>
      </c>
      <c r="K9" s="65">
        <v>2137.83</v>
      </c>
      <c r="L9" s="93">
        <f t="shared" si="1"/>
        <v>25913.0863743</v>
      </c>
      <c r="M9" s="93">
        <f t="shared" si="2"/>
        <v>21378.3</v>
      </c>
      <c r="N9" s="93">
        <f t="shared" si="3"/>
        <v>4534.7863743</v>
      </c>
      <c r="O9" s="94">
        <f t="shared" si="4"/>
        <v>23479.847563753232</v>
      </c>
      <c r="P9" s="93">
        <f t="shared" si="26"/>
        <v>23.479847563753232</v>
      </c>
      <c r="Q9" s="94">
        <f t="shared" si="27"/>
        <v>647.8271593575</v>
      </c>
      <c r="R9" s="105">
        <v>10</v>
      </c>
      <c r="S9" s="91">
        <f t="shared" si="5"/>
        <v>2591.30863743</v>
      </c>
      <c r="T9" s="62">
        <v>4</v>
      </c>
      <c r="U9" s="62">
        <v>1.5</v>
      </c>
      <c r="V9" s="62">
        <f t="shared" si="6"/>
        <v>0.061</v>
      </c>
      <c r="W9" s="62">
        <v>1</v>
      </c>
      <c r="X9" s="92">
        <f t="shared" si="46"/>
        <v>158.06982688323</v>
      </c>
      <c r="Y9" s="323">
        <v>8</v>
      </c>
      <c r="Z9" s="92">
        <f t="shared" si="7"/>
        <v>1878.3878051002587</v>
      </c>
      <c r="AA9" s="62">
        <v>10</v>
      </c>
      <c r="AB9" s="91">
        <f t="shared" si="8"/>
        <v>2347.9847563753233</v>
      </c>
      <c r="AC9" s="62" t="s">
        <v>44</v>
      </c>
      <c r="AD9" s="62">
        <v>30</v>
      </c>
      <c r="AE9" s="326" t="s">
        <v>42</v>
      </c>
      <c r="AF9" s="62">
        <v>1</v>
      </c>
      <c r="AG9" s="92">
        <f t="shared" si="47"/>
        <v>3052.3801832879203</v>
      </c>
      <c r="AH9" s="92">
        <f t="shared" si="9"/>
        <v>6487.5</v>
      </c>
      <c r="AI9" s="92">
        <f t="shared" si="48"/>
        <v>14334.972222222223</v>
      </c>
      <c r="AJ9" s="107">
        <f t="shared" si="28"/>
        <v>-1.2096296296296296</v>
      </c>
      <c r="AK9" s="95">
        <v>5</v>
      </c>
      <c r="AL9" s="96">
        <v>28</v>
      </c>
      <c r="AM9" s="378">
        <f t="shared" si="10"/>
        <v>0.865</v>
      </c>
      <c r="AN9" s="108">
        <f t="shared" si="11"/>
        <v>4.587191111111111</v>
      </c>
      <c r="AO9" s="110">
        <f t="shared" si="29"/>
        <v>-4.303111111111111</v>
      </c>
      <c r="AP9" s="729">
        <v>15.5</v>
      </c>
      <c r="AQ9" s="733">
        <v>1282</v>
      </c>
      <c r="AR9" s="64">
        <f t="shared" si="12"/>
        <v>1297.5</v>
      </c>
      <c r="AS9" s="67">
        <v>879.9944444444446</v>
      </c>
      <c r="AT9" s="76">
        <v>1987</v>
      </c>
      <c r="AU9" s="97">
        <f t="shared" si="13"/>
        <v>2866.9944444444445</v>
      </c>
      <c r="AV9" s="94">
        <f t="shared" si="49"/>
        <v>0.5474354676500168</v>
      </c>
      <c r="AW9" s="93">
        <f>39.5+18.7</f>
        <v>58.2</v>
      </c>
      <c r="AX9" s="94">
        <f t="shared" si="30"/>
        <v>5.82</v>
      </c>
      <c r="AY9" s="69">
        <v>3</v>
      </c>
      <c r="AZ9" s="69">
        <v>30</v>
      </c>
      <c r="BA9" s="61">
        <v>12.5</v>
      </c>
      <c r="BB9" s="61">
        <v>9</v>
      </c>
      <c r="BC9" s="69">
        <v>40</v>
      </c>
      <c r="BD9" s="96">
        <f t="shared" si="14"/>
        <v>18.096221629096902</v>
      </c>
      <c r="BE9" s="61">
        <v>0</v>
      </c>
      <c r="BF9" s="61">
        <v>0</v>
      </c>
      <c r="BG9" s="66">
        <f t="shared" si="31"/>
        <v>0</v>
      </c>
      <c r="BH9" s="62">
        <v>154</v>
      </c>
      <c r="BI9" s="62">
        <v>114</v>
      </c>
      <c r="BJ9" s="92">
        <f t="shared" si="32"/>
        <v>40</v>
      </c>
      <c r="BK9" s="61">
        <v>0</v>
      </c>
      <c r="BL9" s="61">
        <v>0</v>
      </c>
      <c r="BM9" s="105">
        <f t="shared" si="33"/>
        <v>0</v>
      </c>
      <c r="BN9" s="96">
        <f t="shared" si="34"/>
        <v>0.006558816005165889</v>
      </c>
      <c r="BO9" s="61">
        <v>20</v>
      </c>
      <c r="BP9" s="113">
        <v>10</v>
      </c>
      <c r="BQ9" s="61">
        <v>0</v>
      </c>
      <c r="BR9" s="96">
        <f t="shared" si="15"/>
        <v>0.9390243902439024</v>
      </c>
      <c r="BS9" s="96">
        <f t="shared" si="16"/>
        <v>93.90243902439025</v>
      </c>
      <c r="BT9" s="96">
        <f t="shared" si="17"/>
        <v>0.7402597402597403</v>
      </c>
      <c r="BU9" s="61">
        <f t="shared" si="35"/>
        <v>5</v>
      </c>
      <c r="BV9" s="77">
        <v>42</v>
      </c>
      <c r="BW9" s="77">
        <v>42</v>
      </c>
      <c r="BX9" s="65">
        <f t="shared" si="18"/>
        <v>1</v>
      </c>
      <c r="BY9" s="61">
        <f t="shared" si="19"/>
        <v>3.36</v>
      </c>
      <c r="BZ9" s="71">
        <f t="shared" si="20"/>
        <v>0.08</v>
      </c>
      <c r="CA9" s="579"/>
      <c r="CB9" s="579"/>
      <c r="CC9" s="65">
        <v>32</v>
      </c>
      <c r="CD9" s="100">
        <v>65</v>
      </c>
      <c r="CE9" s="105">
        <v>0</v>
      </c>
      <c r="CF9" s="102">
        <v>100</v>
      </c>
      <c r="CG9" s="61">
        <v>9</v>
      </c>
      <c r="CH9" s="61">
        <v>6</v>
      </c>
      <c r="CI9" s="66">
        <f t="shared" si="50"/>
        <v>15</v>
      </c>
      <c r="CJ9" s="61">
        <v>5</v>
      </c>
      <c r="CK9" s="397" t="s">
        <v>46</v>
      </c>
      <c r="CL9" s="397">
        <v>6.2</v>
      </c>
      <c r="CM9" s="62" t="s">
        <v>42</v>
      </c>
      <c r="CN9" s="62">
        <v>0</v>
      </c>
      <c r="CO9" s="62" t="s">
        <v>369</v>
      </c>
      <c r="CP9" s="62">
        <v>7.07</v>
      </c>
      <c r="CQ9" s="62" t="s">
        <v>45</v>
      </c>
      <c r="CR9" s="62">
        <v>1.1</v>
      </c>
      <c r="CS9" s="75" t="s">
        <v>65</v>
      </c>
      <c r="CT9" s="62" t="s">
        <v>370</v>
      </c>
      <c r="CU9" s="427">
        <v>7.8</v>
      </c>
      <c r="CV9" s="78" t="s">
        <v>43</v>
      </c>
      <c r="CW9" s="398">
        <v>0.92</v>
      </c>
      <c r="CX9" s="777" t="s">
        <v>44</v>
      </c>
      <c r="CY9" s="777">
        <v>1</v>
      </c>
      <c r="CZ9" s="399" t="s">
        <v>45</v>
      </c>
      <c r="DA9" s="399">
        <v>1.15</v>
      </c>
      <c r="DB9" s="78" t="s">
        <v>369</v>
      </c>
      <c r="DC9" s="78">
        <v>0.81</v>
      </c>
      <c r="DD9" s="397" t="s">
        <v>371</v>
      </c>
      <c r="DE9" s="397">
        <v>0.87</v>
      </c>
      <c r="DF9" s="72" t="s">
        <v>44</v>
      </c>
      <c r="DG9" s="72">
        <v>1</v>
      </c>
      <c r="DH9" s="72" t="s">
        <v>44</v>
      </c>
      <c r="DI9" s="72">
        <v>1</v>
      </c>
      <c r="DJ9" s="72" t="s">
        <v>43</v>
      </c>
      <c r="DK9" s="72">
        <v>0.87</v>
      </c>
      <c r="DL9" s="72" t="s">
        <v>44</v>
      </c>
      <c r="DM9" s="400" t="s">
        <v>44</v>
      </c>
      <c r="DN9" s="91">
        <v>0.01</v>
      </c>
      <c r="DO9" s="400" t="s">
        <v>44</v>
      </c>
      <c r="DP9" s="91">
        <v>0.01</v>
      </c>
      <c r="DQ9" s="400" t="s">
        <v>43</v>
      </c>
      <c r="DR9" s="434">
        <v>1.12</v>
      </c>
      <c r="DS9" s="401" t="s">
        <v>45</v>
      </c>
      <c r="DT9" s="62" t="s">
        <v>372</v>
      </c>
      <c r="DU9" s="62">
        <v>0.88</v>
      </c>
      <c r="DV9" s="62" t="s">
        <v>372</v>
      </c>
      <c r="DW9" s="62">
        <v>0.91</v>
      </c>
      <c r="DX9" s="62" t="s">
        <v>372</v>
      </c>
      <c r="DY9" s="441">
        <v>0.91</v>
      </c>
      <c r="DZ9" s="401" t="s">
        <v>44</v>
      </c>
      <c r="EA9" s="401">
        <v>1</v>
      </c>
      <c r="EB9" s="401" t="s">
        <v>43</v>
      </c>
      <c r="EC9" s="401">
        <v>1.09</v>
      </c>
      <c r="ED9" s="401" t="s">
        <v>47</v>
      </c>
      <c r="EE9" s="401">
        <v>1</v>
      </c>
      <c r="EF9" s="401" t="s">
        <v>46</v>
      </c>
      <c r="EG9" s="99">
        <f t="shared" si="21"/>
        <v>5.770576053757204E-05</v>
      </c>
      <c r="EH9" s="99">
        <v>2.94</v>
      </c>
      <c r="EI9" s="99">
        <v>0.91</v>
      </c>
      <c r="EJ9" s="99">
        <f t="shared" si="22"/>
        <v>24.01</v>
      </c>
      <c r="EK9" s="99">
        <f t="shared" si="36"/>
        <v>1.1501000000000001</v>
      </c>
      <c r="EL9" s="444">
        <f t="shared" si="23"/>
        <v>25913.0863743</v>
      </c>
      <c r="EM9" s="444">
        <f t="shared" si="37"/>
        <v>119121.0097019503</v>
      </c>
      <c r="EN9" s="708">
        <f t="shared" si="38"/>
        <v>20.209467274912345</v>
      </c>
      <c r="EO9" s="99">
        <f t="shared" si="24"/>
        <v>1500</v>
      </c>
      <c r="EP9" s="444">
        <f t="shared" si="25"/>
        <v>12</v>
      </c>
      <c r="EQ9" s="444">
        <f t="shared" si="39"/>
        <v>0.32802000000000003</v>
      </c>
      <c r="ER9" s="444">
        <f t="shared" si="40"/>
        <v>3.0485945978903723</v>
      </c>
      <c r="ES9" s="444">
        <f t="shared" si="41"/>
        <v>3.2697547683923704</v>
      </c>
      <c r="ET9" s="444">
        <f t="shared" si="42"/>
        <v>37.029530339715386</v>
      </c>
      <c r="EU9" s="708">
        <f t="shared" si="43"/>
        <v>37.029530339715386</v>
      </c>
      <c r="EV9" s="99">
        <f t="shared" si="44"/>
        <v>1297.5</v>
      </c>
      <c r="EW9" s="444">
        <f t="shared" si="45"/>
        <v>2866.9944444444445</v>
      </c>
      <c r="EX9" s="712"/>
      <c r="EY9" s="99"/>
      <c r="EZ9" s="99"/>
      <c r="FA9" s="99"/>
      <c r="FB9" s="99"/>
      <c r="FC9" s="99"/>
      <c r="FD9" s="99"/>
      <c r="FE9" s="99"/>
      <c r="FF9" s="99"/>
      <c r="FG9" s="99"/>
      <c r="FH9" s="99"/>
      <c r="FI9" s="99"/>
      <c r="FJ9" s="99"/>
      <c r="FK9" s="99"/>
      <c r="FL9" s="99"/>
      <c r="FM9" s="99"/>
      <c r="FN9" s="99"/>
      <c r="FO9" s="385"/>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385"/>
    </row>
    <row r="10" spans="1:229" s="36" customFormat="1" ht="15.75" customHeight="1">
      <c r="A10" s="75" t="s">
        <v>59</v>
      </c>
      <c r="B10" s="75" t="s">
        <v>59</v>
      </c>
      <c r="C10" s="75" t="s">
        <v>190</v>
      </c>
      <c r="D10" s="314">
        <v>1</v>
      </c>
      <c r="E10" s="371" t="s">
        <v>41</v>
      </c>
      <c r="F10" s="63" t="s">
        <v>40</v>
      </c>
      <c r="G10" s="64">
        <v>1500</v>
      </c>
      <c r="H10" s="64">
        <v>625</v>
      </c>
      <c r="I10" s="94">
        <f t="shared" si="0"/>
        <v>0.5833333333333334</v>
      </c>
      <c r="J10" s="61">
        <v>125</v>
      </c>
      <c r="K10" s="65">
        <v>674.4</v>
      </c>
      <c r="L10" s="93">
        <f t="shared" si="1"/>
        <v>8174.544024</v>
      </c>
      <c r="M10" s="93">
        <f t="shared" si="2"/>
        <v>6744</v>
      </c>
      <c r="N10" s="93">
        <f t="shared" si="3"/>
        <v>1430.544024</v>
      </c>
      <c r="O10" s="94">
        <f t="shared" si="4"/>
        <v>7406.9543401464</v>
      </c>
      <c r="P10" s="93">
        <f t="shared" si="26"/>
        <v>7.4069543401464</v>
      </c>
      <c r="Q10" s="94">
        <f t="shared" si="27"/>
        <v>204.36360059999998</v>
      </c>
      <c r="R10" s="105">
        <v>10</v>
      </c>
      <c r="S10" s="91">
        <f t="shared" si="5"/>
        <v>817.4544024</v>
      </c>
      <c r="T10" s="62">
        <v>4</v>
      </c>
      <c r="U10" s="62">
        <v>1.5</v>
      </c>
      <c r="V10" s="62">
        <f t="shared" si="6"/>
        <v>0.061</v>
      </c>
      <c r="W10" s="62">
        <v>1</v>
      </c>
      <c r="X10" s="92">
        <f t="shared" si="46"/>
        <v>49.8647185464</v>
      </c>
      <c r="Y10" s="323">
        <v>8</v>
      </c>
      <c r="Z10" s="92">
        <f t="shared" si="7"/>
        <v>592.556347211712</v>
      </c>
      <c r="AA10" s="62">
        <v>10</v>
      </c>
      <c r="AB10" s="91">
        <f t="shared" si="8"/>
        <v>740.69543401464</v>
      </c>
      <c r="AC10" s="62" t="s">
        <v>44</v>
      </c>
      <c r="AD10" s="62">
        <v>30</v>
      </c>
      <c r="AE10" s="326" t="s">
        <v>42</v>
      </c>
      <c r="AF10" s="62">
        <v>1</v>
      </c>
      <c r="AG10" s="92">
        <f t="shared" si="47"/>
        <v>962.9040642190321</v>
      </c>
      <c r="AH10" s="92">
        <f t="shared" si="9"/>
        <v>2882.5</v>
      </c>
      <c r="AI10" s="92">
        <f t="shared" si="48"/>
        <v>8528.027777777777</v>
      </c>
      <c r="AJ10" s="107">
        <f t="shared" si="28"/>
        <v>-1.9585525681796279</v>
      </c>
      <c r="AK10" s="95">
        <v>5</v>
      </c>
      <c r="AL10" s="96">
        <v>28</v>
      </c>
      <c r="AM10" s="378">
        <f t="shared" si="10"/>
        <v>0.38433333333333336</v>
      </c>
      <c r="AN10" s="108">
        <f t="shared" si="11"/>
        <v>2.7289688888888888</v>
      </c>
      <c r="AO10" s="110">
        <f t="shared" si="29"/>
        <v>-6.100526163631107</v>
      </c>
      <c r="AP10" s="729">
        <v>4.5</v>
      </c>
      <c r="AQ10" s="733">
        <v>572</v>
      </c>
      <c r="AR10" s="64">
        <f t="shared" si="12"/>
        <v>576.5</v>
      </c>
      <c r="AS10" s="67">
        <v>1063.6055555555554</v>
      </c>
      <c r="AT10" s="65">
        <v>642</v>
      </c>
      <c r="AU10" s="97">
        <f t="shared" si="13"/>
        <v>1705.6055555555554</v>
      </c>
      <c r="AV10" s="94">
        <f t="shared" si="49"/>
        <v>0.6619968795703057</v>
      </c>
      <c r="AW10" s="93">
        <f>40.5+19.5</f>
        <v>60</v>
      </c>
      <c r="AX10" s="94">
        <f t="shared" si="30"/>
        <v>6</v>
      </c>
      <c r="AY10" s="69">
        <v>3</v>
      </c>
      <c r="AZ10" s="69">
        <v>30</v>
      </c>
      <c r="BA10" s="61">
        <v>12.5</v>
      </c>
      <c r="BB10" s="61">
        <v>9</v>
      </c>
      <c r="BC10" s="69">
        <v>30</v>
      </c>
      <c r="BD10" s="96">
        <f t="shared" si="14"/>
        <v>12.84814282766071</v>
      </c>
      <c r="BE10" s="61">
        <v>0</v>
      </c>
      <c r="BF10" s="61">
        <v>0</v>
      </c>
      <c r="BG10" s="66">
        <f t="shared" si="31"/>
        <v>0</v>
      </c>
      <c r="BH10" s="62">
        <v>58</v>
      </c>
      <c r="BI10" s="62">
        <v>33</v>
      </c>
      <c r="BJ10" s="92">
        <f t="shared" si="32"/>
        <v>25</v>
      </c>
      <c r="BK10" s="61">
        <v>0</v>
      </c>
      <c r="BL10" s="61">
        <v>0</v>
      </c>
      <c r="BM10" s="105">
        <f t="shared" si="33"/>
        <v>0</v>
      </c>
      <c r="BN10" s="96">
        <f t="shared" si="34"/>
        <v>0.00783047894404242</v>
      </c>
      <c r="BO10" s="61">
        <v>22</v>
      </c>
      <c r="BP10" s="113">
        <v>0</v>
      </c>
      <c r="BQ10" s="61">
        <v>0</v>
      </c>
      <c r="BR10" s="96">
        <f t="shared" si="15"/>
        <v>1</v>
      </c>
      <c r="BS10" s="96">
        <f t="shared" si="16"/>
        <v>100</v>
      </c>
      <c r="BT10" s="96">
        <f t="shared" si="17"/>
        <v>0.5689655172413793</v>
      </c>
      <c r="BU10" s="61">
        <f t="shared" si="35"/>
        <v>5</v>
      </c>
      <c r="BV10" s="65">
        <v>32</v>
      </c>
      <c r="BW10" s="65">
        <v>32</v>
      </c>
      <c r="BX10" s="65">
        <f t="shared" si="18"/>
        <v>1</v>
      </c>
      <c r="BY10" s="61">
        <f t="shared" si="19"/>
        <v>2.56</v>
      </c>
      <c r="BZ10" s="71">
        <f t="shared" si="20"/>
        <v>0.08</v>
      </c>
      <c r="CA10" s="579"/>
      <c r="CB10" s="579"/>
      <c r="CC10" s="65">
        <v>33</v>
      </c>
      <c r="CD10" s="100">
        <v>65</v>
      </c>
      <c r="CE10" s="105">
        <v>0</v>
      </c>
      <c r="CF10" s="102">
        <v>100</v>
      </c>
      <c r="CG10" s="61">
        <v>9</v>
      </c>
      <c r="CH10" s="61">
        <v>6</v>
      </c>
      <c r="CI10" s="66">
        <f t="shared" si="50"/>
        <v>15</v>
      </c>
      <c r="CJ10" s="61">
        <v>5</v>
      </c>
      <c r="CK10" s="397" t="s">
        <v>43</v>
      </c>
      <c r="CL10" s="397">
        <v>4.96</v>
      </c>
      <c r="CM10" s="62" t="s">
        <v>42</v>
      </c>
      <c r="CN10" s="62">
        <v>0</v>
      </c>
      <c r="CO10" s="62" t="s">
        <v>369</v>
      </c>
      <c r="CP10" s="62">
        <v>7.07</v>
      </c>
      <c r="CQ10" s="62" t="s">
        <v>45</v>
      </c>
      <c r="CR10" s="62">
        <v>1.1</v>
      </c>
      <c r="CS10" s="75" t="s">
        <v>59</v>
      </c>
      <c r="CT10" s="62" t="s">
        <v>370</v>
      </c>
      <c r="CU10" s="427">
        <v>7.8</v>
      </c>
      <c r="CV10" s="78" t="s">
        <v>43</v>
      </c>
      <c r="CW10" s="398">
        <v>0.92</v>
      </c>
      <c r="CX10" s="777" t="s">
        <v>44</v>
      </c>
      <c r="CY10" s="777">
        <v>1</v>
      </c>
      <c r="CZ10" s="399" t="s">
        <v>47</v>
      </c>
      <c r="DA10" s="399">
        <v>1.07</v>
      </c>
      <c r="DB10" s="78" t="s">
        <v>43</v>
      </c>
      <c r="DC10" s="78">
        <v>0.91</v>
      </c>
      <c r="DD10" s="397" t="s">
        <v>371</v>
      </c>
      <c r="DE10" s="397">
        <v>0.87</v>
      </c>
      <c r="DF10" s="72" t="s">
        <v>44</v>
      </c>
      <c r="DG10" s="72">
        <v>1</v>
      </c>
      <c r="DH10" s="72" t="s">
        <v>44</v>
      </c>
      <c r="DI10" s="72">
        <v>1</v>
      </c>
      <c r="DJ10" s="72" t="s">
        <v>43</v>
      </c>
      <c r="DK10" s="72">
        <v>0.87</v>
      </c>
      <c r="DL10" s="72" t="s">
        <v>44</v>
      </c>
      <c r="DM10" s="400" t="s">
        <v>44</v>
      </c>
      <c r="DN10" s="91">
        <v>0.01</v>
      </c>
      <c r="DO10" s="400" t="s">
        <v>44</v>
      </c>
      <c r="DP10" s="91">
        <v>0.01</v>
      </c>
      <c r="DQ10" s="400" t="s">
        <v>43</v>
      </c>
      <c r="DR10" s="434">
        <v>1.12</v>
      </c>
      <c r="DS10" s="401" t="s">
        <v>45</v>
      </c>
      <c r="DT10" s="62" t="s">
        <v>372</v>
      </c>
      <c r="DU10" s="62">
        <v>0.88</v>
      </c>
      <c r="DV10" s="62" t="s">
        <v>372</v>
      </c>
      <c r="DW10" s="62">
        <v>0.91</v>
      </c>
      <c r="DX10" s="62" t="s">
        <v>372</v>
      </c>
      <c r="DY10" s="441">
        <v>0.91</v>
      </c>
      <c r="DZ10" s="401" t="s">
        <v>44</v>
      </c>
      <c r="EA10" s="401">
        <v>1</v>
      </c>
      <c r="EB10" s="401" t="s">
        <v>43</v>
      </c>
      <c r="EC10" s="401">
        <v>1.09</v>
      </c>
      <c r="ED10" s="401" t="s">
        <v>47</v>
      </c>
      <c r="EE10" s="401">
        <v>1</v>
      </c>
      <c r="EF10" s="401" t="s">
        <v>46</v>
      </c>
      <c r="EG10" s="99">
        <f t="shared" si="21"/>
        <v>6.032002043524842E-05</v>
      </c>
      <c r="EH10" s="99">
        <v>2.94</v>
      </c>
      <c r="EI10" s="99">
        <v>0.91</v>
      </c>
      <c r="EJ10" s="99">
        <f t="shared" si="22"/>
        <v>22.770000000000003</v>
      </c>
      <c r="EK10" s="99">
        <f t="shared" si="36"/>
        <v>1.1377000000000002</v>
      </c>
      <c r="EL10" s="444">
        <f t="shared" si="23"/>
        <v>8174.544024</v>
      </c>
      <c r="EM10" s="444">
        <f t="shared" si="37"/>
        <v>28262.447337660356</v>
      </c>
      <c r="EN10" s="708">
        <f t="shared" si="38"/>
        <v>5.012086718815946</v>
      </c>
      <c r="EO10" s="99">
        <f t="shared" si="24"/>
        <v>1500</v>
      </c>
      <c r="EP10" s="444">
        <f t="shared" si="25"/>
        <v>12</v>
      </c>
      <c r="EQ10" s="444">
        <f t="shared" si="39"/>
        <v>0.32554000000000005</v>
      </c>
      <c r="ER10" s="444">
        <f t="shared" si="40"/>
        <v>3.071819131289549</v>
      </c>
      <c r="ES10" s="444">
        <f t="shared" si="41"/>
        <v>3.2697547683923704</v>
      </c>
      <c r="ET10" s="444">
        <f t="shared" si="42"/>
        <v>38.06252355834696</v>
      </c>
      <c r="EU10" s="708">
        <f t="shared" si="43"/>
        <v>38.06252355834696</v>
      </c>
      <c r="EV10" s="99">
        <f t="shared" si="44"/>
        <v>576.5</v>
      </c>
      <c r="EW10" s="444">
        <f t="shared" si="45"/>
        <v>1705.6055555555554</v>
      </c>
      <c r="EX10" s="712"/>
      <c r="EY10" s="99"/>
      <c r="EZ10" s="99"/>
      <c r="FA10" s="99"/>
      <c r="FB10" s="99"/>
      <c r="FC10" s="99"/>
      <c r="FD10" s="99"/>
      <c r="FE10" s="99"/>
      <c r="FF10" s="99"/>
      <c r="FG10" s="99"/>
      <c r="FH10" s="99"/>
      <c r="FI10" s="99"/>
      <c r="FJ10" s="99"/>
      <c r="FK10" s="99"/>
      <c r="FL10" s="99"/>
      <c r="FM10" s="99"/>
      <c r="FN10" s="99"/>
      <c r="FO10" s="385"/>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385"/>
    </row>
    <row r="11" spans="1:229" s="612" customFormat="1" ht="17.25" customHeight="1">
      <c r="A11" s="573" t="s">
        <v>59</v>
      </c>
      <c r="B11" s="573" t="s">
        <v>59</v>
      </c>
      <c r="C11" s="573" t="s">
        <v>190</v>
      </c>
      <c r="D11" s="574">
        <v>1</v>
      </c>
      <c r="E11" s="575" t="s">
        <v>41</v>
      </c>
      <c r="F11" s="576" t="s">
        <v>40</v>
      </c>
      <c r="G11" s="577">
        <v>1500</v>
      </c>
      <c r="H11" s="577">
        <v>625</v>
      </c>
      <c r="I11" s="578">
        <f t="shared" si="0"/>
        <v>0.5833333333333334</v>
      </c>
      <c r="J11" s="579">
        <v>125</v>
      </c>
      <c r="K11" s="624">
        <v>81.5</v>
      </c>
      <c r="L11" s="581">
        <f t="shared" si="1"/>
        <v>987.878615</v>
      </c>
      <c r="M11" s="581">
        <f t="shared" si="2"/>
        <v>815</v>
      </c>
      <c r="N11" s="581">
        <f t="shared" si="3"/>
        <v>172.878615</v>
      </c>
      <c r="O11" s="578">
        <f t="shared" si="4"/>
        <v>895.1168130515</v>
      </c>
      <c r="P11" s="581">
        <f t="shared" si="26"/>
        <v>0.8951168130515</v>
      </c>
      <c r="Q11" s="578">
        <f t="shared" si="27"/>
        <v>24.696965374999998</v>
      </c>
      <c r="R11" s="323">
        <v>10</v>
      </c>
      <c r="S11" s="582">
        <f t="shared" si="5"/>
        <v>98.7878615</v>
      </c>
      <c r="T11" s="326">
        <v>4</v>
      </c>
      <c r="U11" s="326">
        <v>1.5</v>
      </c>
      <c r="V11" s="326">
        <f t="shared" si="6"/>
        <v>0.061</v>
      </c>
      <c r="W11" s="326">
        <v>1</v>
      </c>
      <c r="X11" s="583">
        <f t="shared" si="46"/>
        <v>6.0260595515</v>
      </c>
      <c r="Y11" s="323">
        <v>8</v>
      </c>
      <c r="Z11" s="583">
        <f t="shared" si="7"/>
        <v>71.60934504412</v>
      </c>
      <c r="AA11" s="326">
        <v>10</v>
      </c>
      <c r="AB11" s="582">
        <f t="shared" si="8"/>
        <v>89.51168130515</v>
      </c>
      <c r="AC11" s="326" t="s">
        <v>44</v>
      </c>
      <c r="AD11" s="326">
        <v>30</v>
      </c>
      <c r="AE11" s="326" t="s">
        <v>42</v>
      </c>
      <c r="AF11" s="326">
        <v>1</v>
      </c>
      <c r="AG11" s="583">
        <f t="shared" si="47"/>
        <v>116.36518569669501</v>
      </c>
      <c r="AH11" s="583">
        <f t="shared" si="9"/>
        <v>315</v>
      </c>
      <c r="AI11" s="583">
        <f t="shared" si="48"/>
        <v>315</v>
      </c>
      <c r="AJ11" s="584">
        <f t="shared" si="28"/>
        <v>0</v>
      </c>
      <c r="AK11" s="585">
        <v>5</v>
      </c>
      <c r="AL11" s="586">
        <v>28</v>
      </c>
      <c r="AM11" s="587">
        <f t="shared" si="10"/>
        <v>0.042</v>
      </c>
      <c r="AN11" s="588">
        <f t="shared" si="11"/>
        <v>0.1008</v>
      </c>
      <c r="AO11" s="589">
        <f t="shared" si="29"/>
        <v>-1.4</v>
      </c>
      <c r="AP11" s="735"/>
      <c r="AQ11" s="736">
        <v>63</v>
      </c>
      <c r="AR11" s="577">
        <f t="shared" si="12"/>
        <v>63</v>
      </c>
      <c r="AS11" s="590"/>
      <c r="AT11" s="591">
        <v>63</v>
      </c>
      <c r="AU11" s="592">
        <f t="shared" si="13"/>
        <v>63</v>
      </c>
      <c r="AV11" s="578">
        <f t="shared" si="49"/>
        <v>0</v>
      </c>
      <c r="AW11" s="581">
        <f>43+15</f>
        <v>58</v>
      </c>
      <c r="AX11" s="578">
        <f t="shared" si="30"/>
        <v>5.800000000000001</v>
      </c>
      <c r="AY11" s="593">
        <v>3</v>
      </c>
      <c r="AZ11" s="593">
        <v>30</v>
      </c>
      <c r="BA11" s="579">
        <v>12.5</v>
      </c>
      <c r="BB11" s="579">
        <v>9</v>
      </c>
      <c r="BC11" s="593">
        <v>30</v>
      </c>
      <c r="BD11" s="586">
        <f t="shared" si="14"/>
        <v>14.208203381769842</v>
      </c>
      <c r="BE11" s="579">
        <v>0</v>
      </c>
      <c r="BF11" s="579">
        <v>0</v>
      </c>
      <c r="BG11" s="594">
        <f t="shared" si="31"/>
        <v>0</v>
      </c>
      <c r="BH11" s="326">
        <v>0</v>
      </c>
      <c r="BI11" s="326">
        <v>0</v>
      </c>
      <c r="BJ11" s="583">
        <f t="shared" si="32"/>
        <v>0</v>
      </c>
      <c r="BK11" s="579">
        <v>0</v>
      </c>
      <c r="BL11" s="579">
        <v>0</v>
      </c>
      <c r="BM11" s="323">
        <f t="shared" si="33"/>
        <v>0</v>
      </c>
      <c r="BN11" s="586">
        <f t="shared" si="34"/>
        <v>0</v>
      </c>
      <c r="BO11" s="579">
        <v>1</v>
      </c>
      <c r="BP11" s="596">
        <v>1</v>
      </c>
      <c r="BQ11" s="579">
        <v>0</v>
      </c>
      <c r="BR11" s="586">
        <f t="shared" si="15"/>
        <v>0</v>
      </c>
      <c r="BS11" s="586">
        <f t="shared" si="16"/>
        <v>0</v>
      </c>
      <c r="BT11" s="586">
        <v>0</v>
      </c>
      <c r="BU11" s="579">
        <f t="shared" si="35"/>
        <v>5</v>
      </c>
      <c r="BV11" s="591">
        <v>1</v>
      </c>
      <c r="BW11" s="591">
        <v>1</v>
      </c>
      <c r="BX11" s="591">
        <f aca="true" t="shared" si="51" ref="BX11:BX18">IF(OR(ISBLANK(BV11),ISBLANK(BW11)),"",BV11/BW11)</f>
        <v>1</v>
      </c>
      <c r="BY11" s="579">
        <f t="shared" si="19"/>
        <v>0.08</v>
      </c>
      <c r="BZ11" s="595">
        <f t="shared" si="20"/>
        <v>0.08</v>
      </c>
      <c r="CA11" s="579"/>
      <c r="CB11" s="579"/>
      <c r="CC11" s="624">
        <v>2</v>
      </c>
      <c r="CD11" s="598">
        <v>65</v>
      </c>
      <c r="CE11" s="323">
        <v>0</v>
      </c>
      <c r="CF11" s="599">
        <v>100</v>
      </c>
      <c r="CG11" s="579">
        <v>9</v>
      </c>
      <c r="CH11" s="579">
        <v>6</v>
      </c>
      <c r="CI11" s="594">
        <f t="shared" si="50"/>
        <v>15</v>
      </c>
      <c r="CJ11" s="579">
        <v>5</v>
      </c>
      <c r="CK11" s="600" t="s">
        <v>43</v>
      </c>
      <c r="CL11" s="600">
        <v>4.96</v>
      </c>
      <c r="CM11" s="326" t="s">
        <v>42</v>
      </c>
      <c r="CN11" s="326">
        <v>0</v>
      </c>
      <c r="CO11" s="326" t="s">
        <v>369</v>
      </c>
      <c r="CP11" s="326">
        <v>7.07</v>
      </c>
      <c r="CQ11" s="326" t="s">
        <v>45</v>
      </c>
      <c r="CR11" s="326">
        <v>1.1</v>
      </c>
      <c r="CS11" s="573" t="s">
        <v>59</v>
      </c>
      <c r="CT11" s="326" t="s">
        <v>370</v>
      </c>
      <c r="CU11" s="601">
        <v>7.8</v>
      </c>
      <c r="CV11" s="613" t="s">
        <v>43</v>
      </c>
      <c r="CW11" s="603">
        <v>0.92</v>
      </c>
      <c r="CX11" s="778" t="s">
        <v>43</v>
      </c>
      <c r="CY11" s="778">
        <v>0.9</v>
      </c>
      <c r="CZ11" s="604" t="s">
        <v>47</v>
      </c>
      <c r="DA11" s="604">
        <v>1.07</v>
      </c>
      <c r="DB11" s="613" t="s">
        <v>43</v>
      </c>
      <c r="DC11" s="613">
        <v>0.91</v>
      </c>
      <c r="DD11" s="600" t="s">
        <v>371</v>
      </c>
      <c r="DE11" s="600">
        <v>0.87</v>
      </c>
      <c r="DF11" s="602" t="s">
        <v>44</v>
      </c>
      <c r="DG11" s="602">
        <v>1</v>
      </c>
      <c r="DH11" s="602" t="s">
        <v>44</v>
      </c>
      <c r="DI11" s="602">
        <v>1</v>
      </c>
      <c r="DJ11" s="602" t="s">
        <v>43</v>
      </c>
      <c r="DK11" s="602">
        <v>0.87</v>
      </c>
      <c r="DL11" s="602" t="s">
        <v>44</v>
      </c>
      <c r="DM11" s="605" t="s">
        <v>44</v>
      </c>
      <c r="DN11" s="582">
        <v>0.01</v>
      </c>
      <c r="DO11" s="605" t="s">
        <v>44</v>
      </c>
      <c r="DP11" s="582">
        <v>0.01</v>
      </c>
      <c r="DQ11" s="605" t="s">
        <v>43</v>
      </c>
      <c r="DR11" s="606">
        <v>1.12</v>
      </c>
      <c r="DS11" s="607" t="s">
        <v>45</v>
      </c>
      <c r="DT11" s="326" t="s">
        <v>372</v>
      </c>
      <c r="DU11" s="326">
        <v>0.88</v>
      </c>
      <c r="DV11" s="326" t="s">
        <v>372</v>
      </c>
      <c r="DW11" s="326">
        <v>0.91</v>
      </c>
      <c r="DX11" s="326" t="s">
        <v>372</v>
      </c>
      <c r="DY11" s="608">
        <v>0.91</v>
      </c>
      <c r="DZ11" s="607" t="s">
        <v>44</v>
      </c>
      <c r="EA11" s="607">
        <v>1</v>
      </c>
      <c r="EB11" s="607" t="s">
        <v>43</v>
      </c>
      <c r="EC11" s="607">
        <v>1.09</v>
      </c>
      <c r="ED11" s="607" t="s">
        <v>47</v>
      </c>
      <c r="EE11" s="607">
        <v>1</v>
      </c>
      <c r="EF11" s="607" t="s">
        <v>46</v>
      </c>
      <c r="EG11" s="609">
        <f t="shared" si="21"/>
        <v>5.428801839172359E-05</v>
      </c>
      <c r="EH11" s="609">
        <v>2.94</v>
      </c>
      <c r="EI11" s="609">
        <v>0.91</v>
      </c>
      <c r="EJ11" s="609">
        <f t="shared" si="22"/>
        <v>22.770000000000003</v>
      </c>
      <c r="EK11" s="609">
        <f t="shared" si="36"/>
        <v>1.1377000000000002</v>
      </c>
      <c r="EL11" s="610">
        <f t="shared" si="23"/>
        <v>987.878615</v>
      </c>
      <c r="EM11" s="610">
        <f t="shared" si="37"/>
        <v>2553.1378717481034</v>
      </c>
      <c r="EN11" s="704">
        <f t="shared" si="38"/>
        <v>0.40749809946991716</v>
      </c>
      <c r="EO11" s="609">
        <f t="shared" si="24"/>
        <v>1500</v>
      </c>
      <c r="EP11" s="610">
        <f t="shared" si="25"/>
        <v>12</v>
      </c>
      <c r="EQ11" s="610">
        <f t="shared" si="39"/>
        <v>0.32554000000000005</v>
      </c>
      <c r="ER11" s="610">
        <f t="shared" si="40"/>
        <v>3.071819131289549</v>
      </c>
      <c r="ES11" s="610">
        <f t="shared" si="41"/>
        <v>3.2697547683923704</v>
      </c>
      <c r="ET11" s="610">
        <f t="shared" si="42"/>
        <v>38.06252355834696</v>
      </c>
      <c r="EU11" s="704">
        <f t="shared" si="43"/>
        <v>38.06252355834696</v>
      </c>
      <c r="EV11" s="609">
        <f t="shared" si="44"/>
        <v>63</v>
      </c>
      <c r="EW11" s="610">
        <f t="shared" si="45"/>
        <v>63</v>
      </c>
      <c r="EX11" s="713"/>
      <c r="EY11" s="609"/>
      <c r="EZ11" s="609"/>
      <c r="FA11" s="609"/>
      <c r="FB11" s="609"/>
      <c r="FC11" s="609"/>
      <c r="FD11" s="609"/>
      <c r="FE11" s="609"/>
      <c r="FF11" s="609"/>
      <c r="FG11" s="609"/>
      <c r="FH11" s="609"/>
      <c r="FI11" s="609"/>
      <c r="FJ11" s="609"/>
      <c r="FK11" s="609"/>
      <c r="FL11" s="609"/>
      <c r="FM11" s="609"/>
      <c r="FN11" s="609"/>
      <c r="FO11" s="611"/>
      <c r="FQ11" s="609"/>
      <c r="FR11" s="609"/>
      <c r="FS11" s="609"/>
      <c r="FT11" s="609"/>
      <c r="FU11" s="609"/>
      <c r="FV11" s="609"/>
      <c r="FW11" s="609"/>
      <c r="FX11" s="609"/>
      <c r="FY11" s="609"/>
      <c r="FZ11" s="609"/>
      <c r="GA11" s="609"/>
      <c r="GB11" s="609"/>
      <c r="GC11" s="609"/>
      <c r="GD11" s="609"/>
      <c r="GE11" s="609"/>
      <c r="GF11" s="609"/>
      <c r="GG11" s="609"/>
      <c r="GH11" s="609"/>
      <c r="GI11" s="609"/>
      <c r="GJ11" s="609"/>
      <c r="GK11" s="609"/>
      <c r="GL11" s="609"/>
      <c r="GM11" s="609"/>
      <c r="GN11" s="609"/>
      <c r="GO11" s="609"/>
      <c r="GP11" s="609"/>
      <c r="GQ11" s="609"/>
      <c r="GR11" s="609"/>
      <c r="GS11" s="609"/>
      <c r="GT11" s="609"/>
      <c r="GU11" s="609"/>
      <c r="GV11" s="609"/>
      <c r="GW11" s="609"/>
      <c r="GX11" s="609"/>
      <c r="GY11" s="609"/>
      <c r="GZ11" s="609"/>
      <c r="HA11" s="609"/>
      <c r="HB11" s="609"/>
      <c r="HC11" s="609"/>
      <c r="HD11" s="609"/>
      <c r="HE11" s="609"/>
      <c r="HF11" s="609"/>
      <c r="HG11" s="609"/>
      <c r="HH11" s="609"/>
      <c r="HI11" s="609"/>
      <c r="HJ11" s="609"/>
      <c r="HK11" s="609"/>
      <c r="HL11" s="609"/>
      <c r="HM11" s="609"/>
      <c r="HN11" s="609"/>
      <c r="HO11" s="609"/>
      <c r="HP11" s="609"/>
      <c r="HQ11" s="609"/>
      <c r="HR11" s="609"/>
      <c r="HS11" s="609"/>
      <c r="HT11" s="609"/>
      <c r="HU11" s="611"/>
    </row>
    <row r="12" spans="1:229" s="36" customFormat="1" ht="15.75" customHeight="1">
      <c r="A12" s="75" t="s">
        <v>60</v>
      </c>
      <c r="B12" s="75" t="s">
        <v>60</v>
      </c>
      <c r="C12" s="75" t="s">
        <v>190</v>
      </c>
      <c r="D12" s="315">
        <v>1</v>
      </c>
      <c r="E12" s="371" t="s">
        <v>41</v>
      </c>
      <c r="F12" s="63" t="s">
        <v>40</v>
      </c>
      <c r="G12" s="64">
        <v>1500</v>
      </c>
      <c r="H12" s="64">
        <v>625</v>
      </c>
      <c r="I12" s="94">
        <f t="shared" si="0"/>
        <v>0.5833333333333334</v>
      </c>
      <c r="J12" s="61">
        <v>125</v>
      </c>
      <c r="K12" s="74">
        <v>1023.9</v>
      </c>
      <c r="L12" s="93">
        <f t="shared" si="1"/>
        <v>12410.906919000001</v>
      </c>
      <c r="M12" s="93">
        <f t="shared" si="2"/>
        <v>10239</v>
      </c>
      <c r="N12" s="93">
        <f t="shared" si="3"/>
        <v>2171.906919</v>
      </c>
      <c r="O12" s="94">
        <f t="shared" si="4"/>
        <v>11245.5227593059</v>
      </c>
      <c r="P12" s="93">
        <f t="shared" si="26"/>
        <v>11.245522759305901</v>
      </c>
      <c r="Q12" s="94">
        <f t="shared" si="27"/>
        <v>310.27267297500003</v>
      </c>
      <c r="R12" s="105">
        <v>10</v>
      </c>
      <c r="S12" s="91">
        <f t="shared" si="5"/>
        <v>1241.0906919000001</v>
      </c>
      <c r="T12" s="62">
        <v>4</v>
      </c>
      <c r="U12" s="62">
        <v>1.5</v>
      </c>
      <c r="V12" s="62">
        <f t="shared" si="6"/>
        <v>0.061</v>
      </c>
      <c r="W12" s="62">
        <v>1</v>
      </c>
      <c r="X12" s="92">
        <f t="shared" si="46"/>
        <v>75.7065322059</v>
      </c>
      <c r="Y12" s="323">
        <v>8</v>
      </c>
      <c r="Z12" s="92">
        <f t="shared" si="7"/>
        <v>899.641820744472</v>
      </c>
      <c r="AA12" s="62">
        <v>10</v>
      </c>
      <c r="AB12" s="91">
        <f t="shared" si="8"/>
        <v>1124.5522759305902</v>
      </c>
      <c r="AC12" s="62" t="s">
        <v>44</v>
      </c>
      <c r="AD12" s="62">
        <v>30</v>
      </c>
      <c r="AE12" s="326" t="s">
        <v>42</v>
      </c>
      <c r="AF12" s="62">
        <v>1</v>
      </c>
      <c r="AG12" s="92">
        <f t="shared" si="47"/>
        <v>1461.9179587097674</v>
      </c>
      <c r="AH12" s="92">
        <f t="shared" si="9"/>
        <v>2470</v>
      </c>
      <c r="AI12" s="92">
        <f t="shared" si="48"/>
        <v>5170</v>
      </c>
      <c r="AJ12" s="107">
        <f t="shared" si="28"/>
        <v>-1.0931174089068827</v>
      </c>
      <c r="AK12" s="95">
        <v>5</v>
      </c>
      <c r="AL12" s="96">
        <v>28</v>
      </c>
      <c r="AM12" s="378">
        <f t="shared" si="10"/>
        <v>0.3293333333333333</v>
      </c>
      <c r="AN12" s="108">
        <f t="shared" si="11"/>
        <v>1.6544</v>
      </c>
      <c r="AO12" s="110">
        <f t="shared" si="29"/>
        <v>-4.023481781376519</v>
      </c>
      <c r="AP12" s="737">
        <v>0</v>
      </c>
      <c r="AQ12" s="733">
        <v>494</v>
      </c>
      <c r="AR12" s="64">
        <f t="shared" si="12"/>
        <v>494</v>
      </c>
      <c r="AS12" s="78">
        <v>0</v>
      </c>
      <c r="AT12" s="65">
        <v>1034</v>
      </c>
      <c r="AU12" s="97">
        <f t="shared" si="13"/>
        <v>1034</v>
      </c>
      <c r="AV12" s="94">
        <f t="shared" si="49"/>
        <v>0.5222437137330754</v>
      </c>
      <c r="AW12" s="93">
        <f>39.5+18.5</f>
        <v>58</v>
      </c>
      <c r="AX12" s="94">
        <f t="shared" si="30"/>
        <v>5.800000000000001</v>
      </c>
      <c r="AY12" s="69">
        <v>3</v>
      </c>
      <c r="AZ12" s="69">
        <v>30</v>
      </c>
      <c r="BA12" s="61">
        <v>12.5</v>
      </c>
      <c r="BB12" s="61">
        <v>9</v>
      </c>
      <c r="BC12" s="69">
        <v>20</v>
      </c>
      <c r="BD12" s="96">
        <f t="shared" si="14"/>
        <v>22.764216111955264</v>
      </c>
      <c r="BE12" s="61">
        <v>0</v>
      </c>
      <c r="BF12" s="61">
        <v>0</v>
      </c>
      <c r="BG12" s="66">
        <f t="shared" si="31"/>
        <v>0</v>
      </c>
      <c r="BH12" s="62">
        <v>35</v>
      </c>
      <c r="BI12" s="62">
        <v>15</v>
      </c>
      <c r="BJ12" s="92">
        <f t="shared" si="32"/>
        <v>20</v>
      </c>
      <c r="BK12" s="61">
        <v>0</v>
      </c>
      <c r="BL12" s="61">
        <v>0</v>
      </c>
      <c r="BM12" s="105">
        <f t="shared" si="33"/>
        <v>0</v>
      </c>
      <c r="BN12" s="96">
        <f t="shared" si="34"/>
        <v>0.003112349754575596</v>
      </c>
      <c r="BO12" s="61">
        <v>13</v>
      </c>
      <c r="BP12" s="113">
        <v>4</v>
      </c>
      <c r="BQ12" s="61">
        <v>0</v>
      </c>
      <c r="BR12" s="96">
        <f t="shared" si="15"/>
        <v>0.8974358974358975</v>
      </c>
      <c r="BS12" s="96">
        <f t="shared" si="16"/>
        <v>89.74358974358974</v>
      </c>
      <c r="BT12" s="96">
        <f>SUM(BF12,BI12,BL12)/SUM(BE12,BH12,BK12)</f>
        <v>0.42857142857142855</v>
      </c>
      <c r="BU12" s="61">
        <f t="shared" si="35"/>
        <v>5</v>
      </c>
      <c r="BV12" s="65">
        <v>3</v>
      </c>
      <c r="BW12" s="65">
        <v>3</v>
      </c>
      <c r="BX12" s="65">
        <f t="shared" si="51"/>
        <v>1</v>
      </c>
      <c r="BY12" s="61">
        <f t="shared" si="19"/>
        <v>0.24</v>
      </c>
      <c r="BZ12" s="71">
        <f t="shared" si="20"/>
        <v>0.08</v>
      </c>
      <c r="CA12" s="579"/>
      <c r="CB12" s="579"/>
      <c r="CC12" s="74">
        <v>25</v>
      </c>
      <c r="CD12" s="100">
        <v>65</v>
      </c>
      <c r="CE12" s="105">
        <v>0</v>
      </c>
      <c r="CF12" s="102">
        <v>100</v>
      </c>
      <c r="CG12" s="61">
        <v>9</v>
      </c>
      <c r="CH12" s="61">
        <v>6</v>
      </c>
      <c r="CI12" s="66">
        <f t="shared" si="50"/>
        <v>15</v>
      </c>
      <c r="CJ12" s="61">
        <v>5</v>
      </c>
      <c r="CK12" s="397" t="s">
        <v>46</v>
      </c>
      <c r="CL12" s="397">
        <v>6.2</v>
      </c>
      <c r="CM12" s="62" t="s">
        <v>42</v>
      </c>
      <c r="CN12" s="62">
        <v>0</v>
      </c>
      <c r="CO12" s="62" t="s">
        <v>369</v>
      </c>
      <c r="CP12" s="62">
        <v>7.07</v>
      </c>
      <c r="CQ12" s="62" t="s">
        <v>45</v>
      </c>
      <c r="CR12" s="62">
        <v>1.1</v>
      </c>
      <c r="CS12" s="75" t="s">
        <v>60</v>
      </c>
      <c r="CT12" s="62" t="s">
        <v>370</v>
      </c>
      <c r="CU12" s="427">
        <v>7.8</v>
      </c>
      <c r="CV12" s="72" t="s">
        <v>46</v>
      </c>
      <c r="CW12" s="398">
        <v>0.82</v>
      </c>
      <c r="CX12" s="777" t="s">
        <v>43</v>
      </c>
      <c r="CY12" s="777">
        <v>0.9</v>
      </c>
      <c r="CZ12" s="399" t="s">
        <v>45</v>
      </c>
      <c r="DA12" s="399">
        <v>1.15</v>
      </c>
      <c r="DB12" s="72" t="s">
        <v>46</v>
      </c>
      <c r="DC12" s="72">
        <v>0.81</v>
      </c>
      <c r="DD12" s="397" t="s">
        <v>371</v>
      </c>
      <c r="DE12" s="397">
        <v>0.87</v>
      </c>
      <c r="DF12" s="72" t="s">
        <v>44</v>
      </c>
      <c r="DG12" s="72">
        <v>1</v>
      </c>
      <c r="DH12" s="72" t="s">
        <v>44</v>
      </c>
      <c r="DI12" s="72">
        <v>1</v>
      </c>
      <c r="DJ12" s="72" t="s">
        <v>43</v>
      </c>
      <c r="DK12" s="72">
        <v>0.87</v>
      </c>
      <c r="DL12" s="72" t="s">
        <v>44</v>
      </c>
      <c r="DM12" s="400" t="s">
        <v>44</v>
      </c>
      <c r="DN12" s="91">
        <v>0.01</v>
      </c>
      <c r="DO12" s="400" t="s">
        <v>44</v>
      </c>
      <c r="DP12" s="91">
        <v>0.01</v>
      </c>
      <c r="DQ12" s="400" t="s">
        <v>43</v>
      </c>
      <c r="DR12" s="434">
        <v>1.12</v>
      </c>
      <c r="DS12" s="401" t="s">
        <v>45</v>
      </c>
      <c r="DT12" s="62" t="s">
        <v>372</v>
      </c>
      <c r="DU12" s="62">
        <v>0.88</v>
      </c>
      <c r="DV12" s="62" t="s">
        <v>372</v>
      </c>
      <c r="DW12" s="62">
        <v>0.91</v>
      </c>
      <c r="DX12" s="62" t="s">
        <v>372</v>
      </c>
      <c r="DY12" s="441">
        <v>0.91</v>
      </c>
      <c r="DZ12" s="401" t="s">
        <v>44</v>
      </c>
      <c r="EA12" s="401">
        <v>1</v>
      </c>
      <c r="EB12" s="401" t="s">
        <v>43</v>
      </c>
      <c r="EC12" s="401">
        <v>1.09</v>
      </c>
      <c r="ED12" s="401" t="s">
        <v>47</v>
      </c>
      <c r="EE12" s="401">
        <v>1</v>
      </c>
      <c r="EF12" s="401" t="s">
        <v>46</v>
      </c>
      <c r="EG12" s="99">
        <f t="shared" si="21"/>
        <v>4.629005573557409E-05</v>
      </c>
      <c r="EH12" s="99">
        <v>2.94</v>
      </c>
      <c r="EI12" s="99">
        <v>0.91</v>
      </c>
      <c r="EJ12" s="99">
        <f t="shared" si="22"/>
        <v>23.81</v>
      </c>
      <c r="EK12" s="99">
        <f t="shared" si="36"/>
        <v>1.1481</v>
      </c>
      <c r="EL12" s="444">
        <f t="shared" si="23"/>
        <v>12410.906919000001</v>
      </c>
      <c r="EM12" s="444">
        <f t="shared" si="37"/>
        <v>50129.78240785472</v>
      </c>
      <c r="EN12" s="708">
        <f t="shared" si="38"/>
        <v>6.822300639715081</v>
      </c>
      <c r="EO12" s="99">
        <f t="shared" si="24"/>
        <v>1500</v>
      </c>
      <c r="EP12" s="444">
        <f t="shared" si="25"/>
        <v>12</v>
      </c>
      <c r="EQ12" s="444">
        <f t="shared" si="39"/>
        <v>0.32762</v>
      </c>
      <c r="ER12" s="444">
        <f t="shared" si="40"/>
        <v>3.0523167083816616</v>
      </c>
      <c r="ES12" s="444">
        <f t="shared" si="41"/>
        <v>3.2697547683923704</v>
      </c>
      <c r="ET12" s="444">
        <f t="shared" si="42"/>
        <v>37.19317778902979</v>
      </c>
      <c r="EU12" s="708">
        <f t="shared" si="43"/>
        <v>37.19317778902979</v>
      </c>
      <c r="EV12" s="99">
        <f t="shared" si="44"/>
        <v>494</v>
      </c>
      <c r="EW12" s="444">
        <f t="shared" si="45"/>
        <v>1034</v>
      </c>
      <c r="EX12" s="712"/>
      <c r="EY12" s="99"/>
      <c r="EZ12" s="99"/>
      <c r="FA12" s="99"/>
      <c r="FB12" s="99"/>
      <c r="FC12" s="99"/>
      <c r="FD12" s="99"/>
      <c r="FE12" s="99"/>
      <c r="FF12" s="99"/>
      <c r="FG12" s="99"/>
      <c r="FH12" s="99"/>
      <c r="FI12" s="99"/>
      <c r="FJ12" s="99"/>
      <c r="FK12" s="99"/>
      <c r="FL12" s="99"/>
      <c r="FM12" s="99"/>
      <c r="FN12" s="99"/>
      <c r="FO12" s="385"/>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385"/>
    </row>
    <row r="13" spans="1:229" s="612" customFormat="1" ht="15.75" customHeight="1">
      <c r="A13" s="573" t="s">
        <v>60</v>
      </c>
      <c r="B13" s="573" t="s">
        <v>60</v>
      </c>
      <c r="C13" s="573" t="s">
        <v>190</v>
      </c>
      <c r="D13" s="574">
        <v>1</v>
      </c>
      <c r="E13" s="575" t="s">
        <v>41</v>
      </c>
      <c r="F13" s="576" t="s">
        <v>40</v>
      </c>
      <c r="G13" s="577">
        <v>1500</v>
      </c>
      <c r="H13" s="577">
        <v>625</v>
      </c>
      <c r="I13" s="578">
        <f t="shared" si="0"/>
        <v>0.5833333333333334</v>
      </c>
      <c r="J13" s="579">
        <v>125</v>
      </c>
      <c r="K13" s="580">
        <v>2.5</v>
      </c>
      <c r="L13" s="581">
        <f t="shared" si="1"/>
        <v>30.303024999999998</v>
      </c>
      <c r="M13" s="581">
        <f t="shared" si="2"/>
        <v>25</v>
      </c>
      <c r="N13" s="581">
        <f t="shared" si="3"/>
        <v>5.303025</v>
      </c>
      <c r="O13" s="578">
        <f t="shared" si="4"/>
        <v>27.457570952499996</v>
      </c>
      <c r="P13" s="581">
        <f t="shared" si="26"/>
        <v>0.027457570952499996</v>
      </c>
      <c r="Q13" s="578">
        <f t="shared" si="27"/>
        <v>0.757575625</v>
      </c>
      <c r="R13" s="323">
        <v>10</v>
      </c>
      <c r="S13" s="582">
        <f t="shared" si="5"/>
        <v>3.0303025</v>
      </c>
      <c r="T13" s="326">
        <v>4</v>
      </c>
      <c r="U13" s="326">
        <v>1.5</v>
      </c>
      <c r="V13" s="326">
        <f t="shared" si="6"/>
        <v>0.061</v>
      </c>
      <c r="W13" s="326">
        <v>1</v>
      </c>
      <c r="X13" s="583">
        <f t="shared" si="46"/>
        <v>0.18484845249999998</v>
      </c>
      <c r="Y13" s="323">
        <v>8</v>
      </c>
      <c r="Z13" s="583">
        <f t="shared" si="7"/>
        <v>2.1966056762</v>
      </c>
      <c r="AA13" s="326">
        <v>10</v>
      </c>
      <c r="AB13" s="582">
        <f t="shared" si="8"/>
        <v>2.7457570952499997</v>
      </c>
      <c r="AC13" s="326" t="s">
        <v>44</v>
      </c>
      <c r="AD13" s="326">
        <v>30</v>
      </c>
      <c r="AE13" s="326" t="s">
        <v>42</v>
      </c>
      <c r="AF13" s="326">
        <v>1</v>
      </c>
      <c r="AG13" s="583">
        <f t="shared" si="47"/>
        <v>3.5694842238249995</v>
      </c>
      <c r="AH13" s="583">
        <f t="shared" si="9"/>
        <v>295</v>
      </c>
      <c r="AI13" s="583">
        <f t="shared" si="48"/>
        <v>15</v>
      </c>
      <c r="AJ13" s="584">
        <f t="shared" si="28"/>
        <v>0.9491525423728814</v>
      </c>
      <c r="AK13" s="585">
        <v>5</v>
      </c>
      <c r="AL13" s="586">
        <v>28</v>
      </c>
      <c r="AM13" s="587">
        <f t="shared" si="10"/>
        <v>0.03933333333333333</v>
      </c>
      <c r="AN13" s="588">
        <f t="shared" si="11"/>
        <v>0.0048</v>
      </c>
      <c r="AO13" s="589">
        <f t="shared" si="29"/>
        <v>0.8779661016949153</v>
      </c>
      <c r="AP13" s="735"/>
      <c r="AQ13" s="735"/>
      <c r="AR13" s="577">
        <v>59</v>
      </c>
      <c r="AS13" s="590"/>
      <c r="AT13" s="591">
        <v>3</v>
      </c>
      <c r="AU13" s="592">
        <f t="shared" si="13"/>
        <v>3</v>
      </c>
      <c r="AV13" s="578">
        <f t="shared" si="49"/>
        <v>-18.666666666666668</v>
      </c>
      <c r="AW13" s="581">
        <f>50+10</f>
        <v>60</v>
      </c>
      <c r="AX13" s="578">
        <f t="shared" si="30"/>
        <v>6</v>
      </c>
      <c r="AY13" s="593">
        <v>3</v>
      </c>
      <c r="AZ13" s="593">
        <v>30</v>
      </c>
      <c r="BA13" s="579">
        <v>12.5</v>
      </c>
      <c r="BB13" s="579">
        <v>9</v>
      </c>
      <c r="BC13" s="593">
        <v>20</v>
      </c>
      <c r="BD13" s="586">
        <f t="shared" si="14"/>
        <v>0.4653825585169491</v>
      </c>
      <c r="BE13" s="579">
        <v>0</v>
      </c>
      <c r="BF13" s="579">
        <v>0</v>
      </c>
      <c r="BG13" s="594">
        <f t="shared" si="31"/>
        <v>0</v>
      </c>
      <c r="BH13" s="326">
        <v>0</v>
      </c>
      <c r="BI13" s="326">
        <v>0</v>
      </c>
      <c r="BJ13" s="583">
        <f t="shared" si="32"/>
        <v>0</v>
      </c>
      <c r="BK13" s="579">
        <v>0</v>
      </c>
      <c r="BL13" s="579">
        <v>0</v>
      </c>
      <c r="BM13" s="323">
        <f t="shared" si="33"/>
        <v>0</v>
      </c>
      <c r="BN13" s="586">
        <f t="shared" si="34"/>
        <v>0</v>
      </c>
      <c r="BO13" s="579">
        <v>20</v>
      </c>
      <c r="BP13" s="596">
        <v>5</v>
      </c>
      <c r="BQ13" s="579">
        <v>0</v>
      </c>
      <c r="BR13" s="586">
        <f t="shared" si="15"/>
        <v>0</v>
      </c>
      <c r="BS13" s="586">
        <f t="shared" si="16"/>
        <v>0</v>
      </c>
      <c r="BT13" s="586">
        <v>0</v>
      </c>
      <c r="BU13" s="579">
        <f t="shared" si="35"/>
        <v>5</v>
      </c>
      <c r="BV13" s="591">
        <v>1</v>
      </c>
      <c r="BW13" s="591">
        <v>1</v>
      </c>
      <c r="BX13" s="591">
        <f t="shared" si="51"/>
        <v>1</v>
      </c>
      <c r="BY13" s="579">
        <f t="shared" si="19"/>
        <v>0.08</v>
      </c>
      <c r="BZ13" s="595">
        <f t="shared" si="20"/>
        <v>0.08</v>
      </c>
      <c r="CA13" s="579"/>
      <c r="CB13" s="579"/>
      <c r="CC13" s="597">
        <v>1</v>
      </c>
      <c r="CD13" s="598">
        <v>65</v>
      </c>
      <c r="CE13" s="323">
        <v>0</v>
      </c>
      <c r="CF13" s="599">
        <v>100</v>
      </c>
      <c r="CG13" s="579">
        <v>9</v>
      </c>
      <c r="CH13" s="579">
        <v>6</v>
      </c>
      <c r="CI13" s="594">
        <f t="shared" si="50"/>
        <v>15</v>
      </c>
      <c r="CJ13" s="579">
        <v>5</v>
      </c>
      <c r="CK13" s="600" t="s">
        <v>46</v>
      </c>
      <c r="CL13" s="600">
        <v>6.2</v>
      </c>
      <c r="CM13" s="326" t="s">
        <v>42</v>
      </c>
      <c r="CN13" s="326">
        <v>0</v>
      </c>
      <c r="CO13" s="326" t="s">
        <v>369</v>
      </c>
      <c r="CP13" s="326">
        <v>7.07</v>
      </c>
      <c r="CQ13" s="326" t="s">
        <v>45</v>
      </c>
      <c r="CR13" s="326">
        <v>1.1</v>
      </c>
      <c r="CS13" s="573" t="s">
        <v>60</v>
      </c>
      <c r="CT13" s="326" t="s">
        <v>370</v>
      </c>
      <c r="CU13" s="601">
        <v>7.8</v>
      </c>
      <c r="CV13" s="602" t="s">
        <v>46</v>
      </c>
      <c r="CW13" s="603">
        <v>0.82</v>
      </c>
      <c r="CX13" s="778" t="s">
        <v>44</v>
      </c>
      <c r="CY13" s="778">
        <v>1</v>
      </c>
      <c r="CZ13" s="604" t="s">
        <v>43</v>
      </c>
      <c r="DA13" s="604">
        <v>0.95</v>
      </c>
      <c r="DB13" s="602" t="s">
        <v>46</v>
      </c>
      <c r="DC13" s="602">
        <v>0.81</v>
      </c>
      <c r="DD13" s="600" t="s">
        <v>371</v>
      </c>
      <c r="DE13" s="600">
        <v>0.87</v>
      </c>
      <c r="DF13" s="602" t="s">
        <v>44</v>
      </c>
      <c r="DG13" s="602">
        <v>1</v>
      </c>
      <c r="DH13" s="602" t="s">
        <v>44</v>
      </c>
      <c r="DI13" s="602">
        <v>1</v>
      </c>
      <c r="DJ13" s="602" t="s">
        <v>43</v>
      </c>
      <c r="DK13" s="602">
        <v>0.87</v>
      </c>
      <c r="DL13" s="602" t="s">
        <v>44</v>
      </c>
      <c r="DM13" s="605" t="s">
        <v>44</v>
      </c>
      <c r="DN13" s="582">
        <v>0.01</v>
      </c>
      <c r="DO13" s="605" t="s">
        <v>44</v>
      </c>
      <c r="DP13" s="582">
        <v>0.01</v>
      </c>
      <c r="DQ13" s="605" t="s">
        <v>43</v>
      </c>
      <c r="DR13" s="606">
        <v>1.12</v>
      </c>
      <c r="DS13" s="607" t="s">
        <v>45</v>
      </c>
      <c r="DT13" s="326" t="s">
        <v>372</v>
      </c>
      <c r="DU13" s="326">
        <v>0.88</v>
      </c>
      <c r="DV13" s="326" t="s">
        <v>372</v>
      </c>
      <c r="DW13" s="326">
        <v>0.91</v>
      </c>
      <c r="DX13" s="326" t="s">
        <v>372</v>
      </c>
      <c r="DY13" s="608">
        <v>0.91</v>
      </c>
      <c r="DZ13" s="607" t="s">
        <v>44</v>
      </c>
      <c r="EA13" s="607">
        <v>1</v>
      </c>
      <c r="EB13" s="607" t="s">
        <v>43</v>
      </c>
      <c r="EC13" s="607">
        <v>1.09</v>
      </c>
      <c r="ED13" s="607" t="s">
        <v>47</v>
      </c>
      <c r="EE13" s="607">
        <v>1</v>
      </c>
      <c r="EF13" s="607" t="s">
        <v>46</v>
      </c>
      <c r="EG13" s="609">
        <f t="shared" si="21"/>
        <v>4.248845695535786E-05</v>
      </c>
      <c r="EH13" s="609">
        <v>2.94</v>
      </c>
      <c r="EI13" s="609">
        <v>0.91</v>
      </c>
      <c r="EJ13" s="609">
        <f t="shared" si="22"/>
        <v>23.81</v>
      </c>
      <c r="EK13" s="609">
        <f t="shared" si="36"/>
        <v>1.1481</v>
      </c>
      <c r="EL13" s="610">
        <f t="shared" si="23"/>
        <v>30.303024999999998</v>
      </c>
      <c r="EM13" s="610">
        <f t="shared" si="37"/>
        <v>50.22200632067748</v>
      </c>
      <c r="EN13" s="704">
        <f t="shared" si="38"/>
        <v>0.006273535328077378</v>
      </c>
      <c r="EO13" s="609">
        <f t="shared" si="24"/>
        <v>1500</v>
      </c>
      <c r="EP13" s="610">
        <f t="shared" si="25"/>
        <v>12</v>
      </c>
      <c r="EQ13" s="610">
        <f t="shared" si="39"/>
        <v>0.32762</v>
      </c>
      <c r="ER13" s="610">
        <f t="shared" si="40"/>
        <v>3.0523167083816616</v>
      </c>
      <c r="ES13" s="610">
        <f t="shared" si="41"/>
        <v>3.2697547683923704</v>
      </c>
      <c r="ET13" s="610">
        <f t="shared" si="42"/>
        <v>37.19317778902979</v>
      </c>
      <c r="EU13" s="704">
        <f t="shared" si="43"/>
        <v>37.19317778902979</v>
      </c>
      <c r="EV13" s="609">
        <f t="shared" si="44"/>
        <v>59</v>
      </c>
      <c r="EW13" s="610">
        <f t="shared" si="45"/>
        <v>3</v>
      </c>
      <c r="EX13" s="713"/>
      <c r="EY13" s="609"/>
      <c r="EZ13" s="609"/>
      <c r="FA13" s="609"/>
      <c r="FB13" s="609"/>
      <c r="FC13" s="609"/>
      <c r="FD13" s="609"/>
      <c r="FE13" s="609"/>
      <c r="FF13" s="609"/>
      <c r="FG13" s="609"/>
      <c r="FH13" s="609"/>
      <c r="FI13" s="609"/>
      <c r="FJ13" s="609"/>
      <c r="FK13" s="609"/>
      <c r="FL13" s="609"/>
      <c r="FM13" s="609"/>
      <c r="FN13" s="609"/>
      <c r="FO13" s="611"/>
      <c r="FQ13" s="609"/>
      <c r="FR13" s="609"/>
      <c r="FS13" s="609"/>
      <c r="FT13" s="609"/>
      <c r="FU13" s="609"/>
      <c r="FV13" s="609"/>
      <c r="FW13" s="609"/>
      <c r="FX13" s="609"/>
      <c r="FY13" s="609"/>
      <c r="FZ13" s="609"/>
      <c r="GA13" s="609"/>
      <c r="GB13" s="609"/>
      <c r="GC13" s="609"/>
      <c r="GD13" s="609"/>
      <c r="GE13" s="609"/>
      <c r="GF13" s="609"/>
      <c r="GG13" s="609"/>
      <c r="GH13" s="609"/>
      <c r="GI13" s="609"/>
      <c r="GJ13" s="609"/>
      <c r="GK13" s="609"/>
      <c r="GL13" s="609"/>
      <c r="GM13" s="609"/>
      <c r="GN13" s="609"/>
      <c r="GO13" s="609"/>
      <c r="GP13" s="609"/>
      <c r="GQ13" s="609"/>
      <c r="GR13" s="609"/>
      <c r="GS13" s="609"/>
      <c r="GT13" s="609"/>
      <c r="GU13" s="609"/>
      <c r="GV13" s="609"/>
      <c r="GW13" s="609"/>
      <c r="GX13" s="609"/>
      <c r="GY13" s="609"/>
      <c r="GZ13" s="609"/>
      <c r="HA13" s="609"/>
      <c r="HB13" s="609"/>
      <c r="HC13" s="609"/>
      <c r="HD13" s="609"/>
      <c r="HE13" s="609"/>
      <c r="HF13" s="609"/>
      <c r="HG13" s="609"/>
      <c r="HH13" s="609"/>
      <c r="HI13" s="609"/>
      <c r="HJ13" s="609"/>
      <c r="HK13" s="609"/>
      <c r="HL13" s="609"/>
      <c r="HM13" s="609"/>
      <c r="HN13" s="609"/>
      <c r="HO13" s="609"/>
      <c r="HP13" s="609"/>
      <c r="HQ13" s="609"/>
      <c r="HR13" s="609"/>
      <c r="HS13" s="609"/>
      <c r="HT13" s="609"/>
      <c r="HU13" s="611"/>
    </row>
    <row r="14" spans="1:229" s="36" customFormat="1" ht="17.25" customHeight="1">
      <c r="A14" s="75" t="s">
        <v>59</v>
      </c>
      <c r="B14" s="75" t="s">
        <v>59</v>
      </c>
      <c r="C14" s="75" t="s">
        <v>190</v>
      </c>
      <c r="D14" s="75">
        <v>1</v>
      </c>
      <c r="E14" s="371" t="s">
        <v>41</v>
      </c>
      <c r="F14" s="63" t="s">
        <v>40</v>
      </c>
      <c r="G14" s="614">
        <v>1500</v>
      </c>
      <c r="H14" s="614">
        <v>625</v>
      </c>
      <c r="I14" s="615">
        <f t="shared" si="0"/>
        <v>0.5833333333333334</v>
      </c>
      <c r="J14" s="61">
        <v>125</v>
      </c>
      <c r="K14" s="623">
        <v>7</v>
      </c>
      <c r="L14" s="616">
        <f t="shared" si="1"/>
        <v>84.84847</v>
      </c>
      <c r="M14" s="616">
        <f t="shared" si="2"/>
        <v>70</v>
      </c>
      <c r="N14" s="616">
        <f t="shared" si="3"/>
        <v>14.84847</v>
      </c>
      <c r="O14" s="615">
        <f t="shared" si="4"/>
        <v>76.881198667</v>
      </c>
      <c r="P14" s="616">
        <f t="shared" si="26"/>
        <v>0.07688119866700001</v>
      </c>
      <c r="Q14" s="615">
        <f t="shared" si="27"/>
        <v>2.12121175</v>
      </c>
      <c r="R14" s="105">
        <v>10</v>
      </c>
      <c r="S14" s="91">
        <f t="shared" si="5"/>
        <v>8.484847</v>
      </c>
      <c r="T14" s="62">
        <v>4</v>
      </c>
      <c r="U14" s="62">
        <v>1.5</v>
      </c>
      <c r="V14" s="62">
        <f t="shared" si="6"/>
        <v>0.061</v>
      </c>
      <c r="W14" s="62">
        <v>1</v>
      </c>
      <c r="X14" s="92">
        <f t="shared" si="46"/>
        <v>0.517575667</v>
      </c>
      <c r="Y14" s="105">
        <v>8</v>
      </c>
      <c r="Z14" s="92">
        <f t="shared" si="7"/>
        <v>6.1504958933600005</v>
      </c>
      <c r="AA14" s="62">
        <v>10</v>
      </c>
      <c r="AB14" s="91">
        <f t="shared" si="8"/>
        <v>7.688119866700001</v>
      </c>
      <c r="AC14" s="62" t="s">
        <v>44</v>
      </c>
      <c r="AD14" s="62">
        <v>30</v>
      </c>
      <c r="AE14" s="62" t="s">
        <v>42</v>
      </c>
      <c r="AF14" s="62">
        <v>1</v>
      </c>
      <c r="AG14" s="92">
        <f t="shared" si="47"/>
        <v>9.994555826710002</v>
      </c>
      <c r="AH14" s="92">
        <f t="shared" si="9"/>
        <v>107.5</v>
      </c>
      <c r="AI14" s="92">
        <f t="shared" si="48"/>
        <v>811416.4861111111</v>
      </c>
      <c r="AJ14" s="107">
        <f t="shared" si="28"/>
        <v>-7547.060335917313</v>
      </c>
      <c r="AK14" s="95">
        <v>5</v>
      </c>
      <c r="AL14" s="96">
        <v>28</v>
      </c>
      <c r="AM14" s="378">
        <f t="shared" si="10"/>
        <v>0.014333333333333333</v>
      </c>
      <c r="AN14" s="108">
        <f t="shared" si="11"/>
        <v>259.6532755555556</v>
      </c>
      <c r="AO14" s="110">
        <f t="shared" si="29"/>
        <v>-18114.344806201552</v>
      </c>
      <c r="AP14" s="729">
        <v>14.5</v>
      </c>
      <c r="AQ14" s="738">
        <v>7</v>
      </c>
      <c r="AR14" s="614">
        <f t="shared" si="12"/>
        <v>21.5</v>
      </c>
      <c r="AS14" s="81">
        <f>SUM(AS21:AS9977)</f>
        <v>162276.29722222223</v>
      </c>
      <c r="AT14" s="617">
        <v>7</v>
      </c>
      <c r="AU14" s="97">
        <f t="shared" si="13"/>
        <v>162283.29722222223</v>
      </c>
      <c r="AV14" s="615">
        <f t="shared" si="49"/>
        <v>0.9998675156324279</v>
      </c>
      <c r="AW14" s="616">
        <f>48+13</f>
        <v>61</v>
      </c>
      <c r="AX14" s="615">
        <f t="shared" si="30"/>
        <v>6.1000000000000005</v>
      </c>
      <c r="AY14" s="69">
        <v>3</v>
      </c>
      <c r="AZ14" s="69">
        <v>30</v>
      </c>
      <c r="BA14" s="61">
        <v>12.5</v>
      </c>
      <c r="BB14" s="61">
        <v>9</v>
      </c>
      <c r="BC14" s="69">
        <v>20</v>
      </c>
      <c r="BD14" s="96">
        <f t="shared" si="14"/>
        <v>3.575869705441861</v>
      </c>
      <c r="BE14" s="61">
        <v>0</v>
      </c>
      <c r="BF14" s="61">
        <v>0</v>
      </c>
      <c r="BG14" s="66">
        <f t="shared" si="31"/>
        <v>0</v>
      </c>
      <c r="BH14" s="62">
        <v>7</v>
      </c>
      <c r="BI14" s="62">
        <v>4</v>
      </c>
      <c r="BJ14" s="92">
        <f t="shared" si="32"/>
        <v>3</v>
      </c>
      <c r="BK14" s="61">
        <v>0</v>
      </c>
      <c r="BL14" s="61">
        <v>0</v>
      </c>
      <c r="BM14" s="105">
        <f t="shared" si="33"/>
        <v>0</v>
      </c>
      <c r="BN14" s="96">
        <f t="shared" si="34"/>
        <v>0.09104956896314151</v>
      </c>
      <c r="BO14" s="61">
        <v>22</v>
      </c>
      <c r="BP14" s="618">
        <v>1</v>
      </c>
      <c r="BQ14" s="61">
        <v>0</v>
      </c>
      <c r="BR14" s="96">
        <f t="shared" si="15"/>
        <v>0.875</v>
      </c>
      <c r="BS14" s="96">
        <f t="shared" si="16"/>
        <v>87.5</v>
      </c>
      <c r="BT14" s="96">
        <f aca="true" t="shared" si="52" ref="BT14:BT51">SUM(BF14,BI14,BL14)/SUM(BE14,BH14,BK14)</f>
        <v>0.5714285714285714</v>
      </c>
      <c r="BU14" s="61">
        <f t="shared" si="35"/>
        <v>5</v>
      </c>
      <c r="BV14" s="80">
        <v>200</v>
      </c>
      <c r="BW14" s="80">
        <v>200</v>
      </c>
      <c r="BX14" s="617">
        <f t="shared" si="51"/>
        <v>1</v>
      </c>
      <c r="BY14" s="61">
        <f t="shared" si="19"/>
        <v>16</v>
      </c>
      <c r="BZ14" s="71">
        <f t="shared" si="20"/>
        <v>0.08</v>
      </c>
      <c r="CA14" s="579"/>
      <c r="CB14" s="579"/>
      <c r="CC14" s="80">
        <v>350</v>
      </c>
      <c r="CD14" s="619">
        <v>65</v>
      </c>
      <c r="CE14" s="105">
        <v>0</v>
      </c>
      <c r="CF14" s="102">
        <v>100</v>
      </c>
      <c r="CG14" s="61">
        <v>9</v>
      </c>
      <c r="CH14" s="61">
        <v>6</v>
      </c>
      <c r="CI14" s="66">
        <f t="shared" si="50"/>
        <v>15</v>
      </c>
      <c r="CJ14" s="61">
        <v>5</v>
      </c>
      <c r="CK14" s="397" t="s">
        <v>43</v>
      </c>
      <c r="CL14" s="397">
        <v>4.96</v>
      </c>
      <c r="CM14" s="62" t="s">
        <v>42</v>
      </c>
      <c r="CN14" s="62">
        <v>0</v>
      </c>
      <c r="CO14" s="62" t="s">
        <v>369</v>
      </c>
      <c r="CP14" s="62">
        <v>7.07</v>
      </c>
      <c r="CQ14" s="62" t="s">
        <v>45</v>
      </c>
      <c r="CR14" s="62">
        <v>1.1</v>
      </c>
      <c r="CS14" s="75" t="s">
        <v>59</v>
      </c>
      <c r="CT14" s="62" t="s">
        <v>370</v>
      </c>
      <c r="CU14" s="427">
        <v>7.8</v>
      </c>
      <c r="CV14" s="70" t="s">
        <v>46</v>
      </c>
      <c r="CW14" s="620">
        <v>0.82</v>
      </c>
      <c r="CX14" s="779" t="s">
        <v>44</v>
      </c>
      <c r="CY14" s="779">
        <v>1</v>
      </c>
      <c r="CZ14" s="621" t="s">
        <v>43</v>
      </c>
      <c r="DA14" s="621">
        <v>0.95</v>
      </c>
      <c r="DB14" s="623" t="s">
        <v>43</v>
      </c>
      <c r="DC14" s="623">
        <v>0.91</v>
      </c>
      <c r="DD14" s="397" t="s">
        <v>371</v>
      </c>
      <c r="DE14" s="397">
        <v>0.87</v>
      </c>
      <c r="DF14" s="70" t="s">
        <v>44</v>
      </c>
      <c r="DG14" s="70">
        <v>1</v>
      </c>
      <c r="DH14" s="70" t="s">
        <v>44</v>
      </c>
      <c r="DI14" s="70">
        <v>1</v>
      </c>
      <c r="DJ14" s="70" t="s">
        <v>43</v>
      </c>
      <c r="DK14" s="70">
        <v>0.87</v>
      </c>
      <c r="DL14" s="70" t="s">
        <v>44</v>
      </c>
      <c r="DM14" s="400" t="s">
        <v>44</v>
      </c>
      <c r="DN14" s="91">
        <v>0.01</v>
      </c>
      <c r="DO14" s="400" t="s">
        <v>44</v>
      </c>
      <c r="DP14" s="91">
        <v>0.01</v>
      </c>
      <c r="DQ14" s="400" t="s">
        <v>43</v>
      </c>
      <c r="DR14" s="434">
        <v>1.12</v>
      </c>
      <c r="DS14" s="622" t="s">
        <v>45</v>
      </c>
      <c r="DT14" s="62" t="s">
        <v>372</v>
      </c>
      <c r="DU14" s="62">
        <v>0.88</v>
      </c>
      <c r="DV14" s="62" t="s">
        <v>372</v>
      </c>
      <c r="DW14" s="62">
        <v>0.91</v>
      </c>
      <c r="DX14" s="62" t="s">
        <v>372</v>
      </c>
      <c r="DY14" s="441">
        <v>0.91</v>
      </c>
      <c r="DZ14" s="622" t="s">
        <v>44</v>
      </c>
      <c r="EA14" s="622">
        <v>1</v>
      </c>
      <c r="EB14" s="622" t="s">
        <v>43</v>
      </c>
      <c r="EC14" s="622">
        <v>1.09</v>
      </c>
      <c r="ED14" s="622" t="s">
        <v>47</v>
      </c>
      <c r="EE14" s="622">
        <v>1</v>
      </c>
      <c r="EF14" s="622" t="s">
        <v>46</v>
      </c>
      <c r="EG14" s="99">
        <f t="shared" si="21"/>
        <v>4.7733945468365E-05</v>
      </c>
      <c r="EH14" s="99">
        <v>2.94</v>
      </c>
      <c r="EI14" s="99">
        <v>0.91</v>
      </c>
      <c r="EJ14" s="99">
        <f t="shared" si="22"/>
        <v>22.57</v>
      </c>
      <c r="EK14" s="99">
        <f t="shared" si="36"/>
        <v>1.1357</v>
      </c>
      <c r="EL14" s="444">
        <f t="shared" si="23"/>
        <v>84.84847</v>
      </c>
      <c r="EM14" s="444">
        <f t="shared" si="37"/>
        <v>155.01046118030777</v>
      </c>
      <c r="EN14" s="708">
        <f t="shared" si="38"/>
        <v>0.021753827048960346</v>
      </c>
      <c r="EO14" s="99">
        <f t="shared" si="24"/>
        <v>1500</v>
      </c>
      <c r="EP14" s="444">
        <f t="shared" si="25"/>
        <v>12</v>
      </c>
      <c r="EQ14" s="444">
        <f t="shared" si="39"/>
        <v>0.32514000000000004</v>
      </c>
      <c r="ER14" s="444">
        <f t="shared" si="40"/>
        <v>3.0755982038506486</v>
      </c>
      <c r="ES14" s="444">
        <f t="shared" si="41"/>
        <v>3.2697547683923704</v>
      </c>
      <c r="ET14" s="444">
        <f t="shared" si="42"/>
        <v>38.233316237074234</v>
      </c>
      <c r="EU14" s="708">
        <f t="shared" si="43"/>
        <v>38.233316237074234</v>
      </c>
      <c r="EV14" s="99">
        <f t="shared" si="44"/>
        <v>21.5</v>
      </c>
      <c r="EW14" s="444">
        <f t="shared" si="45"/>
        <v>162283.29722222223</v>
      </c>
      <c r="EX14" s="712"/>
      <c r="EY14" s="99"/>
      <c r="EZ14" s="99"/>
      <c r="FA14" s="99"/>
      <c r="FB14" s="99"/>
      <c r="FC14" s="99"/>
      <c r="FD14" s="99"/>
      <c r="FE14" s="99"/>
      <c r="FF14" s="99"/>
      <c r="FG14" s="99"/>
      <c r="FH14" s="99"/>
      <c r="FI14" s="99"/>
      <c r="FJ14" s="99"/>
      <c r="FK14" s="99"/>
      <c r="FL14" s="99"/>
      <c r="FM14" s="99"/>
      <c r="FN14" s="99"/>
      <c r="FO14" s="385"/>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385"/>
    </row>
    <row r="15" spans="1:229" s="37" customFormat="1" ht="15.75" customHeight="1">
      <c r="A15" s="60" t="s">
        <v>60</v>
      </c>
      <c r="B15" s="60" t="s">
        <v>60</v>
      </c>
      <c r="C15" s="75" t="s">
        <v>190</v>
      </c>
      <c r="D15" s="60">
        <v>1</v>
      </c>
      <c r="E15" s="371" t="s">
        <v>41</v>
      </c>
      <c r="F15" s="63" t="s">
        <v>40</v>
      </c>
      <c r="G15" s="64">
        <v>1500</v>
      </c>
      <c r="H15" s="64">
        <v>625</v>
      </c>
      <c r="I15" s="94">
        <f t="shared" si="0"/>
        <v>0.5833333333333334</v>
      </c>
      <c r="J15" s="61">
        <v>125</v>
      </c>
      <c r="K15" s="65">
        <v>976.54</v>
      </c>
      <c r="L15" s="93">
        <f t="shared" si="1"/>
        <v>11836.846413399999</v>
      </c>
      <c r="M15" s="93">
        <f t="shared" si="2"/>
        <v>9765.4</v>
      </c>
      <c r="N15" s="93">
        <f t="shared" si="3"/>
        <v>2071.4464134</v>
      </c>
      <c r="O15" s="94">
        <f t="shared" si="4"/>
        <v>10725.366535181738</v>
      </c>
      <c r="P15" s="93">
        <f t="shared" si="26"/>
        <v>10.725366535181738</v>
      </c>
      <c r="Q15" s="94">
        <f t="shared" si="27"/>
        <v>295.92116033499997</v>
      </c>
      <c r="R15" s="105">
        <v>10</v>
      </c>
      <c r="S15" s="91">
        <f t="shared" si="5"/>
        <v>1183.6846413399999</v>
      </c>
      <c r="T15" s="62">
        <v>4</v>
      </c>
      <c r="U15" s="62">
        <v>1.5</v>
      </c>
      <c r="V15" s="62">
        <f t="shared" si="6"/>
        <v>0.061</v>
      </c>
      <c r="W15" s="62">
        <v>1</v>
      </c>
      <c r="X15" s="92">
        <f t="shared" si="46"/>
        <v>72.20476312173999</v>
      </c>
      <c r="Y15" s="323">
        <v>8</v>
      </c>
      <c r="Z15" s="92">
        <f t="shared" si="7"/>
        <v>858.0293228145391</v>
      </c>
      <c r="AA15" s="62">
        <v>10</v>
      </c>
      <c r="AB15" s="91">
        <f t="shared" si="8"/>
        <v>1072.5366535181738</v>
      </c>
      <c r="AC15" s="62" t="s">
        <v>44</v>
      </c>
      <c r="AD15" s="62">
        <v>30</v>
      </c>
      <c r="AE15" s="326" t="s">
        <v>42</v>
      </c>
      <c r="AF15" s="62">
        <v>1</v>
      </c>
      <c r="AG15" s="92">
        <f t="shared" si="47"/>
        <v>1394.297649573626</v>
      </c>
      <c r="AH15" s="92">
        <f t="shared" si="9"/>
        <v>2530</v>
      </c>
      <c r="AI15" s="92">
        <f t="shared" si="48"/>
        <v>4770</v>
      </c>
      <c r="AJ15" s="107">
        <f t="shared" si="28"/>
        <v>-0.8853754940711462</v>
      </c>
      <c r="AK15" s="95">
        <v>5</v>
      </c>
      <c r="AL15" s="96">
        <v>28</v>
      </c>
      <c r="AM15" s="378">
        <f t="shared" si="10"/>
        <v>0.3373333333333333</v>
      </c>
      <c r="AN15" s="108">
        <f t="shared" si="11"/>
        <v>1.5264</v>
      </c>
      <c r="AO15" s="110">
        <f t="shared" si="29"/>
        <v>-3.5249011857707515</v>
      </c>
      <c r="AP15" s="739"/>
      <c r="AQ15" s="733">
        <v>506</v>
      </c>
      <c r="AR15" s="64">
        <f t="shared" si="12"/>
        <v>506</v>
      </c>
      <c r="AS15" s="80"/>
      <c r="AT15" s="65">
        <v>954</v>
      </c>
      <c r="AU15" s="97">
        <f t="shared" si="13"/>
        <v>954</v>
      </c>
      <c r="AV15" s="94">
        <f t="shared" si="49"/>
        <v>0.469601677148847</v>
      </c>
      <c r="AW15" s="93">
        <f>40+19</f>
        <v>59</v>
      </c>
      <c r="AX15" s="94">
        <f t="shared" si="30"/>
        <v>5.9</v>
      </c>
      <c r="AY15" s="69">
        <v>3</v>
      </c>
      <c r="AZ15" s="69">
        <v>30</v>
      </c>
      <c r="BA15" s="61">
        <v>12.5</v>
      </c>
      <c r="BB15" s="61">
        <v>9</v>
      </c>
      <c r="BC15" s="69">
        <v>20</v>
      </c>
      <c r="BD15" s="96">
        <f t="shared" si="14"/>
        <v>21.196376551742567</v>
      </c>
      <c r="BE15" s="61">
        <v>0</v>
      </c>
      <c r="BF15" s="61">
        <v>0</v>
      </c>
      <c r="BG15" s="66">
        <f t="shared" si="31"/>
        <v>0</v>
      </c>
      <c r="BH15" s="62">
        <v>85</v>
      </c>
      <c r="BI15" s="62">
        <v>52</v>
      </c>
      <c r="BJ15" s="92">
        <f t="shared" si="32"/>
        <v>33</v>
      </c>
      <c r="BK15" s="61">
        <v>0</v>
      </c>
      <c r="BL15" s="61">
        <v>0</v>
      </c>
      <c r="BM15" s="105">
        <f t="shared" si="33"/>
        <v>0</v>
      </c>
      <c r="BN15" s="96">
        <f t="shared" si="34"/>
        <v>0.00792513707771011</v>
      </c>
      <c r="BO15" s="70">
        <v>41</v>
      </c>
      <c r="BP15" s="113">
        <v>10</v>
      </c>
      <c r="BQ15" s="61">
        <v>0</v>
      </c>
      <c r="BR15" s="96">
        <f t="shared" si="15"/>
        <v>0.8947368421052632</v>
      </c>
      <c r="BS15" s="96">
        <f t="shared" si="16"/>
        <v>89.47368421052632</v>
      </c>
      <c r="BT15" s="96">
        <f t="shared" si="52"/>
        <v>0.611764705882353</v>
      </c>
      <c r="BU15" s="61">
        <f t="shared" si="35"/>
        <v>5</v>
      </c>
      <c r="BV15" s="65">
        <v>36</v>
      </c>
      <c r="BW15" s="65">
        <v>36</v>
      </c>
      <c r="BX15" s="65">
        <f t="shared" si="51"/>
        <v>1</v>
      </c>
      <c r="BY15" s="61">
        <f t="shared" si="19"/>
        <v>2.88</v>
      </c>
      <c r="BZ15" s="71">
        <f t="shared" si="20"/>
        <v>0.08</v>
      </c>
      <c r="CA15" s="579"/>
      <c r="CB15" s="579"/>
      <c r="CC15" s="74">
        <v>67</v>
      </c>
      <c r="CD15" s="100">
        <v>65</v>
      </c>
      <c r="CE15" s="105">
        <v>0</v>
      </c>
      <c r="CF15" s="102">
        <v>100</v>
      </c>
      <c r="CG15" s="61">
        <v>9</v>
      </c>
      <c r="CH15" s="61">
        <v>6</v>
      </c>
      <c r="CI15" s="66">
        <f t="shared" si="50"/>
        <v>15</v>
      </c>
      <c r="CJ15" s="61">
        <v>5</v>
      </c>
      <c r="CK15" s="397" t="s">
        <v>46</v>
      </c>
      <c r="CL15" s="397">
        <v>6.2</v>
      </c>
      <c r="CM15" s="62" t="s">
        <v>42</v>
      </c>
      <c r="CN15" s="62">
        <v>0</v>
      </c>
      <c r="CO15" s="62" t="s">
        <v>369</v>
      </c>
      <c r="CP15" s="62">
        <v>7.07</v>
      </c>
      <c r="CQ15" s="62" t="s">
        <v>45</v>
      </c>
      <c r="CR15" s="62">
        <v>1.1</v>
      </c>
      <c r="CS15" s="60" t="s">
        <v>60</v>
      </c>
      <c r="CT15" s="62" t="s">
        <v>370</v>
      </c>
      <c r="CU15" s="427">
        <v>7.8</v>
      </c>
      <c r="CV15" s="72" t="s">
        <v>46</v>
      </c>
      <c r="CW15" s="398">
        <v>0.82</v>
      </c>
      <c r="CX15" s="777" t="s">
        <v>44</v>
      </c>
      <c r="CY15" s="777">
        <v>1</v>
      </c>
      <c r="CZ15" s="399" t="s">
        <v>47</v>
      </c>
      <c r="DA15" s="399">
        <v>1.07</v>
      </c>
      <c r="DB15" s="78" t="s">
        <v>46</v>
      </c>
      <c r="DC15" s="78">
        <v>0.81</v>
      </c>
      <c r="DD15" s="397" t="s">
        <v>371</v>
      </c>
      <c r="DE15" s="397">
        <v>0.87</v>
      </c>
      <c r="DF15" s="72" t="s">
        <v>44</v>
      </c>
      <c r="DG15" s="72">
        <v>1</v>
      </c>
      <c r="DH15" s="72" t="s">
        <v>44</v>
      </c>
      <c r="DI15" s="72">
        <v>1</v>
      </c>
      <c r="DJ15" s="72" t="s">
        <v>43</v>
      </c>
      <c r="DK15" s="72">
        <v>0.87</v>
      </c>
      <c r="DL15" s="72" t="s">
        <v>44</v>
      </c>
      <c r="DM15" s="400" t="s">
        <v>44</v>
      </c>
      <c r="DN15" s="91">
        <v>0.01</v>
      </c>
      <c r="DO15" s="400" t="s">
        <v>44</v>
      </c>
      <c r="DP15" s="91">
        <v>0.01</v>
      </c>
      <c r="DQ15" s="400" t="s">
        <v>43</v>
      </c>
      <c r="DR15" s="434">
        <v>1.12</v>
      </c>
      <c r="DS15" s="401" t="s">
        <v>45</v>
      </c>
      <c r="DT15" s="62" t="s">
        <v>372</v>
      </c>
      <c r="DU15" s="62">
        <v>0.88</v>
      </c>
      <c r="DV15" s="62" t="s">
        <v>372</v>
      </c>
      <c r="DW15" s="62">
        <v>0.91</v>
      </c>
      <c r="DX15" s="62" t="s">
        <v>372</v>
      </c>
      <c r="DY15" s="441">
        <v>0.91</v>
      </c>
      <c r="DZ15" s="401" t="s">
        <v>44</v>
      </c>
      <c r="EA15" s="401">
        <v>1</v>
      </c>
      <c r="EB15" s="401" t="s">
        <v>43</v>
      </c>
      <c r="EC15" s="401">
        <v>1.09</v>
      </c>
      <c r="ED15" s="401" t="s">
        <v>47</v>
      </c>
      <c r="EE15" s="401">
        <v>1</v>
      </c>
      <c r="EF15" s="401" t="s">
        <v>46</v>
      </c>
      <c r="EG15" s="99">
        <f t="shared" si="21"/>
        <v>4.785541993919256E-05</v>
      </c>
      <c r="EH15" s="99">
        <v>2.94</v>
      </c>
      <c r="EI15" s="99">
        <v>0.91</v>
      </c>
      <c r="EJ15" s="99">
        <f t="shared" si="22"/>
        <v>23.81</v>
      </c>
      <c r="EK15" s="99">
        <f t="shared" si="36"/>
        <v>1.1481</v>
      </c>
      <c r="EL15" s="444">
        <f t="shared" si="23"/>
        <v>11836.846413399999</v>
      </c>
      <c r="EM15" s="444">
        <f t="shared" si="37"/>
        <v>47476.89038191326</v>
      </c>
      <c r="EN15" s="708">
        <f t="shared" si="38"/>
        <v>6.679757988302405</v>
      </c>
      <c r="EO15" s="99">
        <f t="shared" si="24"/>
        <v>1500</v>
      </c>
      <c r="EP15" s="444">
        <f t="shared" si="25"/>
        <v>12</v>
      </c>
      <c r="EQ15" s="444">
        <f t="shared" si="39"/>
        <v>0.32762</v>
      </c>
      <c r="ER15" s="444">
        <f t="shared" si="40"/>
        <v>3.0523167083816616</v>
      </c>
      <c r="ES15" s="444">
        <f t="shared" si="41"/>
        <v>3.2697547683923704</v>
      </c>
      <c r="ET15" s="444">
        <f t="shared" si="42"/>
        <v>37.19317778902979</v>
      </c>
      <c r="EU15" s="708">
        <f t="shared" si="43"/>
        <v>37.19317778902979</v>
      </c>
      <c r="EV15" s="99">
        <f t="shared" si="44"/>
        <v>506</v>
      </c>
      <c r="EW15" s="444">
        <f t="shared" si="45"/>
        <v>954</v>
      </c>
      <c r="EX15" s="712"/>
      <c r="EY15" s="99"/>
      <c r="EZ15" s="99"/>
      <c r="FA15" s="99"/>
      <c r="FB15" s="99"/>
      <c r="FC15" s="99"/>
      <c r="FD15" s="99"/>
      <c r="FE15" s="99"/>
      <c r="FF15" s="99"/>
      <c r="FG15" s="99"/>
      <c r="FH15" s="99"/>
      <c r="FI15" s="99"/>
      <c r="FJ15" s="99"/>
      <c r="FK15" s="99"/>
      <c r="FL15" s="99"/>
      <c r="FM15" s="99"/>
      <c r="FN15" s="99"/>
      <c r="FO15" s="386"/>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386"/>
    </row>
    <row r="16" spans="1:229" s="37" customFormat="1" ht="15.75" customHeight="1">
      <c r="A16" s="60" t="s">
        <v>60</v>
      </c>
      <c r="B16" s="60" t="s">
        <v>60</v>
      </c>
      <c r="C16" s="75" t="s">
        <v>190</v>
      </c>
      <c r="D16" s="60">
        <v>1</v>
      </c>
      <c r="E16" s="371" t="s">
        <v>41</v>
      </c>
      <c r="F16" s="63" t="s">
        <v>40</v>
      </c>
      <c r="G16" s="64">
        <v>1500</v>
      </c>
      <c r="H16" s="64">
        <v>625</v>
      </c>
      <c r="I16" s="94">
        <f t="shared" si="0"/>
        <v>0.5833333333333334</v>
      </c>
      <c r="J16" s="61">
        <v>125</v>
      </c>
      <c r="K16" s="65">
        <v>523.88</v>
      </c>
      <c r="L16" s="93">
        <f t="shared" si="1"/>
        <v>6350.0594948</v>
      </c>
      <c r="M16" s="93">
        <f t="shared" si="2"/>
        <v>5238.8</v>
      </c>
      <c r="N16" s="93">
        <f t="shared" si="3"/>
        <v>1111.2594948</v>
      </c>
      <c r="O16" s="94">
        <f t="shared" si="4"/>
        <v>5753.78890823828</v>
      </c>
      <c r="P16" s="93">
        <f t="shared" si="26"/>
        <v>5.75378890823828</v>
      </c>
      <c r="Q16" s="94">
        <f t="shared" si="27"/>
        <v>158.75148737</v>
      </c>
      <c r="R16" s="105">
        <v>10</v>
      </c>
      <c r="S16" s="91">
        <f t="shared" si="5"/>
        <v>635.00594948</v>
      </c>
      <c r="T16" s="62">
        <v>4</v>
      </c>
      <c r="U16" s="62">
        <v>1.5</v>
      </c>
      <c r="V16" s="62">
        <f t="shared" si="6"/>
        <v>0.061</v>
      </c>
      <c r="W16" s="62">
        <v>1</v>
      </c>
      <c r="X16" s="92">
        <f t="shared" si="46"/>
        <v>38.73536291828</v>
      </c>
      <c r="Y16" s="323">
        <v>8</v>
      </c>
      <c r="Z16" s="92">
        <f t="shared" si="7"/>
        <v>460.3031126590624</v>
      </c>
      <c r="AA16" s="62">
        <v>10</v>
      </c>
      <c r="AB16" s="91">
        <f t="shared" si="8"/>
        <v>575.378890823828</v>
      </c>
      <c r="AC16" s="62" t="s">
        <v>44</v>
      </c>
      <c r="AD16" s="62">
        <v>30</v>
      </c>
      <c r="AE16" s="326" t="s">
        <v>42</v>
      </c>
      <c r="AF16" s="62">
        <v>1</v>
      </c>
      <c r="AG16" s="92">
        <f t="shared" si="47"/>
        <v>747.9925580709764</v>
      </c>
      <c r="AH16" s="92">
        <f t="shared" si="9"/>
        <v>3039.75</v>
      </c>
      <c r="AI16" s="92">
        <f t="shared" si="48"/>
        <v>4248.145833333331</v>
      </c>
      <c r="AJ16" s="107">
        <f t="shared" si="28"/>
        <v>-0.39753132110644995</v>
      </c>
      <c r="AK16" s="95">
        <v>5</v>
      </c>
      <c r="AL16" s="96">
        <v>28</v>
      </c>
      <c r="AM16" s="378">
        <f t="shared" si="10"/>
        <v>0.40530000000000005</v>
      </c>
      <c r="AN16" s="108">
        <f t="shared" si="11"/>
        <v>1.359406666666666</v>
      </c>
      <c r="AO16" s="110">
        <f t="shared" si="29"/>
        <v>-2.3540751706554794</v>
      </c>
      <c r="AP16" s="729">
        <v>246.95</v>
      </c>
      <c r="AQ16" s="740">
        <v>361</v>
      </c>
      <c r="AR16" s="64">
        <f t="shared" si="12"/>
        <v>607.95</v>
      </c>
      <c r="AS16" s="67">
        <v>281.62916666666626</v>
      </c>
      <c r="AT16" s="76">
        <v>568</v>
      </c>
      <c r="AU16" s="97">
        <f t="shared" si="13"/>
        <v>849.6291666666663</v>
      </c>
      <c r="AV16" s="94">
        <f t="shared" si="49"/>
        <v>0.2844525307609689</v>
      </c>
      <c r="AW16" s="93">
        <f>42+16</f>
        <v>58</v>
      </c>
      <c r="AX16" s="94">
        <f t="shared" si="30"/>
        <v>5.800000000000001</v>
      </c>
      <c r="AY16" s="69">
        <v>3</v>
      </c>
      <c r="AZ16" s="69">
        <v>30</v>
      </c>
      <c r="BA16" s="61">
        <v>12.5</v>
      </c>
      <c r="BB16" s="61">
        <v>9</v>
      </c>
      <c r="BC16" s="69">
        <v>20</v>
      </c>
      <c r="BD16" s="96">
        <f t="shared" si="14"/>
        <v>9.464246908854806</v>
      </c>
      <c r="BE16" s="61">
        <v>0</v>
      </c>
      <c r="BF16" s="61">
        <v>0</v>
      </c>
      <c r="BG16" s="66">
        <f t="shared" si="31"/>
        <v>0</v>
      </c>
      <c r="BH16" s="62">
        <v>46</v>
      </c>
      <c r="BI16" s="62">
        <v>32</v>
      </c>
      <c r="BJ16" s="92">
        <f t="shared" si="32"/>
        <v>14</v>
      </c>
      <c r="BK16" s="61">
        <v>0</v>
      </c>
      <c r="BL16" s="61">
        <v>0</v>
      </c>
      <c r="BM16" s="105">
        <f t="shared" si="33"/>
        <v>0</v>
      </c>
      <c r="BN16" s="96">
        <f t="shared" si="34"/>
        <v>0.00799473194682849</v>
      </c>
      <c r="BO16" s="70">
        <v>16</v>
      </c>
      <c r="BP16" s="113">
        <v>9</v>
      </c>
      <c r="BQ16" s="61">
        <v>0</v>
      </c>
      <c r="BR16" s="96">
        <f t="shared" si="15"/>
        <v>0.8363636363636363</v>
      </c>
      <c r="BS16" s="96">
        <f t="shared" si="16"/>
        <v>83.63636363636364</v>
      </c>
      <c r="BT16" s="96">
        <f t="shared" si="52"/>
        <v>0.6956521739130435</v>
      </c>
      <c r="BU16" s="61">
        <f t="shared" si="35"/>
        <v>5</v>
      </c>
      <c r="BV16" s="65">
        <v>34</v>
      </c>
      <c r="BW16" s="65">
        <v>34</v>
      </c>
      <c r="BX16" s="65">
        <f t="shared" si="51"/>
        <v>1</v>
      </c>
      <c r="BY16" s="61">
        <f t="shared" si="19"/>
        <v>2.72</v>
      </c>
      <c r="BZ16" s="71">
        <f t="shared" si="20"/>
        <v>0.08</v>
      </c>
      <c r="CA16" s="579"/>
      <c r="CB16" s="579"/>
      <c r="CC16" s="74">
        <v>25</v>
      </c>
      <c r="CD16" s="100">
        <v>65</v>
      </c>
      <c r="CE16" s="105">
        <v>0</v>
      </c>
      <c r="CF16" s="102">
        <v>100</v>
      </c>
      <c r="CG16" s="61">
        <v>9</v>
      </c>
      <c r="CH16" s="61">
        <v>6</v>
      </c>
      <c r="CI16" s="66">
        <f t="shared" si="50"/>
        <v>15</v>
      </c>
      <c r="CJ16" s="61">
        <v>5</v>
      </c>
      <c r="CK16" s="397" t="s">
        <v>46</v>
      </c>
      <c r="CL16" s="397">
        <v>6.2</v>
      </c>
      <c r="CM16" s="62" t="s">
        <v>42</v>
      </c>
      <c r="CN16" s="62">
        <v>0</v>
      </c>
      <c r="CO16" s="62" t="s">
        <v>369</v>
      </c>
      <c r="CP16" s="62">
        <v>7.07</v>
      </c>
      <c r="CQ16" s="62" t="s">
        <v>45</v>
      </c>
      <c r="CR16" s="62">
        <v>1.1</v>
      </c>
      <c r="CS16" s="60" t="s">
        <v>60</v>
      </c>
      <c r="CT16" s="62" t="s">
        <v>370</v>
      </c>
      <c r="CU16" s="427">
        <v>7.8</v>
      </c>
      <c r="CV16" s="72" t="s">
        <v>46</v>
      </c>
      <c r="CW16" s="398">
        <v>0.82</v>
      </c>
      <c r="CX16" s="777" t="s">
        <v>44</v>
      </c>
      <c r="CY16" s="777">
        <v>1</v>
      </c>
      <c r="CZ16" s="399" t="s">
        <v>45</v>
      </c>
      <c r="DA16" s="399">
        <v>1.15</v>
      </c>
      <c r="DB16" s="72" t="s">
        <v>46</v>
      </c>
      <c r="DC16" s="72">
        <v>0.81</v>
      </c>
      <c r="DD16" s="397" t="s">
        <v>371</v>
      </c>
      <c r="DE16" s="397">
        <v>0.87</v>
      </c>
      <c r="DF16" s="72" t="s">
        <v>44</v>
      </c>
      <c r="DG16" s="72">
        <v>1</v>
      </c>
      <c r="DH16" s="72" t="s">
        <v>44</v>
      </c>
      <c r="DI16" s="72">
        <v>1</v>
      </c>
      <c r="DJ16" s="72" t="s">
        <v>43</v>
      </c>
      <c r="DK16" s="72">
        <v>0.87</v>
      </c>
      <c r="DL16" s="72" t="s">
        <v>44</v>
      </c>
      <c r="DM16" s="400" t="s">
        <v>44</v>
      </c>
      <c r="DN16" s="91">
        <v>0.01</v>
      </c>
      <c r="DO16" s="400" t="s">
        <v>44</v>
      </c>
      <c r="DP16" s="91">
        <v>0.01</v>
      </c>
      <c r="DQ16" s="400" t="s">
        <v>43</v>
      </c>
      <c r="DR16" s="434">
        <v>1.12</v>
      </c>
      <c r="DS16" s="401" t="s">
        <v>45</v>
      </c>
      <c r="DT16" s="62" t="s">
        <v>372</v>
      </c>
      <c r="DU16" s="62">
        <v>0.88</v>
      </c>
      <c r="DV16" s="62" t="s">
        <v>372</v>
      </c>
      <c r="DW16" s="62">
        <v>0.91</v>
      </c>
      <c r="DX16" s="62" t="s">
        <v>372</v>
      </c>
      <c r="DY16" s="441">
        <v>0.91</v>
      </c>
      <c r="DZ16" s="401" t="s">
        <v>44</v>
      </c>
      <c r="EA16" s="401">
        <v>1</v>
      </c>
      <c r="EB16" s="401" t="s">
        <v>43</v>
      </c>
      <c r="EC16" s="401">
        <v>1.09</v>
      </c>
      <c r="ED16" s="401" t="s">
        <v>47</v>
      </c>
      <c r="EE16" s="401">
        <v>1</v>
      </c>
      <c r="EF16" s="401" t="s">
        <v>46</v>
      </c>
      <c r="EG16" s="99">
        <f t="shared" si="21"/>
        <v>5.143339526174899E-05</v>
      </c>
      <c r="EH16" s="99">
        <v>2.94</v>
      </c>
      <c r="EI16" s="99">
        <v>0.91</v>
      </c>
      <c r="EJ16" s="99">
        <f t="shared" si="22"/>
        <v>23.81</v>
      </c>
      <c r="EK16" s="99">
        <f t="shared" si="36"/>
        <v>1.1481</v>
      </c>
      <c r="EL16" s="444">
        <f t="shared" si="23"/>
        <v>6350.0594948</v>
      </c>
      <c r="EM16" s="444">
        <f t="shared" si="37"/>
        <v>23225.71997710066</v>
      </c>
      <c r="EN16" s="708">
        <f t="shared" si="38"/>
        <v>3.5120582493134993</v>
      </c>
      <c r="EO16" s="99">
        <f t="shared" si="24"/>
        <v>1500</v>
      </c>
      <c r="EP16" s="444">
        <f t="shared" si="25"/>
        <v>12</v>
      </c>
      <c r="EQ16" s="444">
        <f t="shared" si="39"/>
        <v>0.32762</v>
      </c>
      <c r="ER16" s="444">
        <f t="shared" si="40"/>
        <v>3.0523167083816616</v>
      </c>
      <c r="ES16" s="444">
        <f t="shared" si="41"/>
        <v>3.2697547683923704</v>
      </c>
      <c r="ET16" s="444">
        <f t="shared" si="42"/>
        <v>37.19317778902979</v>
      </c>
      <c r="EU16" s="708">
        <f t="shared" si="43"/>
        <v>37.19317778902979</v>
      </c>
      <c r="EV16" s="99">
        <f t="shared" si="44"/>
        <v>607.95</v>
      </c>
      <c r="EW16" s="444">
        <f t="shared" si="45"/>
        <v>849.6291666666663</v>
      </c>
      <c r="EX16" s="712"/>
      <c r="EY16" s="99"/>
      <c r="EZ16" s="99"/>
      <c r="FA16" s="99"/>
      <c r="FB16" s="99"/>
      <c r="FC16" s="99"/>
      <c r="FD16" s="99"/>
      <c r="FE16" s="99"/>
      <c r="FF16" s="99"/>
      <c r="FG16" s="99"/>
      <c r="FH16" s="99"/>
      <c r="FI16" s="99"/>
      <c r="FJ16" s="99"/>
      <c r="FK16" s="99"/>
      <c r="FL16" s="99"/>
      <c r="FM16" s="99"/>
      <c r="FN16" s="99"/>
      <c r="FO16" s="386"/>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386"/>
    </row>
    <row r="17" spans="1:229" s="37" customFormat="1" ht="15.75" customHeight="1">
      <c r="A17" s="60" t="s">
        <v>60</v>
      </c>
      <c r="B17" s="60" t="s">
        <v>60</v>
      </c>
      <c r="C17" s="75" t="s">
        <v>190</v>
      </c>
      <c r="D17" s="60">
        <v>1</v>
      </c>
      <c r="E17" s="371" t="s">
        <v>41</v>
      </c>
      <c r="F17" s="63" t="s">
        <v>40</v>
      </c>
      <c r="G17" s="64">
        <v>1500</v>
      </c>
      <c r="H17" s="64">
        <v>625</v>
      </c>
      <c r="I17" s="94">
        <f t="shared" si="0"/>
        <v>0.5833333333333334</v>
      </c>
      <c r="J17" s="61">
        <v>125</v>
      </c>
      <c r="K17" s="65">
        <v>1608.54</v>
      </c>
      <c r="L17" s="93">
        <f t="shared" si="1"/>
        <v>19497.451133399998</v>
      </c>
      <c r="M17" s="93">
        <f t="shared" si="2"/>
        <v>16085.4</v>
      </c>
      <c r="N17" s="93">
        <f t="shared" si="3"/>
        <v>3412.0511334</v>
      </c>
      <c r="O17" s="94">
        <f t="shared" si="4"/>
        <v>17666.64047197374</v>
      </c>
      <c r="P17" s="93">
        <f t="shared" si="26"/>
        <v>17.66664047197374</v>
      </c>
      <c r="Q17" s="94">
        <f t="shared" si="27"/>
        <v>487.43627833499994</v>
      </c>
      <c r="R17" s="105">
        <v>10</v>
      </c>
      <c r="S17" s="91">
        <f t="shared" si="5"/>
        <v>1949.74511334</v>
      </c>
      <c r="T17" s="62">
        <v>4</v>
      </c>
      <c r="U17" s="62">
        <v>1.5</v>
      </c>
      <c r="V17" s="62">
        <f t="shared" si="6"/>
        <v>0.061</v>
      </c>
      <c r="W17" s="62">
        <v>1</v>
      </c>
      <c r="X17" s="92">
        <f t="shared" si="46"/>
        <v>118.93445191373999</v>
      </c>
      <c r="Y17" s="323">
        <v>8</v>
      </c>
      <c r="Z17" s="92">
        <f t="shared" si="7"/>
        <v>1413.3312377578993</v>
      </c>
      <c r="AA17" s="62">
        <v>10</v>
      </c>
      <c r="AB17" s="91">
        <f t="shared" si="8"/>
        <v>1766.6640471973742</v>
      </c>
      <c r="AC17" s="62" t="s">
        <v>44</v>
      </c>
      <c r="AD17" s="62">
        <v>30</v>
      </c>
      <c r="AE17" s="326" t="s">
        <v>42</v>
      </c>
      <c r="AF17" s="62">
        <v>1</v>
      </c>
      <c r="AG17" s="92">
        <f t="shared" si="47"/>
        <v>2296.6632613565866</v>
      </c>
      <c r="AH17" s="92">
        <f t="shared" si="9"/>
        <v>7980</v>
      </c>
      <c r="AI17" s="92">
        <f t="shared" si="48"/>
        <v>12563.409722222223</v>
      </c>
      <c r="AJ17" s="107">
        <f t="shared" si="28"/>
        <v>-0.5743621205792259</v>
      </c>
      <c r="AK17" s="95">
        <v>5</v>
      </c>
      <c r="AL17" s="96">
        <v>28</v>
      </c>
      <c r="AM17" s="378">
        <f t="shared" si="10"/>
        <v>1.064</v>
      </c>
      <c r="AN17" s="108">
        <f t="shared" si="11"/>
        <v>4.020291111111111</v>
      </c>
      <c r="AO17" s="110">
        <f t="shared" si="29"/>
        <v>-2.7784690893901414</v>
      </c>
      <c r="AP17" s="739">
        <v>77</v>
      </c>
      <c r="AQ17" s="733">
        <v>1519</v>
      </c>
      <c r="AR17" s="64">
        <f t="shared" si="12"/>
        <v>1596</v>
      </c>
      <c r="AS17" s="80">
        <v>1018.6819444444443</v>
      </c>
      <c r="AT17" s="65">
        <v>1494</v>
      </c>
      <c r="AU17" s="97">
        <f t="shared" si="13"/>
        <v>2512.6819444444445</v>
      </c>
      <c r="AV17" s="94">
        <f t="shared" si="49"/>
        <v>0.36482211625360467</v>
      </c>
      <c r="AW17" s="93">
        <f>39.7+19.7</f>
        <v>59.400000000000006</v>
      </c>
      <c r="AX17" s="94">
        <f t="shared" si="30"/>
        <v>5.940000000000001</v>
      </c>
      <c r="AY17" s="69">
        <v>3</v>
      </c>
      <c r="AZ17" s="69">
        <v>30</v>
      </c>
      <c r="BA17" s="61">
        <v>12.5</v>
      </c>
      <c r="BB17" s="61">
        <v>9</v>
      </c>
      <c r="BC17" s="69">
        <v>20</v>
      </c>
      <c r="BD17" s="96">
        <f t="shared" si="14"/>
        <v>11.069323603993572</v>
      </c>
      <c r="BE17" s="61">
        <v>0</v>
      </c>
      <c r="BF17" s="61">
        <v>0</v>
      </c>
      <c r="BG17" s="66">
        <f t="shared" si="31"/>
        <v>0</v>
      </c>
      <c r="BH17" s="62">
        <v>284</v>
      </c>
      <c r="BI17" s="62">
        <v>178</v>
      </c>
      <c r="BJ17" s="92">
        <f t="shared" si="32"/>
        <v>106</v>
      </c>
      <c r="BK17" s="61">
        <v>0</v>
      </c>
      <c r="BL17" s="61">
        <v>0</v>
      </c>
      <c r="BM17" s="105">
        <f t="shared" si="33"/>
        <v>0</v>
      </c>
      <c r="BN17" s="96">
        <f t="shared" si="34"/>
        <v>0.01607549553354731</v>
      </c>
      <c r="BO17" s="70">
        <v>32</v>
      </c>
      <c r="BP17" s="113">
        <v>19</v>
      </c>
      <c r="BQ17" s="61">
        <v>0</v>
      </c>
      <c r="BR17" s="96">
        <f t="shared" si="15"/>
        <v>0.9372937293729373</v>
      </c>
      <c r="BS17" s="96">
        <f t="shared" si="16"/>
        <v>93.72937293729373</v>
      </c>
      <c r="BT17" s="96">
        <f t="shared" si="52"/>
        <v>0.6267605633802817</v>
      </c>
      <c r="BU17" s="61">
        <f t="shared" si="35"/>
        <v>5</v>
      </c>
      <c r="BV17" s="65">
        <v>108</v>
      </c>
      <c r="BW17" s="65">
        <v>108</v>
      </c>
      <c r="BX17" s="65">
        <f t="shared" si="51"/>
        <v>1</v>
      </c>
      <c r="BY17" s="61">
        <f t="shared" si="19"/>
        <v>8.64</v>
      </c>
      <c r="BZ17" s="71">
        <f t="shared" si="20"/>
        <v>0.08</v>
      </c>
      <c r="CA17" s="579"/>
      <c r="CB17" s="579"/>
      <c r="CC17" s="65">
        <v>39</v>
      </c>
      <c r="CD17" s="100">
        <v>65</v>
      </c>
      <c r="CE17" s="105">
        <v>0</v>
      </c>
      <c r="CF17" s="102">
        <v>100</v>
      </c>
      <c r="CG17" s="61">
        <v>9</v>
      </c>
      <c r="CH17" s="61">
        <v>6</v>
      </c>
      <c r="CI17" s="66">
        <f t="shared" si="50"/>
        <v>15</v>
      </c>
      <c r="CJ17" s="61">
        <v>5</v>
      </c>
      <c r="CK17" s="397" t="s">
        <v>46</v>
      </c>
      <c r="CL17" s="397">
        <v>6.2</v>
      </c>
      <c r="CM17" s="62" t="s">
        <v>42</v>
      </c>
      <c r="CN17" s="62">
        <v>0</v>
      </c>
      <c r="CO17" s="62" t="s">
        <v>369</v>
      </c>
      <c r="CP17" s="62">
        <v>7.07</v>
      </c>
      <c r="CQ17" s="62" t="s">
        <v>45</v>
      </c>
      <c r="CR17" s="62">
        <v>1.1</v>
      </c>
      <c r="CS17" s="60" t="s">
        <v>60</v>
      </c>
      <c r="CT17" s="62" t="s">
        <v>370</v>
      </c>
      <c r="CU17" s="427">
        <v>7.8</v>
      </c>
      <c r="CV17" s="72" t="s">
        <v>46</v>
      </c>
      <c r="CW17" s="398">
        <v>0.82</v>
      </c>
      <c r="CX17" s="777" t="s">
        <v>44</v>
      </c>
      <c r="CY17" s="777">
        <v>1</v>
      </c>
      <c r="CZ17" s="399" t="s">
        <v>45</v>
      </c>
      <c r="DA17" s="399">
        <v>1.15</v>
      </c>
      <c r="DB17" s="72" t="s">
        <v>43</v>
      </c>
      <c r="DC17" s="72">
        <v>0.91</v>
      </c>
      <c r="DD17" s="397" t="s">
        <v>371</v>
      </c>
      <c r="DE17" s="397">
        <v>0.87</v>
      </c>
      <c r="DF17" s="72" t="s">
        <v>44</v>
      </c>
      <c r="DG17" s="72">
        <v>1</v>
      </c>
      <c r="DH17" s="72" t="s">
        <v>44</v>
      </c>
      <c r="DI17" s="72">
        <v>1</v>
      </c>
      <c r="DJ17" s="72" t="s">
        <v>43</v>
      </c>
      <c r="DK17" s="72">
        <v>0.87</v>
      </c>
      <c r="DL17" s="72" t="s">
        <v>44</v>
      </c>
      <c r="DM17" s="400" t="s">
        <v>44</v>
      </c>
      <c r="DN17" s="91">
        <v>0.01</v>
      </c>
      <c r="DO17" s="400" t="s">
        <v>44</v>
      </c>
      <c r="DP17" s="91">
        <v>0.01</v>
      </c>
      <c r="DQ17" s="400" t="s">
        <v>43</v>
      </c>
      <c r="DR17" s="434">
        <v>1.12</v>
      </c>
      <c r="DS17" s="401" t="s">
        <v>45</v>
      </c>
      <c r="DT17" s="62" t="s">
        <v>372</v>
      </c>
      <c r="DU17" s="62">
        <v>0.88</v>
      </c>
      <c r="DV17" s="62" t="s">
        <v>372</v>
      </c>
      <c r="DW17" s="62">
        <v>0.91</v>
      </c>
      <c r="DX17" s="62" t="s">
        <v>372</v>
      </c>
      <c r="DY17" s="441">
        <v>0.91</v>
      </c>
      <c r="DZ17" s="401" t="s">
        <v>44</v>
      </c>
      <c r="EA17" s="401">
        <v>1</v>
      </c>
      <c r="EB17" s="401" t="s">
        <v>43</v>
      </c>
      <c r="EC17" s="401">
        <v>1.09</v>
      </c>
      <c r="ED17" s="401" t="s">
        <v>47</v>
      </c>
      <c r="EE17" s="401">
        <v>1</v>
      </c>
      <c r="EF17" s="401" t="s">
        <v>46</v>
      </c>
      <c r="EG17" s="99">
        <f t="shared" si="21"/>
        <v>5.778319714591554E-05</v>
      </c>
      <c r="EH17" s="99">
        <v>2.94</v>
      </c>
      <c r="EI17" s="99">
        <v>0.91</v>
      </c>
      <c r="EJ17" s="99">
        <f t="shared" si="22"/>
        <v>23.81</v>
      </c>
      <c r="EK17" s="99">
        <f t="shared" si="36"/>
        <v>1.1481</v>
      </c>
      <c r="EL17" s="444">
        <f t="shared" si="23"/>
        <v>19497.451133399998</v>
      </c>
      <c r="EM17" s="444">
        <f t="shared" si="37"/>
        <v>84202.22326788206</v>
      </c>
      <c r="EN17" s="708">
        <f t="shared" si="38"/>
        <v>14.30449258160453</v>
      </c>
      <c r="EO17" s="99">
        <f t="shared" si="24"/>
        <v>1500</v>
      </c>
      <c r="EP17" s="444">
        <f t="shared" si="25"/>
        <v>12</v>
      </c>
      <c r="EQ17" s="444">
        <f t="shared" si="39"/>
        <v>0.32762</v>
      </c>
      <c r="ER17" s="444">
        <f t="shared" si="40"/>
        <v>3.0523167083816616</v>
      </c>
      <c r="ES17" s="444">
        <f t="shared" si="41"/>
        <v>3.2697547683923704</v>
      </c>
      <c r="ET17" s="444">
        <f t="shared" si="42"/>
        <v>37.19317778902979</v>
      </c>
      <c r="EU17" s="708">
        <f t="shared" si="43"/>
        <v>37.19317778902979</v>
      </c>
      <c r="EV17" s="99">
        <f t="shared" si="44"/>
        <v>1596</v>
      </c>
      <c r="EW17" s="444">
        <f t="shared" si="45"/>
        <v>2512.6819444444445</v>
      </c>
      <c r="EX17" s="712"/>
      <c r="EY17" s="99"/>
      <c r="EZ17" s="99"/>
      <c r="FA17" s="99"/>
      <c r="FB17" s="99"/>
      <c r="FC17" s="99"/>
      <c r="FD17" s="99"/>
      <c r="FE17" s="99"/>
      <c r="FF17" s="99"/>
      <c r="FG17" s="99"/>
      <c r="FH17" s="99"/>
      <c r="FI17" s="99"/>
      <c r="FJ17" s="99"/>
      <c r="FK17" s="99"/>
      <c r="FL17" s="99"/>
      <c r="FM17" s="99"/>
      <c r="FN17" s="99"/>
      <c r="FO17" s="386"/>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386"/>
    </row>
    <row r="18" spans="1:229" s="37" customFormat="1" ht="15.75" customHeight="1">
      <c r="A18" s="60" t="s">
        <v>60</v>
      </c>
      <c r="B18" s="60" t="s">
        <v>60</v>
      </c>
      <c r="C18" s="75" t="s">
        <v>190</v>
      </c>
      <c r="D18" s="60">
        <v>1</v>
      </c>
      <c r="E18" s="371" t="s">
        <v>41</v>
      </c>
      <c r="F18" s="63" t="s">
        <v>40</v>
      </c>
      <c r="G18" s="64">
        <v>1500</v>
      </c>
      <c r="H18" s="64">
        <v>625</v>
      </c>
      <c r="I18" s="94">
        <f t="shared" si="0"/>
        <v>0.5833333333333334</v>
      </c>
      <c r="J18" s="61">
        <v>125</v>
      </c>
      <c r="K18" s="79">
        <v>2327.71</v>
      </c>
      <c r="L18" s="93">
        <f t="shared" si="1"/>
        <v>28214.6617291</v>
      </c>
      <c r="M18" s="93">
        <f t="shared" si="2"/>
        <v>23277.1</v>
      </c>
      <c r="N18" s="93">
        <f t="shared" si="3"/>
        <v>4937.5617291</v>
      </c>
      <c r="O18" s="94">
        <f t="shared" si="4"/>
        <v>25565.30499273751</v>
      </c>
      <c r="P18" s="93">
        <f t="shared" si="26"/>
        <v>25.56530499273751</v>
      </c>
      <c r="Q18" s="94">
        <f t="shared" si="27"/>
        <v>705.3665432275</v>
      </c>
      <c r="R18" s="105">
        <v>10</v>
      </c>
      <c r="S18" s="91">
        <f t="shared" si="5"/>
        <v>2821.4661729100003</v>
      </c>
      <c r="T18" s="62">
        <v>4</v>
      </c>
      <c r="U18" s="62">
        <v>1.5</v>
      </c>
      <c r="V18" s="62">
        <f t="shared" si="6"/>
        <v>0.061</v>
      </c>
      <c r="W18" s="62">
        <v>1</v>
      </c>
      <c r="X18" s="92">
        <f t="shared" si="46"/>
        <v>172.10943654751</v>
      </c>
      <c r="Y18" s="323">
        <v>8</v>
      </c>
      <c r="Z18" s="92">
        <f t="shared" si="7"/>
        <v>2045.224399419001</v>
      </c>
      <c r="AA18" s="62">
        <v>10</v>
      </c>
      <c r="AB18" s="91">
        <f t="shared" si="8"/>
        <v>2556.530499273751</v>
      </c>
      <c r="AC18" s="62" t="s">
        <v>44</v>
      </c>
      <c r="AD18" s="62">
        <v>30</v>
      </c>
      <c r="AE18" s="326" t="s">
        <v>42</v>
      </c>
      <c r="AF18" s="62">
        <v>1</v>
      </c>
      <c r="AG18" s="92">
        <f t="shared" si="47"/>
        <v>3323.4896490558763</v>
      </c>
      <c r="AH18" s="92">
        <f t="shared" si="9"/>
        <v>8207.5</v>
      </c>
      <c r="AI18" s="92">
        <f t="shared" si="48"/>
        <v>16886.055555555555</v>
      </c>
      <c r="AJ18" s="107">
        <f t="shared" si="28"/>
        <v>-1.0573933055809388</v>
      </c>
      <c r="AK18" s="95">
        <v>5</v>
      </c>
      <c r="AL18" s="96">
        <v>28</v>
      </c>
      <c r="AM18" s="378">
        <f t="shared" si="10"/>
        <v>1.0943333333333334</v>
      </c>
      <c r="AN18" s="108">
        <f t="shared" si="11"/>
        <v>5.403537777777778</v>
      </c>
      <c r="AO18" s="110">
        <f t="shared" si="29"/>
        <v>-3.9377439333942537</v>
      </c>
      <c r="AP18" s="729">
        <v>91.5</v>
      </c>
      <c r="AQ18" s="733">
        <v>1550</v>
      </c>
      <c r="AR18" s="64">
        <f t="shared" si="12"/>
        <v>1641.5</v>
      </c>
      <c r="AS18" s="67">
        <v>922.2111111111111</v>
      </c>
      <c r="AT18" s="65">
        <v>2455</v>
      </c>
      <c r="AU18" s="97">
        <f t="shared" si="13"/>
        <v>3377.211111111111</v>
      </c>
      <c r="AV18" s="94">
        <f t="shared" si="49"/>
        <v>0.5139480636554159</v>
      </c>
      <c r="AW18" s="93">
        <f>39.5+19.8</f>
        <v>59.3</v>
      </c>
      <c r="AX18" s="94">
        <f t="shared" si="30"/>
        <v>5.93</v>
      </c>
      <c r="AY18" s="69">
        <v>3</v>
      </c>
      <c r="AZ18" s="69">
        <v>30</v>
      </c>
      <c r="BA18" s="61">
        <v>12.5</v>
      </c>
      <c r="BB18" s="61">
        <v>9</v>
      </c>
      <c r="BC18" s="69">
        <v>20</v>
      </c>
      <c r="BD18" s="96">
        <f t="shared" si="14"/>
        <v>15.574355767735309</v>
      </c>
      <c r="BE18" s="61">
        <v>0</v>
      </c>
      <c r="BF18" s="61">
        <v>0</v>
      </c>
      <c r="BG18" s="66">
        <f t="shared" si="31"/>
        <v>0</v>
      </c>
      <c r="BH18" s="62">
        <v>297</v>
      </c>
      <c r="BI18" s="62">
        <v>260</v>
      </c>
      <c r="BJ18" s="92">
        <f t="shared" si="32"/>
        <v>37</v>
      </c>
      <c r="BK18" s="61">
        <v>0</v>
      </c>
      <c r="BL18" s="61">
        <v>0</v>
      </c>
      <c r="BM18" s="105">
        <f t="shared" si="33"/>
        <v>0</v>
      </c>
      <c r="BN18" s="96">
        <f t="shared" si="34"/>
        <v>0.011617307131065738</v>
      </c>
      <c r="BO18" s="70">
        <v>19</v>
      </c>
      <c r="BP18" s="113">
        <v>5</v>
      </c>
      <c r="BQ18" s="61">
        <v>0</v>
      </c>
      <c r="BR18" s="96">
        <f t="shared" si="15"/>
        <v>0.9834437086092715</v>
      </c>
      <c r="BS18" s="96">
        <f t="shared" si="16"/>
        <v>98.34437086092716</v>
      </c>
      <c r="BT18" s="96">
        <f t="shared" si="52"/>
        <v>0.8754208754208754</v>
      </c>
      <c r="BU18" s="61">
        <f t="shared" si="35"/>
        <v>5</v>
      </c>
      <c r="BV18" s="72">
        <v>32</v>
      </c>
      <c r="BW18" s="72">
        <v>32</v>
      </c>
      <c r="BX18" s="65">
        <f t="shared" si="51"/>
        <v>1</v>
      </c>
      <c r="BY18" s="61">
        <f t="shared" si="19"/>
        <v>2.56</v>
      </c>
      <c r="BZ18" s="71">
        <f t="shared" si="20"/>
        <v>0.08</v>
      </c>
      <c r="CA18" s="579"/>
      <c r="CB18" s="576"/>
      <c r="CC18" s="78">
        <v>27</v>
      </c>
      <c r="CD18" s="100">
        <v>65</v>
      </c>
      <c r="CE18" s="105">
        <v>0</v>
      </c>
      <c r="CF18" s="102">
        <v>100</v>
      </c>
      <c r="CG18" s="61">
        <v>9</v>
      </c>
      <c r="CH18" s="61">
        <v>6</v>
      </c>
      <c r="CI18" s="66">
        <f t="shared" si="50"/>
        <v>15</v>
      </c>
      <c r="CJ18" s="61">
        <v>5</v>
      </c>
      <c r="CK18" s="397" t="s">
        <v>46</v>
      </c>
      <c r="CL18" s="397">
        <v>6.2</v>
      </c>
      <c r="CM18" s="62" t="s">
        <v>42</v>
      </c>
      <c r="CN18" s="62">
        <v>0</v>
      </c>
      <c r="CO18" s="62" t="s">
        <v>369</v>
      </c>
      <c r="CP18" s="62">
        <v>7.07</v>
      </c>
      <c r="CQ18" s="62" t="s">
        <v>45</v>
      </c>
      <c r="CR18" s="62">
        <v>1.1</v>
      </c>
      <c r="CS18" s="60" t="s">
        <v>60</v>
      </c>
      <c r="CT18" s="62" t="s">
        <v>370</v>
      </c>
      <c r="CU18" s="427">
        <v>7.8</v>
      </c>
      <c r="CV18" s="72" t="s">
        <v>46</v>
      </c>
      <c r="CW18" s="398">
        <v>0.82</v>
      </c>
      <c r="CX18" s="777" t="s">
        <v>44</v>
      </c>
      <c r="CY18" s="777">
        <v>1</v>
      </c>
      <c r="CZ18" s="399" t="s">
        <v>47</v>
      </c>
      <c r="DA18" s="399">
        <v>1.07</v>
      </c>
      <c r="DB18" s="72" t="s">
        <v>46</v>
      </c>
      <c r="DC18" s="72">
        <v>0.81</v>
      </c>
      <c r="DD18" s="72" t="s">
        <v>44</v>
      </c>
      <c r="DE18" s="72">
        <v>1</v>
      </c>
      <c r="DF18" s="72" t="s">
        <v>44</v>
      </c>
      <c r="DG18" s="72">
        <v>1</v>
      </c>
      <c r="DH18" s="72" t="s">
        <v>44</v>
      </c>
      <c r="DI18" s="72">
        <v>1</v>
      </c>
      <c r="DJ18" s="72" t="s">
        <v>43</v>
      </c>
      <c r="DK18" s="72">
        <v>0.87</v>
      </c>
      <c r="DL18" s="72" t="s">
        <v>44</v>
      </c>
      <c r="DM18" s="400" t="s">
        <v>44</v>
      </c>
      <c r="DN18" s="91">
        <v>0.01</v>
      </c>
      <c r="DO18" s="400" t="s">
        <v>44</v>
      </c>
      <c r="DP18" s="91">
        <v>0.01</v>
      </c>
      <c r="DQ18" s="400" t="s">
        <v>43</v>
      </c>
      <c r="DR18" s="91">
        <v>1.12</v>
      </c>
      <c r="DS18" s="401" t="s">
        <v>45</v>
      </c>
      <c r="DT18" s="62" t="s">
        <v>372</v>
      </c>
      <c r="DU18" s="62">
        <v>0.88</v>
      </c>
      <c r="DV18" s="62" t="s">
        <v>372</v>
      </c>
      <c r="DW18" s="62">
        <v>0.91</v>
      </c>
      <c r="DX18" s="72" t="s">
        <v>44</v>
      </c>
      <c r="DY18" s="72">
        <v>1</v>
      </c>
      <c r="DZ18" s="72" t="s">
        <v>43</v>
      </c>
      <c r="EA18" s="72">
        <v>1.09</v>
      </c>
      <c r="EB18" s="72" t="s">
        <v>47</v>
      </c>
      <c r="EC18" s="72">
        <v>0.93</v>
      </c>
      <c r="ED18" s="72" t="s">
        <v>46</v>
      </c>
      <c r="EE18" s="72">
        <v>1.43</v>
      </c>
      <c r="EF18" s="72" t="s">
        <v>46</v>
      </c>
      <c r="EG18" s="99">
        <f t="shared" si="21"/>
        <v>8.038767585844658E-05</v>
      </c>
      <c r="EH18" s="99">
        <v>2.94</v>
      </c>
      <c r="EI18" s="99">
        <v>0.91</v>
      </c>
      <c r="EJ18" s="99">
        <f t="shared" si="22"/>
        <v>23.81</v>
      </c>
      <c r="EK18" s="99">
        <f t="shared" si="36"/>
        <v>1.1481</v>
      </c>
      <c r="EL18" s="444">
        <f t="shared" si="23"/>
        <v>28214.6617291</v>
      </c>
      <c r="EM18" s="444">
        <f t="shared" si="37"/>
        <v>128703.44528293326</v>
      </c>
      <c r="EN18" s="715">
        <f t="shared" si="38"/>
        <v>30.417742273333076</v>
      </c>
      <c r="EO18" s="99">
        <f t="shared" si="24"/>
        <v>1500</v>
      </c>
      <c r="EP18" s="444">
        <f t="shared" si="25"/>
        <v>12</v>
      </c>
      <c r="EQ18" s="444">
        <f t="shared" si="39"/>
        <v>0.32762</v>
      </c>
      <c r="ER18" s="444">
        <f t="shared" si="40"/>
        <v>3.0523167083816616</v>
      </c>
      <c r="ES18" s="444">
        <f t="shared" si="41"/>
        <v>3.2697547683923704</v>
      </c>
      <c r="ET18" s="444">
        <f t="shared" si="42"/>
        <v>37.19317778902979</v>
      </c>
      <c r="EU18" s="715">
        <f t="shared" si="43"/>
        <v>37.19317778902979</v>
      </c>
      <c r="EV18" s="99">
        <f t="shared" si="44"/>
        <v>1641.5</v>
      </c>
      <c r="EW18" s="444">
        <f t="shared" si="45"/>
        <v>3377.211111111111</v>
      </c>
      <c r="EX18" s="712"/>
      <c r="EY18" s="99"/>
      <c r="EZ18" s="99"/>
      <c r="FA18" s="99"/>
      <c r="FB18" s="99"/>
      <c r="FC18" s="99"/>
      <c r="FD18" s="99"/>
      <c r="FE18" s="99"/>
      <c r="FF18" s="99"/>
      <c r="FG18" s="99"/>
      <c r="FH18" s="99"/>
      <c r="FI18" s="99"/>
      <c r="FJ18" s="99"/>
      <c r="FK18" s="99"/>
      <c r="FL18" s="99"/>
      <c r="FM18" s="99"/>
      <c r="FN18" s="99"/>
      <c r="FO18" s="386"/>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386"/>
    </row>
    <row r="19" spans="1:229" s="490" customFormat="1" ht="15.75" customHeight="1">
      <c r="A19" s="447"/>
      <c r="B19" s="447"/>
      <c r="C19" s="449"/>
      <c r="D19" s="450"/>
      <c r="E19" s="451"/>
      <c r="F19" s="453"/>
      <c r="G19" s="454"/>
      <c r="H19" s="454"/>
      <c r="I19" s="455"/>
      <c r="J19" s="456"/>
      <c r="K19" s="457"/>
      <c r="L19" s="458"/>
      <c r="M19" s="458"/>
      <c r="N19" s="458"/>
      <c r="O19" s="459"/>
      <c r="P19" s="458"/>
      <c r="Q19" s="459"/>
      <c r="R19" s="460"/>
      <c r="S19" s="461"/>
      <c r="T19" s="452"/>
      <c r="U19" s="452"/>
      <c r="V19" s="452"/>
      <c r="W19" s="452"/>
      <c r="X19" s="462"/>
      <c r="Y19" s="463"/>
      <c r="Z19" s="462"/>
      <c r="AA19" s="452"/>
      <c r="AB19" s="461"/>
      <c r="AC19" s="452"/>
      <c r="AD19" s="452"/>
      <c r="AE19" s="464"/>
      <c r="AF19" s="452"/>
      <c r="AG19" s="462"/>
      <c r="AH19" s="462"/>
      <c r="AI19" s="462"/>
      <c r="AJ19" s="462"/>
      <c r="AK19" s="465"/>
      <c r="AL19" s="466"/>
      <c r="AM19" s="466"/>
      <c r="AN19" s="465"/>
      <c r="AO19" s="467"/>
      <c r="AP19" s="741"/>
      <c r="AQ19" s="742"/>
      <c r="AR19" s="454"/>
      <c r="AS19" s="469"/>
      <c r="AT19" s="468"/>
      <c r="AU19" s="470"/>
      <c r="AV19" s="459"/>
      <c r="AW19" s="458"/>
      <c r="AX19" s="455"/>
      <c r="AY19" s="471"/>
      <c r="AZ19" s="471"/>
      <c r="BA19" s="456"/>
      <c r="BB19" s="456"/>
      <c r="BC19" s="471"/>
      <c r="BD19" s="466"/>
      <c r="BE19" s="456"/>
      <c r="BF19" s="456"/>
      <c r="BG19" s="472"/>
      <c r="BH19" s="452"/>
      <c r="BI19" s="452"/>
      <c r="BJ19" s="473"/>
      <c r="BK19" s="456"/>
      <c r="BL19" s="456"/>
      <c r="BM19" s="446"/>
      <c r="BN19" s="477"/>
      <c r="BO19" s="475"/>
      <c r="BP19" s="476"/>
      <c r="BQ19" s="456"/>
      <c r="BR19" s="477"/>
      <c r="BS19" s="466"/>
      <c r="BT19" s="466"/>
      <c r="BU19" s="456"/>
      <c r="BV19" s="478"/>
      <c r="BW19" s="478"/>
      <c r="BX19" s="468"/>
      <c r="BY19" s="456"/>
      <c r="BZ19" s="474"/>
      <c r="CA19" s="691"/>
      <c r="CB19" s="692"/>
      <c r="CC19" s="479"/>
      <c r="CD19" s="480"/>
      <c r="CE19" s="460"/>
      <c r="CF19" s="481"/>
      <c r="CG19" s="456"/>
      <c r="CH19" s="456"/>
      <c r="CI19" s="482"/>
      <c r="CJ19" s="456"/>
      <c r="CK19" s="483"/>
      <c r="CL19" s="483"/>
      <c r="CM19" s="452"/>
      <c r="CN19" s="452"/>
      <c r="CO19" s="452"/>
      <c r="CP19" s="452"/>
      <c r="CQ19" s="452"/>
      <c r="CR19" s="452"/>
      <c r="CS19" s="447"/>
      <c r="CT19" s="452"/>
      <c r="CU19" s="484"/>
      <c r="CV19" s="479"/>
      <c r="CW19" s="479"/>
      <c r="CX19" s="780"/>
      <c r="CY19" s="780"/>
      <c r="CZ19" s="485"/>
      <c r="DA19" s="486"/>
      <c r="DB19" s="479"/>
      <c r="DC19" s="479"/>
      <c r="DD19" s="478"/>
      <c r="DE19" s="478"/>
      <c r="DF19" s="478"/>
      <c r="DG19" s="478"/>
      <c r="DH19" s="478"/>
      <c r="DI19" s="478"/>
      <c r="DJ19" s="478"/>
      <c r="DK19" s="478"/>
      <c r="DL19" s="478"/>
      <c r="DM19" s="487"/>
      <c r="DN19" s="461"/>
      <c r="DO19" s="487"/>
      <c r="DP19" s="461"/>
      <c r="DQ19" s="487"/>
      <c r="DR19" s="499"/>
      <c r="DS19" s="511"/>
      <c r="DT19" s="452"/>
      <c r="DU19" s="452"/>
      <c r="DV19" s="452"/>
      <c r="DW19" s="452"/>
      <c r="DX19" s="511"/>
      <c r="DY19" s="511"/>
      <c r="DZ19" s="511"/>
      <c r="EA19" s="511"/>
      <c r="EB19" s="511"/>
      <c r="EC19" s="511"/>
      <c r="ED19" s="511"/>
      <c r="EE19" s="511"/>
      <c r="EF19" s="511"/>
      <c r="EG19" s="445"/>
      <c r="EH19" s="445"/>
      <c r="EI19" s="445"/>
      <c r="EJ19" s="445"/>
      <c r="EK19" s="445"/>
      <c r="EL19" s="488"/>
      <c r="EM19" s="488"/>
      <c r="EN19" s="717"/>
      <c r="EO19" s="445"/>
      <c r="EP19" s="488"/>
      <c r="EQ19" s="488"/>
      <c r="ER19" s="488"/>
      <c r="ES19" s="488"/>
      <c r="ET19" s="488"/>
      <c r="EU19" s="702" t="s">
        <v>421</v>
      </c>
      <c r="EV19" s="445"/>
      <c r="EW19" s="488"/>
      <c r="EX19" s="714" t="s">
        <v>422</v>
      </c>
      <c r="EY19" s="445"/>
      <c r="EZ19" s="445"/>
      <c r="FA19" s="445"/>
      <c r="FB19" s="445"/>
      <c r="FC19" s="445"/>
      <c r="FD19" s="445"/>
      <c r="FE19" s="445"/>
      <c r="FF19" s="445"/>
      <c r="FG19" s="445"/>
      <c r="FH19" s="445"/>
      <c r="FI19" s="445"/>
      <c r="FJ19" s="445"/>
      <c r="FK19" s="445"/>
      <c r="FL19" s="445"/>
      <c r="FM19" s="445"/>
      <c r="FN19" s="445"/>
      <c r="FO19" s="489"/>
      <c r="FQ19" s="445"/>
      <c r="FR19" s="445"/>
      <c r="FS19" s="445"/>
      <c r="FT19" s="445"/>
      <c r="FU19" s="445"/>
      <c r="FV19" s="445"/>
      <c r="FW19" s="445"/>
      <c r="FX19" s="445"/>
      <c r="FY19" s="445"/>
      <c r="FZ19" s="445"/>
      <c r="GA19" s="445"/>
      <c r="GB19" s="445"/>
      <c r="GC19" s="445"/>
      <c r="GD19" s="445"/>
      <c r="GE19" s="445"/>
      <c r="GF19" s="445"/>
      <c r="GG19" s="445"/>
      <c r="GH19" s="445"/>
      <c r="GI19" s="445"/>
      <c r="GJ19" s="445"/>
      <c r="GK19" s="445"/>
      <c r="GL19" s="445"/>
      <c r="GM19" s="445"/>
      <c r="GN19" s="445"/>
      <c r="GO19" s="445"/>
      <c r="GP19" s="445"/>
      <c r="GQ19" s="445"/>
      <c r="GR19" s="445"/>
      <c r="GS19" s="445"/>
      <c r="GT19" s="445"/>
      <c r="GU19" s="445"/>
      <c r="GV19" s="445"/>
      <c r="GW19" s="445"/>
      <c r="GX19" s="445"/>
      <c r="GY19" s="445"/>
      <c r="GZ19" s="445"/>
      <c r="HA19" s="445"/>
      <c r="HB19" s="445"/>
      <c r="HC19" s="445"/>
      <c r="HD19" s="445"/>
      <c r="HE19" s="445"/>
      <c r="HF19" s="445"/>
      <c r="HG19" s="445"/>
      <c r="HH19" s="445"/>
      <c r="HI19" s="445"/>
      <c r="HJ19" s="445"/>
      <c r="HK19" s="445"/>
      <c r="HL19" s="445"/>
      <c r="HM19" s="445"/>
      <c r="HN19" s="445"/>
      <c r="HO19" s="445"/>
      <c r="HP19" s="445"/>
      <c r="HQ19" s="445"/>
      <c r="HR19" s="445"/>
      <c r="HS19" s="445"/>
      <c r="HT19" s="445"/>
      <c r="HU19" s="489"/>
    </row>
    <row r="20" spans="1:229" s="192" customFormat="1" ht="14.25" customHeight="1">
      <c r="A20" s="166" t="s">
        <v>69</v>
      </c>
      <c r="B20" s="166" t="s">
        <v>69</v>
      </c>
      <c r="C20" s="316" t="s">
        <v>43</v>
      </c>
      <c r="D20" s="316">
        <v>2</v>
      </c>
      <c r="E20" s="372" t="s">
        <v>41</v>
      </c>
      <c r="F20" s="169" t="s">
        <v>40</v>
      </c>
      <c r="G20" s="170">
        <v>1500</v>
      </c>
      <c r="H20" s="170">
        <v>625</v>
      </c>
      <c r="I20" s="171">
        <f t="shared" si="0"/>
        <v>0.5833333333333334</v>
      </c>
      <c r="J20" s="167">
        <v>125</v>
      </c>
      <c r="K20" s="172">
        <v>863.44</v>
      </c>
      <c r="L20" s="173">
        <f t="shared" si="1"/>
        <v>10465.937562400002</v>
      </c>
      <c r="M20" s="173">
        <f t="shared" si="2"/>
        <v>8634.400000000001</v>
      </c>
      <c r="N20" s="173">
        <f t="shared" si="3"/>
        <v>1831.5375624000003</v>
      </c>
      <c r="O20" s="174">
        <f t="shared" si="4"/>
        <v>8743.924525570517</v>
      </c>
      <c r="P20" s="173">
        <f>O20/1000</f>
        <v>8.743924525570517</v>
      </c>
      <c r="Q20" s="174">
        <f>L20/40</f>
        <v>261.64843906000004</v>
      </c>
      <c r="R20" s="189">
        <v>17.5</v>
      </c>
      <c r="S20" s="175">
        <f t="shared" si="5"/>
        <v>1831.5390734200002</v>
      </c>
      <c r="T20" s="168">
        <v>4</v>
      </c>
      <c r="U20" s="168">
        <v>1.5</v>
      </c>
      <c r="V20" s="168">
        <f t="shared" si="6"/>
        <v>0.059800000000000006</v>
      </c>
      <c r="W20" s="168">
        <v>1</v>
      </c>
      <c r="X20" s="176">
        <f t="shared" si="46"/>
        <v>109.52603659051603</v>
      </c>
      <c r="Y20" s="324">
        <v>9</v>
      </c>
      <c r="Z20" s="176">
        <f t="shared" si="7"/>
        <v>786.9532073013465</v>
      </c>
      <c r="AA20" s="168">
        <v>10</v>
      </c>
      <c r="AB20" s="175">
        <f t="shared" si="8"/>
        <v>874.3924525570518</v>
      </c>
      <c r="AC20" s="168" t="s">
        <v>44</v>
      </c>
      <c r="AD20" s="168">
        <v>30</v>
      </c>
      <c r="AE20" s="327" t="s">
        <v>45</v>
      </c>
      <c r="AF20" s="168">
        <v>0.8</v>
      </c>
      <c r="AG20" s="176">
        <f t="shared" si="47"/>
        <v>1084.2466411707442</v>
      </c>
      <c r="AH20" s="176">
        <f t="shared" si="9"/>
        <v>5221.2</v>
      </c>
      <c r="AI20" s="176">
        <f t="shared" si="48"/>
        <v>5699.487</v>
      </c>
      <c r="AJ20" s="176">
        <f t="shared" si="28"/>
        <v>-0.09160480349344984</v>
      </c>
      <c r="AK20" s="177">
        <v>5.7</v>
      </c>
      <c r="AL20" s="178">
        <v>28</v>
      </c>
      <c r="AM20" s="178">
        <f t="shared" si="10"/>
        <v>0.6106666666666667</v>
      </c>
      <c r="AN20" s="177">
        <f t="shared" si="11"/>
        <v>1.599856</v>
      </c>
      <c r="AO20" s="570">
        <f t="shared" si="29"/>
        <v>-1.6198515283842794</v>
      </c>
      <c r="AP20" s="743">
        <v>0</v>
      </c>
      <c r="AQ20" s="744">
        <v>916</v>
      </c>
      <c r="AR20" s="170">
        <f t="shared" si="12"/>
        <v>916</v>
      </c>
      <c r="AS20" s="179">
        <v>90.91</v>
      </c>
      <c r="AT20" s="180">
        <v>909</v>
      </c>
      <c r="AU20" s="181">
        <f t="shared" si="13"/>
        <v>999.91</v>
      </c>
      <c r="AV20" s="174">
        <f t="shared" si="49"/>
        <v>0.08391755257973214</v>
      </c>
      <c r="AW20" s="367">
        <f>25.1+39.9</f>
        <v>65</v>
      </c>
      <c r="AX20" s="368">
        <f t="shared" si="30"/>
        <v>11.375</v>
      </c>
      <c r="AY20" s="182">
        <v>3</v>
      </c>
      <c r="AZ20" s="182">
        <v>30</v>
      </c>
      <c r="BA20" s="167">
        <v>12.5</v>
      </c>
      <c r="BB20" s="167">
        <v>9</v>
      </c>
      <c r="BC20" s="182">
        <v>25</v>
      </c>
      <c r="BD20" s="178">
        <f t="shared" si="14"/>
        <v>9.545769132718906</v>
      </c>
      <c r="BE20" s="167">
        <v>0</v>
      </c>
      <c r="BF20" s="167">
        <v>0</v>
      </c>
      <c r="BG20" s="183">
        <f t="shared" si="31"/>
        <v>0</v>
      </c>
      <c r="BH20" s="168">
        <v>17</v>
      </c>
      <c r="BI20" s="168">
        <v>13</v>
      </c>
      <c r="BJ20" s="184">
        <f t="shared" si="32"/>
        <v>4</v>
      </c>
      <c r="BK20" s="167">
        <v>0</v>
      </c>
      <c r="BL20" s="167">
        <v>0</v>
      </c>
      <c r="BM20" s="185">
        <f t="shared" si="33"/>
        <v>0</v>
      </c>
      <c r="BN20" s="96">
        <f t="shared" si="34"/>
        <v>0.001944207083476718</v>
      </c>
      <c r="BO20" s="186">
        <v>12</v>
      </c>
      <c r="BP20" s="187">
        <v>4</v>
      </c>
      <c r="BQ20" s="167">
        <v>0</v>
      </c>
      <c r="BR20" s="96">
        <f t="shared" si="15"/>
        <v>0.8095238095238095</v>
      </c>
      <c r="BS20" s="178">
        <f t="shared" si="16"/>
        <v>80.95238095238095</v>
      </c>
      <c r="BT20" s="178">
        <f t="shared" si="52"/>
        <v>0.7647058823529411</v>
      </c>
      <c r="BU20" s="167">
        <f>CJ20</f>
        <v>5</v>
      </c>
      <c r="BV20" s="180">
        <v>27</v>
      </c>
      <c r="BW20" s="180">
        <v>27</v>
      </c>
      <c r="BX20" s="180">
        <f>BV20/BW20</f>
        <v>1</v>
      </c>
      <c r="BY20" s="167">
        <f t="shared" si="19"/>
        <v>2.43</v>
      </c>
      <c r="BZ20" s="71">
        <f t="shared" si="20"/>
        <v>0.09000000000000001</v>
      </c>
      <c r="CA20" s="650"/>
      <c r="CB20" s="650"/>
      <c r="CC20" s="188">
        <v>13</v>
      </c>
      <c r="CD20" s="321">
        <v>70</v>
      </c>
      <c r="CE20" s="189">
        <v>0</v>
      </c>
      <c r="CF20" s="190">
        <v>100</v>
      </c>
      <c r="CG20" s="167">
        <v>9</v>
      </c>
      <c r="CH20" s="167">
        <v>6</v>
      </c>
      <c r="CI20" s="191">
        <f t="shared" si="50"/>
        <v>15</v>
      </c>
      <c r="CJ20" s="167">
        <v>5</v>
      </c>
      <c r="CK20" s="402" t="s">
        <v>43</v>
      </c>
      <c r="CL20" s="402">
        <v>4.96</v>
      </c>
      <c r="CM20" s="168" t="s">
        <v>42</v>
      </c>
      <c r="CN20" s="168">
        <v>0</v>
      </c>
      <c r="CO20" s="168" t="s">
        <v>369</v>
      </c>
      <c r="CP20" s="168">
        <v>7.07</v>
      </c>
      <c r="CQ20" s="168" t="s">
        <v>45</v>
      </c>
      <c r="CR20" s="168">
        <v>1.1</v>
      </c>
      <c r="CS20" s="166" t="s">
        <v>69</v>
      </c>
      <c r="CT20" s="168" t="s">
        <v>43</v>
      </c>
      <c r="CU20" s="428">
        <v>6.24</v>
      </c>
      <c r="CV20" s="403" t="s">
        <v>43</v>
      </c>
      <c r="CW20" s="403">
        <v>0.92</v>
      </c>
      <c r="CX20" s="781" t="s">
        <v>43</v>
      </c>
      <c r="CY20" s="781">
        <v>0.9</v>
      </c>
      <c r="CZ20" s="404" t="s">
        <v>47</v>
      </c>
      <c r="DA20" s="399">
        <v>1.07</v>
      </c>
      <c r="DB20" s="403" t="s">
        <v>43</v>
      </c>
      <c r="DC20" s="208">
        <v>0.91</v>
      </c>
      <c r="DD20" s="402" t="s">
        <v>371</v>
      </c>
      <c r="DE20" s="402">
        <v>0.87</v>
      </c>
      <c r="DF20" s="179" t="s">
        <v>44</v>
      </c>
      <c r="DG20" s="179">
        <v>1</v>
      </c>
      <c r="DH20" s="179" t="s">
        <v>44</v>
      </c>
      <c r="DI20" s="179">
        <v>1</v>
      </c>
      <c r="DJ20" s="179" t="s">
        <v>43</v>
      </c>
      <c r="DK20" s="179">
        <v>0.87</v>
      </c>
      <c r="DL20" s="179" t="s">
        <v>44</v>
      </c>
      <c r="DM20" s="405" t="s">
        <v>44</v>
      </c>
      <c r="DN20" s="175">
        <v>0.01</v>
      </c>
      <c r="DO20" s="405" t="s">
        <v>44</v>
      </c>
      <c r="DP20" s="175">
        <v>0.01</v>
      </c>
      <c r="DQ20" s="405" t="s">
        <v>43</v>
      </c>
      <c r="DR20" s="200">
        <v>1.12</v>
      </c>
      <c r="DS20" s="406" t="s">
        <v>45</v>
      </c>
      <c r="DT20" s="168" t="s">
        <v>372</v>
      </c>
      <c r="DU20" s="168">
        <v>0.88</v>
      </c>
      <c r="DV20" s="168" t="s">
        <v>372</v>
      </c>
      <c r="DW20" s="168">
        <v>0.91</v>
      </c>
      <c r="DX20" s="168" t="s">
        <v>372</v>
      </c>
      <c r="DY20" s="168">
        <v>0.91</v>
      </c>
      <c r="DZ20" s="406" t="s">
        <v>44</v>
      </c>
      <c r="EA20" s="179">
        <v>1</v>
      </c>
      <c r="EB20" s="406" t="s">
        <v>43</v>
      </c>
      <c r="EC20" s="179">
        <v>1.09</v>
      </c>
      <c r="ED20" s="406" t="s">
        <v>47</v>
      </c>
      <c r="EE20" s="179">
        <v>1</v>
      </c>
      <c r="EF20" s="406" t="s">
        <v>46</v>
      </c>
      <c r="EG20" s="99">
        <f aca="true" t="shared" si="53" ref="EG20:EG33">CW20*CY20*DA20*DC20*DE20*DG20*DI20*DK20*DN20*DP20*DR20*DU20*DW20*DY20*EA20*EC20*EE20</f>
        <v>5.428801839172359E-05</v>
      </c>
      <c r="EH20" s="99">
        <v>2.94</v>
      </c>
      <c r="EI20" s="99">
        <v>0.91</v>
      </c>
      <c r="EJ20" s="99">
        <f aca="true" t="shared" si="54" ref="EJ20:EJ33">SUM(CL20,CN20,CP20,CR20,CU20,CW20,CW20)</f>
        <v>21.210000000000004</v>
      </c>
      <c r="EK20" s="99">
        <f t="shared" si="36"/>
        <v>1.1221</v>
      </c>
      <c r="EL20" s="444">
        <f aca="true" t="shared" si="55" ref="EL20:EL33">L20</f>
        <v>10465.937562400002</v>
      </c>
      <c r="EM20" s="444">
        <f t="shared" si="37"/>
        <v>32403.58417223512</v>
      </c>
      <c r="EN20" s="716">
        <f t="shared" si="38"/>
        <v>5.171831538090187</v>
      </c>
      <c r="EO20" s="99">
        <f aca="true" t="shared" si="56" ref="EO20:EO33">G20</f>
        <v>1500</v>
      </c>
      <c r="EP20" s="444">
        <f aca="true" t="shared" si="57" ref="EP20:EP33">G20/J20</f>
        <v>12</v>
      </c>
      <c r="EQ20" s="444">
        <f t="shared" si="39"/>
        <v>0.32242000000000004</v>
      </c>
      <c r="ER20" s="444">
        <f t="shared" si="40"/>
        <v>3.101544569195459</v>
      </c>
      <c r="ES20" s="444">
        <f t="shared" si="41"/>
        <v>3.2697547683923704</v>
      </c>
      <c r="ET20" s="444">
        <f t="shared" si="42"/>
        <v>39.42682160967004</v>
      </c>
      <c r="EU20" s="716">
        <f t="shared" si="43"/>
        <v>39.42682160967004</v>
      </c>
      <c r="EV20" s="99">
        <f t="shared" si="44"/>
        <v>916</v>
      </c>
      <c r="EW20" s="444">
        <f t="shared" si="45"/>
        <v>999.91</v>
      </c>
      <c r="EX20" s="712"/>
      <c r="EY20" s="99"/>
      <c r="EZ20" s="99"/>
      <c r="FA20" s="99"/>
      <c r="FB20" s="99"/>
      <c r="FC20" s="99"/>
      <c r="FD20" s="99"/>
      <c r="FE20" s="99"/>
      <c r="FF20" s="99"/>
      <c r="FG20" s="99"/>
      <c r="FH20" s="99"/>
      <c r="FI20" s="99"/>
      <c r="FJ20" s="99"/>
      <c r="FK20" s="99"/>
      <c r="FL20" s="99"/>
      <c r="FM20" s="99"/>
      <c r="FN20" s="99"/>
      <c r="FO20" s="387"/>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387"/>
    </row>
    <row r="21" spans="1:229" s="192" customFormat="1" ht="15.75" customHeight="1">
      <c r="A21" s="193" t="s">
        <v>68</v>
      </c>
      <c r="B21" s="193" t="s">
        <v>68</v>
      </c>
      <c r="C21" s="316" t="s">
        <v>43</v>
      </c>
      <c r="D21" s="316">
        <v>2</v>
      </c>
      <c r="E21" s="373" t="s">
        <v>41</v>
      </c>
      <c r="F21" s="196" t="s">
        <v>40</v>
      </c>
      <c r="G21" s="673">
        <v>1500</v>
      </c>
      <c r="H21" s="673">
        <v>625</v>
      </c>
      <c r="I21" s="674">
        <f t="shared" si="0"/>
        <v>0.5833333333333334</v>
      </c>
      <c r="J21" s="194">
        <v>125</v>
      </c>
      <c r="K21" s="675">
        <v>119.7</v>
      </c>
      <c r="L21" s="676">
        <f t="shared" si="1"/>
        <v>1450.908837</v>
      </c>
      <c r="M21" s="676">
        <f t="shared" si="2"/>
        <v>1197</v>
      </c>
      <c r="N21" s="676">
        <f t="shared" si="3"/>
        <v>253.908837</v>
      </c>
      <c r="O21" s="674">
        <f t="shared" si="4"/>
        <v>1212.183551504205</v>
      </c>
      <c r="P21" s="677">
        <f aca="true" t="shared" si="58" ref="P21:P33">O21/1000</f>
        <v>1.212183551504205</v>
      </c>
      <c r="Q21" s="678">
        <f aca="true" t="shared" si="59" ref="Q21:Q33">L21/40</f>
        <v>36.272720925</v>
      </c>
      <c r="R21" s="189">
        <v>17.5</v>
      </c>
      <c r="S21" s="200">
        <f t="shared" si="5"/>
        <v>253.90904647499997</v>
      </c>
      <c r="T21" s="195">
        <v>4</v>
      </c>
      <c r="U21" s="195">
        <v>1.5</v>
      </c>
      <c r="V21" s="195">
        <f t="shared" si="6"/>
        <v>0.059800000000000006</v>
      </c>
      <c r="W21" s="195">
        <v>1</v>
      </c>
      <c r="X21" s="184">
        <f t="shared" si="46"/>
        <v>15.183760979205</v>
      </c>
      <c r="Y21" s="189">
        <v>9</v>
      </c>
      <c r="Z21" s="184">
        <f t="shared" si="7"/>
        <v>109.09651963537846</v>
      </c>
      <c r="AA21" s="195">
        <v>10</v>
      </c>
      <c r="AB21" s="200">
        <f t="shared" si="8"/>
        <v>121.2183551504205</v>
      </c>
      <c r="AC21" s="195" t="s">
        <v>44</v>
      </c>
      <c r="AD21" s="195">
        <v>30</v>
      </c>
      <c r="AE21" s="168" t="s">
        <v>45</v>
      </c>
      <c r="AF21" s="168">
        <v>0.8</v>
      </c>
      <c r="AG21" s="184">
        <f t="shared" si="47"/>
        <v>150.31076038652142</v>
      </c>
      <c r="AH21" s="184">
        <f t="shared" si="9"/>
        <v>644.1</v>
      </c>
      <c r="AI21" s="184">
        <f t="shared" si="48"/>
        <v>735.3000000000001</v>
      </c>
      <c r="AJ21" s="176">
        <f t="shared" si="28"/>
        <v>-0.14159292035398235</v>
      </c>
      <c r="AK21" s="201">
        <v>5.7</v>
      </c>
      <c r="AL21" s="202">
        <v>28</v>
      </c>
      <c r="AM21" s="178">
        <f t="shared" si="10"/>
        <v>0.07533333333333334</v>
      </c>
      <c r="AN21" s="177">
        <f t="shared" si="11"/>
        <v>0.2064</v>
      </c>
      <c r="AO21" s="570">
        <f t="shared" si="29"/>
        <v>-1.7398230088495574</v>
      </c>
      <c r="AP21" s="745"/>
      <c r="AQ21" s="746">
        <v>113</v>
      </c>
      <c r="AR21" s="673">
        <f t="shared" si="12"/>
        <v>113</v>
      </c>
      <c r="AS21" s="203"/>
      <c r="AT21" s="675">
        <v>129</v>
      </c>
      <c r="AU21" s="204">
        <f t="shared" si="13"/>
        <v>129</v>
      </c>
      <c r="AV21" s="674">
        <f t="shared" si="49"/>
        <v>0.12403100775193798</v>
      </c>
      <c r="AW21" s="679">
        <f>43+15</f>
        <v>58</v>
      </c>
      <c r="AX21" s="680">
        <f t="shared" si="30"/>
        <v>10.149999999999999</v>
      </c>
      <c r="AY21" s="205">
        <v>3</v>
      </c>
      <c r="AZ21" s="205">
        <v>30</v>
      </c>
      <c r="BA21" s="194">
        <v>12.5</v>
      </c>
      <c r="BB21" s="194">
        <v>9</v>
      </c>
      <c r="BC21" s="205">
        <v>25</v>
      </c>
      <c r="BD21" s="202">
        <f t="shared" si="14"/>
        <v>10.727288066408894</v>
      </c>
      <c r="BE21" s="194">
        <v>0</v>
      </c>
      <c r="BF21" s="194">
        <v>0</v>
      </c>
      <c r="BG21" s="183">
        <f t="shared" si="31"/>
        <v>0</v>
      </c>
      <c r="BH21" s="195">
        <v>76</v>
      </c>
      <c r="BI21" s="195">
        <v>62</v>
      </c>
      <c r="BJ21" s="184">
        <f t="shared" si="32"/>
        <v>14</v>
      </c>
      <c r="BK21" s="194">
        <v>0</v>
      </c>
      <c r="BL21" s="194">
        <v>0</v>
      </c>
      <c r="BM21" s="185">
        <f t="shared" si="33"/>
        <v>0</v>
      </c>
      <c r="BN21" s="96">
        <f t="shared" si="34"/>
        <v>0.06269677550540197</v>
      </c>
      <c r="BO21" s="194">
        <v>2</v>
      </c>
      <c r="BP21" s="681">
        <v>2</v>
      </c>
      <c r="BQ21" s="194">
        <v>0</v>
      </c>
      <c r="BR21" s="96">
        <f t="shared" si="15"/>
        <v>0.9743589743589743</v>
      </c>
      <c r="BS21" s="202">
        <f t="shared" si="16"/>
        <v>97.43589743589743</v>
      </c>
      <c r="BT21" s="202">
        <f t="shared" si="52"/>
        <v>0.8157894736842105</v>
      </c>
      <c r="BU21" s="167">
        <f aca="true" t="shared" si="60" ref="BU21:BU33">CJ21</f>
        <v>5</v>
      </c>
      <c r="BV21" s="675">
        <v>1</v>
      </c>
      <c r="BW21" s="675">
        <v>1</v>
      </c>
      <c r="BX21" s="675">
        <f>IF(OR(ISBLANK(BV21),ISBLANK(BW21)),"",BV21/BW21)</f>
        <v>1</v>
      </c>
      <c r="BY21" s="167">
        <f t="shared" si="19"/>
        <v>0.09</v>
      </c>
      <c r="BZ21" s="71">
        <f t="shared" si="20"/>
        <v>0.09</v>
      </c>
      <c r="CA21" s="631"/>
      <c r="CB21" s="631"/>
      <c r="CC21" s="675">
        <v>1</v>
      </c>
      <c r="CD21" s="682">
        <v>70</v>
      </c>
      <c r="CE21" s="185">
        <v>0</v>
      </c>
      <c r="CF21" s="207">
        <v>100</v>
      </c>
      <c r="CG21" s="194">
        <v>9</v>
      </c>
      <c r="CH21" s="194">
        <v>6</v>
      </c>
      <c r="CI21" s="183">
        <f t="shared" si="50"/>
        <v>15</v>
      </c>
      <c r="CJ21" s="194">
        <v>5</v>
      </c>
      <c r="CK21" s="407" t="s">
        <v>43</v>
      </c>
      <c r="CL21" s="402">
        <v>4.96</v>
      </c>
      <c r="CM21" s="195" t="s">
        <v>42</v>
      </c>
      <c r="CN21" s="195">
        <v>0</v>
      </c>
      <c r="CO21" s="195" t="s">
        <v>369</v>
      </c>
      <c r="CP21" s="168">
        <v>7.07</v>
      </c>
      <c r="CQ21" s="195" t="s">
        <v>45</v>
      </c>
      <c r="CR21" s="168">
        <v>1.1</v>
      </c>
      <c r="CS21" s="193" t="s">
        <v>68</v>
      </c>
      <c r="CT21" s="195" t="s">
        <v>43</v>
      </c>
      <c r="CU21" s="428">
        <v>6.24</v>
      </c>
      <c r="CV21" s="211" t="s">
        <v>46</v>
      </c>
      <c r="CW21" s="683">
        <v>0.82</v>
      </c>
      <c r="CX21" s="782" t="s">
        <v>43</v>
      </c>
      <c r="CY21" s="782">
        <v>0.9</v>
      </c>
      <c r="CZ21" s="685" t="s">
        <v>43</v>
      </c>
      <c r="DA21" s="685">
        <v>0.95</v>
      </c>
      <c r="DB21" s="684" t="s">
        <v>373</v>
      </c>
      <c r="DC21" s="211">
        <v>0.91</v>
      </c>
      <c r="DD21" s="407" t="s">
        <v>371</v>
      </c>
      <c r="DE21" s="402">
        <v>0.87</v>
      </c>
      <c r="DF21" s="211" t="s">
        <v>44</v>
      </c>
      <c r="DG21" s="186">
        <v>1</v>
      </c>
      <c r="DH21" s="211" t="s">
        <v>44</v>
      </c>
      <c r="DI21" s="186">
        <v>1</v>
      </c>
      <c r="DJ21" s="211" t="s">
        <v>43</v>
      </c>
      <c r="DK21" s="186">
        <v>0.87</v>
      </c>
      <c r="DL21" s="211" t="s">
        <v>44</v>
      </c>
      <c r="DM21" s="410" t="s">
        <v>44</v>
      </c>
      <c r="DN21" s="175">
        <v>0.01</v>
      </c>
      <c r="DO21" s="410" t="s">
        <v>44</v>
      </c>
      <c r="DP21" s="175">
        <v>0.01</v>
      </c>
      <c r="DQ21" s="410" t="s">
        <v>43</v>
      </c>
      <c r="DR21" s="200">
        <v>1.12</v>
      </c>
      <c r="DS21" s="686" t="s">
        <v>45</v>
      </c>
      <c r="DT21" s="195" t="s">
        <v>372</v>
      </c>
      <c r="DU21" s="168">
        <v>0.88</v>
      </c>
      <c r="DV21" s="195" t="s">
        <v>372</v>
      </c>
      <c r="DW21" s="195">
        <v>0.91</v>
      </c>
      <c r="DX21" s="195" t="s">
        <v>372</v>
      </c>
      <c r="DY21" s="195">
        <v>0.91</v>
      </c>
      <c r="DZ21" s="686" t="s">
        <v>44</v>
      </c>
      <c r="EA21" s="211">
        <v>1</v>
      </c>
      <c r="EB21" s="686" t="s">
        <v>43</v>
      </c>
      <c r="EC21" s="211">
        <v>1.09</v>
      </c>
      <c r="ED21" s="686" t="s">
        <v>47</v>
      </c>
      <c r="EE21" s="211">
        <v>1</v>
      </c>
      <c r="EF21" s="686" t="s">
        <v>46</v>
      </c>
      <c r="EG21" s="99">
        <f t="shared" si="53"/>
        <v>4.29605509215285E-05</v>
      </c>
      <c r="EH21" s="99">
        <v>2.94</v>
      </c>
      <c r="EI21" s="99">
        <v>0.91</v>
      </c>
      <c r="EJ21" s="99">
        <f t="shared" si="54"/>
        <v>21.01</v>
      </c>
      <c r="EK21" s="99">
        <f t="shared" si="36"/>
        <v>1.1201</v>
      </c>
      <c r="EL21" s="444">
        <f t="shared" si="55"/>
        <v>1450.908837</v>
      </c>
      <c r="EM21" s="444">
        <f t="shared" si="37"/>
        <v>3478.18842094762</v>
      </c>
      <c r="EN21" s="708">
        <f t="shared" si="38"/>
        <v>0.43930917887200566</v>
      </c>
      <c r="EO21" s="99">
        <f t="shared" si="56"/>
        <v>1500</v>
      </c>
      <c r="EP21" s="444">
        <f t="shared" si="57"/>
        <v>12</v>
      </c>
      <c r="EQ21" s="444">
        <f t="shared" si="39"/>
        <v>0.32202000000000003</v>
      </c>
      <c r="ER21" s="444">
        <f t="shared" si="40"/>
        <v>3.10539718029936</v>
      </c>
      <c r="ES21" s="444">
        <f t="shared" si="41"/>
        <v>3.2697547683923704</v>
      </c>
      <c r="ET21" s="444">
        <f t="shared" si="42"/>
        <v>39.60718662914513</v>
      </c>
      <c r="EU21" s="708">
        <f t="shared" si="43"/>
        <v>39.60718662914513</v>
      </c>
      <c r="EV21" s="99">
        <f t="shared" si="44"/>
        <v>113</v>
      </c>
      <c r="EW21" s="444">
        <f t="shared" si="45"/>
        <v>129</v>
      </c>
      <c r="EX21" s="712"/>
      <c r="EY21" s="99"/>
      <c r="EZ21" s="99"/>
      <c r="FA21" s="99"/>
      <c r="FB21" s="99"/>
      <c r="FC21" s="99"/>
      <c r="FD21" s="99"/>
      <c r="FE21" s="99"/>
      <c r="FF21" s="99"/>
      <c r="FG21" s="99"/>
      <c r="FH21" s="99"/>
      <c r="FI21" s="99"/>
      <c r="FJ21" s="99"/>
      <c r="FK21" s="99"/>
      <c r="FL21" s="99"/>
      <c r="FM21" s="99"/>
      <c r="FN21" s="99"/>
      <c r="FO21" s="387"/>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387"/>
    </row>
    <row r="22" spans="1:229" s="665" customFormat="1" ht="15.75" customHeight="1">
      <c r="A22" s="625" t="s">
        <v>68</v>
      </c>
      <c r="B22" s="625" t="s">
        <v>68</v>
      </c>
      <c r="C22" s="626" t="s">
        <v>43</v>
      </c>
      <c r="D22" s="626">
        <v>2</v>
      </c>
      <c r="E22" s="627" t="s">
        <v>41</v>
      </c>
      <c r="F22" s="628" t="s">
        <v>40</v>
      </c>
      <c r="G22" s="629">
        <v>1500</v>
      </c>
      <c r="H22" s="629">
        <v>625</v>
      </c>
      <c r="I22" s="630">
        <f t="shared" si="0"/>
        <v>0.5833333333333334</v>
      </c>
      <c r="J22" s="631">
        <v>125</v>
      </c>
      <c r="K22" s="658">
        <v>2.5</v>
      </c>
      <c r="L22" s="633">
        <f t="shared" si="1"/>
        <v>30.303024999999998</v>
      </c>
      <c r="M22" s="633">
        <f t="shared" si="2"/>
        <v>25</v>
      </c>
      <c r="N22" s="633">
        <f t="shared" si="3"/>
        <v>5.303025</v>
      </c>
      <c r="O22" s="630">
        <f t="shared" si="4"/>
        <v>25.317116781624996</v>
      </c>
      <c r="P22" s="634">
        <f t="shared" si="58"/>
        <v>0.025317116781624995</v>
      </c>
      <c r="Q22" s="635">
        <f t="shared" si="59"/>
        <v>0.757575625</v>
      </c>
      <c r="R22" s="324">
        <v>17.5</v>
      </c>
      <c r="S22" s="636">
        <f t="shared" si="5"/>
        <v>5.3030293749999995</v>
      </c>
      <c r="T22" s="572">
        <v>4</v>
      </c>
      <c r="U22" s="572">
        <v>1.5</v>
      </c>
      <c r="V22" s="572">
        <f t="shared" si="6"/>
        <v>0.059800000000000006</v>
      </c>
      <c r="W22" s="572">
        <v>1</v>
      </c>
      <c r="X22" s="637">
        <f t="shared" si="46"/>
        <v>0.317121156625</v>
      </c>
      <c r="Y22" s="324">
        <v>9</v>
      </c>
      <c r="Z22" s="637">
        <f t="shared" si="7"/>
        <v>2.2785405103462497</v>
      </c>
      <c r="AA22" s="572">
        <v>10</v>
      </c>
      <c r="AB22" s="636">
        <f t="shared" si="8"/>
        <v>2.5317116781625</v>
      </c>
      <c r="AC22" s="572" t="s">
        <v>44</v>
      </c>
      <c r="AD22" s="572">
        <v>30</v>
      </c>
      <c r="AE22" s="168" t="s">
        <v>45</v>
      </c>
      <c r="AF22" s="327">
        <v>0.8</v>
      </c>
      <c r="AG22" s="637">
        <f t="shared" si="47"/>
        <v>3.1393224809215</v>
      </c>
      <c r="AH22" s="637">
        <f t="shared" si="9"/>
        <v>342</v>
      </c>
      <c r="AI22" s="637">
        <f t="shared" si="48"/>
        <v>17.1</v>
      </c>
      <c r="AJ22" s="638">
        <f t="shared" si="28"/>
        <v>0.95</v>
      </c>
      <c r="AK22" s="639">
        <v>5.7</v>
      </c>
      <c r="AL22" s="640">
        <v>28</v>
      </c>
      <c r="AM22" s="641">
        <f t="shared" si="10"/>
        <v>0.04</v>
      </c>
      <c r="AN22" s="642">
        <f t="shared" si="11"/>
        <v>0.0048</v>
      </c>
      <c r="AO22" s="799">
        <f t="shared" si="29"/>
        <v>0.88</v>
      </c>
      <c r="AP22" s="747"/>
      <c r="AQ22" s="748">
        <v>60</v>
      </c>
      <c r="AR22" s="629">
        <f t="shared" si="12"/>
        <v>60</v>
      </c>
      <c r="AS22" s="643"/>
      <c r="AT22" s="632">
        <v>3</v>
      </c>
      <c r="AU22" s="644">
        <f t="shared" si="13"/>
        <v>3</v>
      </c>
      <c r="AV22" s="630">
        <f t="shared" si="49"/>
        <v>-19</v>
      </c>
      <c r="AW22" s="645">
        <f>44+15</f>
        <v>59</v>
      </c>
      <c r="AX22" s="646">
        <f t="shared" si="30"/>
        <v>10.325</v>
      </c>
      <c r="AY22" s="647">
        <v>3</v>
      </c>
      <c r="AZ22" s="647">
        <v>30</v>
      </c>
      <c r="BA22" s="631">
        <v>12.5</v>
      </c>
      <c r="BB22" s="631">
        <v>9</v>
      </c>
      <c r="BC22" s="647">
        <v>25</v>
      </c>
      <c r="BD22" s="640">
        <f t="shared" si="14"/>
        <v>0.4219519463604166</v>
      </c>
      <c r="BE22" s="631">
        <v>0</v>
      </c>
      <c r="BF22" s="631">
        <v>0</v>
      </c>
      <c r="BG22" s="648">
        <f t="shared" si="31"/>
        <v>0</v>
      </c>
      <c r="BH22" s="572">
        <v>104</v>
      </c>
      <c r="BI22" s="572">
        <v>0</v>
      </c>
      <c r="BJ22" s="637">
        <f t="shared" si="32"/>
        <v>104</v>
      </c>
      <c r="BK22" s="631">
        <v>0</v>
      </c>
      <c r="BL22" s="631">
        <v>0</v>
      </c>
      <c r="BM22" s="571">
        <f t="shared" si="33"/>
        <v>0</v>
      </c>
      <c r="BN22" s="586">
        <f t="shared" si="34"/>
        <v>4.107892731113937</v>
      </c>
      <c r="BO22" s="631"/>
      <c r="BP22" s="649">
        <v>1</v>
      </c>
      <c r="BQ22" s="631">
        <v>0</v>
      </c>
      <c r="BR22" s="586">
        <f t="shared" si="15"/>
        <v>0.9904761904761905</v>
      </c>
      <c r="BS22" s="640">
        <f t="shared" si="16"/>
        <v>99.04761904761905</v>
      </c>
      <c r="BT22" s="640">
        <f t="shared" si="52"/>
        <v>0</v>
      </c>
      <c r="BU22" s="650">
        <f t="shared" si="60"/>
        <v>5</v>
      </c>
      <c r="BV22" s="656">
        <v>1</v>
      </c>
      <c r="BW22" s="656">
        <v>1</v>
      </c>
      <c r="BX22" s="632">
        <f>IF(OR(ISBLANK(BV22),ISBLANK(BW22)),"",BV22/BW22)</f>
        <v>1</v>
      </c>
      <c r="BY22" s="650">
        <f t="shared" si="19"/>
        <v>0.09</v>
      </c>
      <c r="BZ22" s="595">
        <f t="shared" si="20"/>
        <v>0.09</v>
      </c>
      <c r="CA22" s="631"/>
      <c r="CB22" s="631"/>
      <c r="CC22" s="643"/>
      <c r="CD22" s="651">
        <v>70</v>
      </c>
      <c r="CE22" s="571">
        <v>0</v>
      </c>
      <c r="CF22" s="652">
        <v>100</v>
      </c>
      <c r="CG22" s="631">
        <v>9</v>
      </c>
      <c r="CH22" s="631">
        <v>6</v>
      </c>
      <c r="CI22" s="648">
        <f t="shared" si="50"/>
        <v>15</v>
      </c>
      <c r="CJ22" s="631">
        <v>5</v>
      </c>
      <c r="CK22" s="653" t="s">
        <v>43</v>
      </c>
      <c r="CL22" s="654">
        <v>4.96</v>
      </c>
      <c r="CM22" s="572" t="s">
        <v>42</v>
      </c>
      <c r="CN22" s="572">
        <v>0</v>
      </c>
      <c r="CO22" s="572" t="s">
        <v>369</v>
      </c>
      <c r="CP22" s="327">
        <v>7.07</v>
      </c>
      <c r="CQ22" s="572" t="s">
        <v>45</v>
      </c>
      <c r="CR22" s="327">
        <v>1.1</v>
      </c>
      <c r="CS22" s="625" t="s">
        <v>68</v>
      </c>
      <c r="CT22" s="572" t="s">
        <v>43</v>
      </c>
      <c r="CU22" s="655">
        <v>6.24</v>
      </c>
      <c r="CV22" s="656" t="s">
        <v>46</v>
      </c>
      <c r="CW22" s="657">
        <v>0.82</v>
      </c>
      <c r="CX22" s="783" t="s">
        <v>47</v>
      </c>
      <c r="CY22" s="783">
        <v>1.14</v>
      </c>
      <c r="CZ22" s="659" t="s">
        <v>43</v>
      </c>
      <c r="DA22" s="659">
        <v>0.95</v>
      </c>
      <c r="DB22" s="658" t="s">
        <v>373</v>
      </c>
      <c r="DC22" s="656">
        <v>0.91</v>
      </c>
      <c r="DD22" s="653" t="s">
        <v>371</v>
      </c>
      <c r="DE22" s="654">
        <v>0.87</v>
      </c>
      <c r="DF22" s="656" t="s">
        <v>44</v>
      </c>
      <c r="DG22" s="660">
        <v>1</v>
      </c>
      <c r="DH22" s="656" t="s">
        <v>44</v>
      </c>
      <c r="DI22" s="660">
        <v>1</v>
      </c>
      <c r="DJ22" s="656" t="s">
        <v>43</v>
      </c>
      <c r="DK22" s="660">
        <v>0.87</v>
      </c>
      <c r="DL22" s="656" t="s">
        <v>44</v>
      </c>
      <c r="DM22" s="661" t="s">
        <v>44</v>
      </c>
      <c r="DN22" s="662">
        <v>0.01</v>
      </c>
      <c r="DO22" s="661" t="s">
        <v>44</v>
      </c>
      <c r="DP22" s="662">
        <v>0.01</v>
      </c>
      <c r="DQ22" s="661" t="s">
        <v>43</v>
      </c>
      <c r="DR22" s="636">
        <v>1.12</v>
      </c>
      <c r="DS22" s="663" t="s">
        <v>45</v>
      </c>
      <c r="DT22" s="572" t="s">
        <v>372</v>
      </c>
      <c r="DU22" s="327">
        <v>0.88</v>
      </c>
      <c r="DV22" s="572" t="s">
        <v>372</v>
      </c>
      <c r="DW22" s="572">
        <v>0.91</v>
      </c>
      <c r="DX22" s="572" t="s">
        <v>372</v>
      </c>
      <c r="DY22" s="572">
        <v>0.91</v>
      </c>
      <c r="DZ22" s="663" t="s">
        <v>44</v>
      </c>
      <c r="EA22" s="656">
        <v>1</v>
      </c>
      <c r="EB22" s="663" t="s">
        <v>43</v>
      </c>
      <c r="EC22" s="656">
        <v>1.09</v>
      </c>
      <c r="ED22" s="663" t="s">
        <v>47</v>
      </c>
      <c r="EE22" s="656">
        <v>1</v>
      </c>
      <c r="EF22" s="663" t="s">
        <v>46</v>
      </c>
      <c r="EG22" s="609">
        <f t="shared" si="53"/>
        <v>5.441669783393611E-05</v>
      </c>
      <c r="EH22" s="609">
        <v>2.94</v>
      </c>
      <c r="EI22" s="609">
        <v>0.91</v>
      </c>
      <c r="EJ22" s="609">
        <f t="shared" si="54"/>
        <v>21.01</v>
      </c>
      <c r="EK22" s="609">
        <f t="shared" si="36"/>
        <v>1.1201</v>
      </c>
      <c r="EL22" s="610">
        <f t="shared" si="55"/>
        <v>30.303024999999998</v>
      </c>
      <c r="EM22" s="610">
        <f t="shared" si="37"/>
        <v>45.6470221344818</v>
      </c>
      <c r="EN22" s="704">
        <f t="shared" si="38"/>
        <v>0.007302843018902602</v>
      </c>
      <c r="EO22" s="609">
        <f t="shared" si="56"/>
        <v>1500</v>
      </c>
      <c r="EP22" s="610">
        <f t="shared" si="57"/>
        <v>12</v>
      </c>
      <c r="EQ22" s="610">
        <f t="shared" si="39"/>
        <v>0.32202000000000003</v>
      </c>
      <c r="ER22" s="610">
        <f t="shared" si="40"/>
        <v>3.10539718029936</v>
      </c>
      <c r="ES22" s="610">
        <f t="shared" si="41"/>
        <v>3.2697547683923704</v>
      </c>
      <c r="ET22" s="610">
        <f t="shared" si="42"/>
        <v>39.60718662914513</v>
      </c>
      <c r="EU22" s="704">
        <f t="shared" si="43"/>
        <v>39.60718662914513</v>
      </c>
      <c r="EV22" s="609">
        <f t="shared" si="44"/>
        <v>60</v>
      </c>
      <c r="EW22" s="610">
        <f t="shared" si="45"/>
        <v>3</v>
      </c>
      <c r="EX22" s="713"/>
      <c r="EY22" s="609"/>
      <c r="EZ22" s="609"/>
      <c r="FA22" s="609"/>
      <c r="FB22" s="609"/>
      <c r="FC22" s="609"/>
      <c r="FD22" s="609"/>
      <c r="FE22" s="609"/>
      <c r="FF22" s="609"/>
      <c r="FG22" s="609"/>
      <c r="FH22" s="609"/>
      <c r="FI22" s="609"/>
      <c r="FJ22" s="609"/>
      <c r="FK22" s="609"/>
      <c r="FL22" s="609"/>
      <c r="FM22" s="609"/>
      <c r="FN22" s="609"/>
      <c r="FO22" s="664"/>
      <c r="FQ22" s="609"/>
      <c r="FR22" s="609"/>
      <c r="FS22" s="609"/>
      <c r="FT22" s="609"/>
      <c r="FU22" s="609"/>
      <c r="FV22" s="609"/>
      <c r="FW22" s="609"/>
      <c r="FX22" s="609"/>
      <c r="FY22" s="609"/>
      <c r="FZ22" s="609"/>
      <c r="GA22" s="609"/>
      <c r="GB22" s="609"/>
      <c r="GC22" s="609"/>
      <c r="GD22" s="609"/>
      <c r="GE22" s="609"/>
      <c r="GF22" s="609"/>
      <c r="GG22" s="609"/>
      <c r="GH22" s="609"/>
      <c r="GI22" s="609"/>
      <c r="GJ22" s="609"/>
      <c r="GK22" s="609"/>
      <c r="GL22" s="609"/>
      <c r="GM22" s="609"/>
      <c r="GN22" s="609"/>
      <c r="GO22" s="609"/>
      <c r="GP22" s="609"/>
      <c r="GQ22" s="609"/>
      <c r="GR22" s="609"/>
      <c r="GS22" s="609"/>
      <c r="GT22" s="609"/>
      <c r="GU22" s="609"/>
      <c r="GV22" s="609"/>
      <c r="GW22" s="609"/>
      <c r="GX22" s="609"/>
      <c r="GY22" s="609"/>
      <c r="GZ22" s="609"/>
      <c r="HA22" s="609"/>
      <c r="HB22" s="609"/>
      <c r="HC22" s="609"/>
      <c r="HD22" s="609"/>
      <c r="HE22" s="609"/>
      <c r="HF22" s="609"/>
      <c r="HG22" s="609"/>
      <c r="HH22" s="609"/>
      <c r="HI22" s="609"/>
      <c r="HJ22" s="609"/>
      <c r="HK22" s="609"/>
      <c r="HL22" s="609"/>
      <c r="HM22" s="609"/>
      <c r="HN22" s="609"/>
      <c r="HO22" s="609"/>
      <c r="HP22" s="609"/>
      <c r="HQ22" s="609"/>
      <c r="HR22" s="609"/>
      <c r="HS22" s="609"/>
      <c r="HT22" s="609"/>
      <c r="HU22" s="664"/>
    </row>
    <row r="23" spans="1:229" s="214" customFormat="1" ht="15.75" customHeight="1">
      <c r="A23" s="193" t="s">
        <v>68</v>
      </c>
      <c r="B23" s="193" t="s">
        <v>68</v>
      </c>
      <c r="C23" s="316" t="s">
        <v>43</v>
      </c>
      <c r="D23" s="316">
        <v>2</v>
      </c>
      <c r="E23" s="373" t="s">
        <v>41</v>
      </c>
      <c r="F23" s="196" t="s">
        <v>40</v>
      </c>
      <c r="G23" s="197">
        <v>1500</v>
      </c>
      <c r="H23" s="197">
        <v>625</v>
      </c>
      <c r="I23" s="171">
        <f t="shared" si="0"/>
        <v>0.5833333333333334</v>
      </c>
      <c r="J23" s="194">
        <v>125</v>
      </c>
      <c r="K23" s="209">
        <v>150.8</v>
      </c>
      <c r="L23" s="199">
        <f t="shared" si="1"/>
        <v>1827.8784679999999</v>
      </c>
      <c r="M23" s="199">
        <f t="shared" si="2"/>
        <v>1508</v>
      </c>
      <c r="N23" s="199">
        <f t="shared" si="3"/>
        <v>319.878468</v>
      </c>
      <c r="O23" s="171">
        <f t="shared" si="4"/>
        <v>1527.12848426762</v>
      </c>
      <c r="P23" s="173">
        <f t="shared" si="58"/>
        <v>1.52712848426762</v>
      </c>
      <c r="Q23" s="174">
        <f t="shared" si="59"/>
        <v>45.696961699999996</v>
      </c>
      <c r="R23" s="189">
        <v>17.5</v>
      </c>
      <c r="S23" s="200">
        <f t="shared" si="5"/>
        <v>319.87873189999993</v>
      </c>
      <c r="T23" s="195">
        <v>4</v>
      </c>
      <c r="U23" s="195">
        <v>1.5</v>
      </c>
      <c r="V23" s="195">
        <f t="shared" si="6"/>
        <v>0.059800000000000006</v>
      </c>
      <c r="W23" s="195">
        <v>1</v>
      </c>
      <c r="X23" s="184">
        <f t="shared" si="46"/>
        <v>19.12874816762</v>
      </c>
      <c r="Y23" s="324">
        <v>9</v>
      </c>
      <c r="Z23" s="184">
        <f t="shared" si="7"/>
        <v>137.4415635840858</v>
      </c>
      <c r="AA23" s="195">
        <v>10</v>
      </c>
      <c r="AB23" s="200">
        <f t="shared" si="8"/>
        <v>152.712848426762</v>
      </c>
      <c r="AC23" s="195" t="s">
        <v>44</v>
      </c>
      <c r="AD23" s="195">
        <v>30</v>
      </c>
      <c r="AE23" s="168" t="s">
        <v>45</v>
      </c>
      <c r="AF23" s="168">
        <v>0.8</v>
      </c>
      <c r="AG23" s="184">
        <f t="shared" si="47"/>
        <v>189.36393204918488</v>
      </c>
      <c r="AH23" s="184">
        <f t="shared" si="9"/>
        <v>897.75</v>
      </c>
      <c r="AI23" s="184">
        <f t="shared" si="48"/>
        <v>1293.805</v>
      </c>
      <c r="AJ23" s="176">
        <f t="shared" si="28"/>
        <v>-0.44116402116402126</v>
      </c>
      <c r="AK23" s="201">
        <v>5.7</v>
      </c>
      <c r="AL23" s="202">
        <v>28</v>
      </c>
      <c r="AM23" s="178">
        <f t="shared" si="10"/>
        <v>0.105</v>
      </c>
      <c r="AN23" s="177">
        <f t="shared" si="11"/>
        <v>0.3631733333333333</v>
      </c>
      <c r="AO23" s="570">
        <f t="shared" si="29"/>
        <v>-2.4587936507936505</v>
      </c>
      <c r="AP23" s="749">
        <v>21.5</v>
      </c>
      <c r="AQ23" s="750">
        <v>136</v>
      </c>
      <c r="AR23" s="197">
        <f t="shared" si="12"/>
        <v>157.5</v>
      </c>
      <c r="AS23" s="210">
        <v>87.98333333333332</v>
      </c>
      <c r="AT23" s="198">
        <v>139</v>
      </c>
      <c r="AU23" s="204">
        <f t="shared" si="13"/>
        <v>226.98333333333332</v>
      </c>
      <c r="AV23" s="171">
        <f t="shared" si="49"/>
        <v>0.30611645495263967</v>
      </c>
      <c r="AW23" s="369">
        <f>43+15</f>
        <v>58</v>
      </c>
      <c r="AX23" s="368">
        <f t="shared" si="30"/>
        <v>10.149999999999999</v>
      </c>
      <c r="AY23" s="205">
        <v>3</v>
      </c>
      <c r="AZ23" s="205">
        <v>30</v>
      </c>
      <c r="BA23" s="194">
        <v>12.5</v>
      </c>
      <c r="BB23" s="194">
        <v>9</v>
      </c>
      <c r="BC23" s="205">
        <v>25</v>
      </c>
      <c r="BD23" s="202">
        <f t="shared" si="14"/>
        <v>9.69605386836584</v>
      </c>
      <c r="BE23" s="194">
        <v>0</v>
      </c>
      <c r="BF23" s="194">
        <v>0</v>
      </c>
      <c r="BG23" s="183">
        <f t="shared" si="31"/>
        <v>0</v>
      </c>
      <c r="BH23" s="195">
        <v>36</v>
      </c>
      <c r="BI23" s="195">
        <v>19</v>
      </c>
      <c r="BJ23" s="184">
        <f t="shared" si="32"/>
        <v>17</v>
      </c>
      <c r="BK23" s="194">
        <v>0</v>
      </c>
      <c r="BL23" s="194">
        <v>0</v>
      </c>
      <c r="BM23" s="185">
        <f t="shared" si="33"/>
        <v>0</v>
      </c>
      <c r="BN23" s="96">
        <f t="shared" si="34"/>
        <v>0.023573654981142514</v>
      </c>
      <c r="BO23" s="211">
        <v>3</v>
      </c>
      <c r="BP23" s="206">
        <v>2</v>
      </c>
      <c r="BQ23" s="194">
        <v>0</v>
      </c>
      <c r="BR23" s="96">
        <f t="shared" si="15"/>
        <v>0.9473684210526315</v>
      </c>
      <c r="BS23" s="202">
        <f t="shared" si="16"/>
        <v>94.73684210526316</v>
      </c>
      <c r="BT23" s="202">
        <f t="shared" si="52"/>
        <v>0.5277777777777778</v>
      </c>
      <c r="BU23" s="167">
        <f t="shared" si="60"/>
        <v>5</v>
      </c>
      <c r="BV23" s="198">
        <v>20</v>
      </c>
      <c r="BW23" s="198">
        <v>20</v>
      </c>
      <c r="BX23" s="198">
        <f>IF(OR(ISBLANK(BV23),ISBLANK(BW23)),"",BV23/BW23)</f>
        <v>1</v>
      </c>
      <c r="BY23" s="167">
        <f t="shared" si="19"/>
        <v>1.8</v>
      </c>
      <c r="BZ23" s="71">
        <f t="shared" si="20"/>
        <v>0.09</v>
      </c>
      <c r="CA23" s="631"/>
      <c r="CB23" s="631"/>
      <c r="CC23" s="212">
        <v>3</v>
      </c>
      <c r="CD23" s="321">
        <v>70</v>
      </c>
      <c r="CE23" s="185">
        <v>0</v>
      </c>
      <c r="CF23" s="207">
        <v>100</v>
      </c>
      <c r="CG23" s="194">
        <v>9</v>
      </c>
      <c r="CH23" s="194">
        <v>6</v>
      </c>
      <c r="CI23" s="183">
        <f t="shared" si="50"/>
        <v>15</v>
      </c>
      <c r="CJ23" s="194">
        <v>5</v>
      </c>
      <c r="CK23" s="407" t="s">
        <v>43</v>
      </c>
      <c r="CL23" s="402">
        <v>4.96</v>
      </c>
      <c r="CM23" s="195" t="s">
        <v>42</v>
      </c>
      <c r="CN23" s="195">
        <v>0</v>
      </c>
      <c r="CO23" s="195" t="s">
        <v>369</v>
      </c>
      <c r="CP23" s="168">
        <v>7.07</v>
      </c>
      <c r="CQ23" s="195" t="s">
        <v>45</v>
      </c>
      <c r="CR23" s="168">
        <v>1.1</v>
      </c>
      <c r="CS23" s="193" t="s">
        <v>68</v>
      </c>
      <c r="CT23" s="195" t="s">
        <v>43</v>
      </c>
      <c r="CU23" s="428">
        <v>6.24</v>
      </c>
      <c r="CV23" s="208" t="s">
        <v>46</v>
      </c>
      <c r="CW23" s="408">
        <v>0.82</v>
      </c>
      <c r="CX23" s="784" t="s">
        <v>44</v>
      </c>
      <c r="CY23" s="784">
        <v>1</v>
      </c>
      <c r="CZ23" s="409" t="s">
        <v>44</v>
      </c>
      <c r="DA23" s="409">
        <v>1</v>
      </c>
      <c r="DB23" s="208" t="s">
        <v>373</v>
      </c>
      <c r="DC23" s="208">
        <v>0.91</v>
      </c>
      <c r="DD23" s="407" t="s">
        <v>371</v>
      </c>
      <c r="DE23" s="402">
        <v>0.87</v>
      </c>
      <c r="DF23" s="208" t="s">
        <v>44</v>
      </c>
      <c r="DG23" s="179">
        <v>1</v>
      </c>
      <c r="DH23" s="208" t="s">
        <v>44</v>
      </c>
      <c r="DI23" s="179">
        <v>1</v>
      </c>
      <c r="DJ23" s="208" t="s">
        <v>43</v>
      </c>
      <c r="DK23" s="179">
        <v>0.87</v>
      </c>
      <c r="DL23" s="208" t="s">
        <v>44</v>
      </c>
      <c r="DM23" s="410" t="s">
        <v>44</v>
      </c>
      <c r="DN23" s="175">
        <v>0.01</v>
      </c>
      <c r="DO23" s="410" t="s">
        <v>44</v>
      </c>
      <c r="DP23" s="175">
        <v>0.01</v>
      </c>
      <c r="DQ23" s="410" t="s">
        <v>43</v>
      </c>
      <c r="DR23" s="200">
        <v>1.12</v>
      </c>
      <c r="DS23" s="411" t="s">
        <v>45</v>
      </c>
      <c r="DT23" s="195" t="s">
        <v>372</v>
      </c>
      <c r="DU23" s="168">
        <v>0.88</v>
      </c>
      <c r="DV23" s="195" t="s">
        <v>372</v>
      </c>
      <c r="DW23" s="195">
        <v>0.91</v>
      </c>
      <c r="DX23" s="195" t="s">
        <v>372</v>
      </c>
      <c r="DY23" s="195">
        <v>0.91</v>
      </c>
      <c r="DZ23" s="411" t="s">
        <v>44</v>
      </c>
      <c r="EA23" s="208">
        <v>1</v>
      </c>
      <c r="EB23" s="411" t="s">
        <v>43</v>
      </c>
      <c r="EC23" s="208">
        <v>1.09</v>
      </c>
      <c r="ED23" s="411" t="s">
        <v>47</v>
      </c>
      <c r="EE23" s="208">
        <v>1</v>
      </c>
      <c r="EF23" s="411" t="s">
        <v>46</v>
      </c>
      <c r="EG23" s="99">
        <f t="shared" si="53"/>
        <v>5.024625838775263E-05</v>
      </c>
      <c r="EH23" s="99">
        <v>2.94</v>
      </c>
      <c r="EI23" s="99">
        <v>0.91</v>
      </c>
      <c r="EJ23" s="99">
        <f t="shared" si="54"/>
        <v>21.01</v>
      </c>
      <c r="EK23" s="99">
        <f t="shared" si="36"/>
        <v>1.1201</v>
      </c>
      <c r="EL23" s="444">
        <f t="shared" si="55"/>
        <v>1827.8784679999999</v>
      </c>
      <c r="EM23" s="444">
        <f t="shared" si="37"/>
        <v>4505.128571135035</v>
      </c>
      <c r="EN23" s="708">
        <f t="shared" si="38"/>
        <v>0.6655156115105754</v>
      </c>
      <c r="EO23" s="99">
        <f t="shared" si="56"/>
        <v>1500</v>
      </c>
      <c r="EP23" s="444">
        <f t="shared" si="57"/>
        <v>12</v>
      </c>
      <c r="EQ23" s="444">
        <f t="shared" si="39"/>
        <v>0.32202000000000003</v>
      </c>
      <c r="ER23" s="444">
        <f t="shared" si="40"/>
        <v>3.10539718029936</v>
      </c>
      <c r="ES23" s="444">
        <f t="shared" si="41"/>
        <v>3.2697547683923704</v>
      </c>
      <c r="ET23" s="444">
        <f t="shared" si="42"/>
        <v>39.60718662914513</v>
      </c>
      <c r="EU23" s="708">
        <f t="shared" si="43"/>
        <v>39.60718662914513</v>
      </c>
      <c r="EV23" s="99">
        <f t="shared" si="44"/>
        <v>157.5</v>
      </c>
      <c r="EW23" s="444">
        <f t="shared" si="45"/>
        <v>226.98333333333332</v>
      </c>
      <c r="EX23" s="712"/>
      <c r="EY23" s="99"/>
      <c r="EZ23" s="99"/>
      <c r="FA23" s="99"/>
      <c r="FB23" s="99"/>
      <c r="FC23" s="99"/>
      <c r="FD23" s="99"/>
      <c r="FE23" s="99"/>
      <c r="FF23" s="99"/>
      <c r="FG23" s="99"/>
      <c r="FH23" s="99"/>
      <c r="FI23" s="99"/>
      <c r="FJ23" s="99"/>
      <c r="FK23" s="99"/>
      <c r="FL23" s="99"/>
      <c r="FM23" s="99"/>
      <c r="FN23" s="99"/>
      <c r="FO23" s="388"/>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388"/>
    </row>
    <row r="24" spans="1:229" s="689" customFormat="1" ht="15.75" customHeight="1">
      <c r="A24" s="625" t="s">
        <v>68</v>
      </c>
      <c r="B24" s="625" t="s">
        <v>68</v>
      </c>
      <c r="C24" s="626" t="s">
        <v>43</v>
      </c>
      <c r="D24" s="626">
        <v>2</v>
      </c>
      <c r="E24" s="627" t="s">
        <v>41</v>
      </c>
      <c r="F24" s="628" t="s">
        <v>40</v>
      </c>
      <c r="G24" s="629">
        <v>1500</v>
      </c>
      <c r="H24" s="629">
        <v>625</v>
      </c>
      <c r="I24" s="630">
        <f t="shared" si="0"/>
        <v>0.5833333333333334</v>
      </c>
      <c r="J24" s="631">
        <v>125</v>
      </c>
      <c r="K24" s="667">
        <v>26.3</v>
      </c>
      <c r="L24" s="633">
        <f t="shared" si="1"/>
        <v>318.787823</v>
      </c>
      <c r="M24" s="633">
        <f t="shared" si="2"/>
        <v>263</v>
      </c>
      <c r="N24" s="633">
        <f t="shared" si="3"/>
        <v>55.787823</v>
      </c>
      <c r="O24" s="630">
        <f t="shared" si="4"/>
        <v>266.336068542695</v>
      </c>
      <c r="P24" s="634">
        <f t="shared" si="58"/>
        <v>0.266336068542695</v>
      </c>
      <c r="Q24" s="635">
        <f t="shared" si="59"/>
        <v>7.969695575</v>
      </c>
      <c r="R24" s="324">
        <v>17.5</v>
      </c>
      <c r="S24" s="636">
        <f t="shared" si="5"/>
        <v>55.787869025</v>
      </c>
      <c r="T24" s="572">
        <v>4</v>
      </c>
      <c r="U24" s="572">
        <v>1.5</v>
      </c>
      <c r="V24" s="572">
        <f t="shared" si="6"/>
        <v>0.059800000000000006</v>
      </c>
      <c r="W24" s="572">
        <v>1</v>
      </c>
      <c r="X24" s="637">
        <f t="shared" si="46"/>
        <v>3.336114567695</v>
      </c>
      <c r="Y24" s="324">
        <v>9</v>
      </c>
      <c r="Z24" s="637">
        <f t="shared" si="7"/>
        <v>23.970246168842547</v>
      </c>
      <c r="AA24" s="572">
        <v>10</v>
      </c>
      <c r="AB24" s="636">
        <f t="shared" si="8"/>
        <v>26.6336068542695</v>
      </c>
      <c r="AC24" s="572" t="s">
        <v>44</v>
      </c>
      <c r="AD24" s="572">
        <v>30</v>
      </c>
      <c r="AE24" s="168" t="s">
        <v>45</v>
      </c>
      <c r="AF24" s="327">
        <v>0.8</v>
      </c>
      <c r="AG24" s="637">
        <f t="shared" si="47"/>
        <v>33.02567249929418</v>
      </c>
      <c r="AH24" s="637">
        <f t="shared" si="9"/>
        <v>826.5</v>
      </c>
      <c r="AI24" s="637">
        <f t="shared" si="48"/>
        <v>2822.8537499999993</v>
      </c>
      <c r="AJ24" s="638">
        <f t="shared" si="28"/>
        <v>-2.415431034482758</v>
      </c>
      <c r="AK24" s="639">
        <v>5.7</v>
      </c>
      <c r="AL24" s="640">
        <v>28</v>
      </c>
      <c r="AM24" s="641">
        <f t="shared" si="10"/>
        <v>0.09666666666666666</v>
      </c>
      <c r="AN24" s="642">
        <f t="shared" si="11"/>
        <v>0.7923799999999998</v>
      </c>
      <c r="AO24" s="799">
        <f t="shared" si="29"/>
        <v>-7.197034482758618</v>
      </c>
      <c r="AP24" s="751">
        <v>127</v>
      </c>
      <c r="AQ24" s="752">
        <v>18</v>
      </c>
      <c r="AR24" s="629">
        <f t="shared" si="12"/>
        <v>145</v>
      </c>
      <c r="AS24" s="656">
        <v>466.23749999999984</v>
      </c>
      <c r="AT24" s="632">
        <v>29</v>
      </c>
      <c r="AU24" s="644">
        <f t="shared" si="13"/>
        <v>495.23749999999984</v>
      </c>
      <c r="AV24" s="630">
        <f t="shared" si="49"/>
        <v>0.7072111865519068</v>
      </c>
      <c r="AW24" s="645">
        <f>44+15</f>
        <v>59</v>
      </c>
      <c r="AX24" s="646">
        <f t="shared" si="30"/>
        <v>10.325</v>
      </c>
      <c r="AY24" s="647">
        <v>3</v>
      </c>
      <c r="AZ24" s="647">
        <v>30</v>
      </c>
      <c r="BA24" s="631">
        <v>12.5</v>
      </c>
      <c r="BB24" s="631">
        <v>9</v>
      </c>
      <c r="BC24" s="647">
        <v>25</v>
      </c>
      <c r="BD24" s="640">
        <f t="shared" si="14"/>
        <v>1.8368004727082412</v>
      </c>
      <c r="BE24" s="631">
        <v>0</v>
      </c>
      <c r="BF24" s="631">
        <v>0</v>
      </c>
      <c r="BG24" s="648">
        <f t="shared" si="31"/>
        <v>0</v>
      </c>
      <c r="BH24" s="572">
        <v>4</v>
      </c>
      <c r="BI24" s="572">
        <v>4</v>
      </c>
      <c r="BJ24" s="637">
        <f t="shared" si="32"/>
        <v>0</v>
      </c>
      <c r="BK24" s="631">
        <v>0</v>
      </c>
      <c r="BL24" s="631">
        <v>0</v>
      </c>
      <c r="BM24" s="571">
        <f t="shared" si="33"/>
        <v>0</v>
      </c>
      <c r="BN24" s="586">
        <f t="shared" si="34"/>
        <v>0.015018619227529749</v>
      </c>
      <c r="BO24" s="656">
        <v>4</v>
      </c>
      <c r="BP24" s="649">
        <v>2</v>
      </c>
      <c r="BQ24" s="631">
        <v>0</v>
      </c>
      <c r="BR24" s="586">
        <f t="shared" si="15"/>
        <v>0.6666666666666666</v>
      </c>
      <c r="BS24" s="640">
        <f t="shared" si="16"/>
        <v>66.66666666666667</v>
      </c>
      <c r="BT24" s="640">
        <f t="shared" si="52"/>
        <v>1</v>
      </c>
      <c r="BU24" s="650">
        <f t="shared" si="60"/>
        <v>5</v>
      </c>
      <c r="BV24" s="632">
        <v>16</v>
      </c>
      <c r="BW24" s="632">
        <v>16</v>
      </c>
      <c r="BX24" s="632">
        <f>IF(OR(ISBLANK(BV24),ISBLANK(BW24)),"",BV24/BW24)</f>
        <v>1</v>
      </c>
      <c r="BY24" s="650">
        <f t="shared" si="19"/>
        <v>1.44</v>
      </c>
      <c r="BZ24" s="595">
        <f t="shared" si="20"/>
        <v>0.09</v>
      </c>
      <c r="CA24" s="631"/>
      <c r="CB24" s="631"/>
      <c r="CC24" s="667">
        <v>6</v>
      </c>
      <c r="CD24" s="651">
        <v>70</v>
      </c>
      <c r="CE24" s="571">
        <v>0</v>
      </c>
      <c r="CF24" s="652">
        <v>100</v>
      </c>
      <c r="CG24" s="631">
        <v>9</v>
      </c>
      <c r="CH24" s="631">
        <v>6</v>
      </c>
      <c r="CI24" s="648">
        <f t="shared" si="50"/>
        <v>15</v>
      </c>
      <c r="CJ24" s="631">
        <v>5</v>
      </c>
      <c r="CK24" s="653" t="s">
        <v>43</v>
      </c>
      <c r="CL24" s="654">
        <v>4.96</v>
      </c>
      <c r="CM24" s="572" t="s">
        <v>42</v>
      </c>
      <c r="CN24" s="572">
        <v>0</v>
      </c>
      <c r="CO24" s="572" t="s">
        <v>369</v>
      </c>
      <c r="CP24" s="327">
        <v>7.07</v>
      </c>
      <c r="CQ24" s="572" t="s">
        <v>45</v>
      </c>
      <c r="CR24" s="327">
        <v>1.1</v>
      </c>
      <c r="CS24" s="625" t="s">
        <v>68</v>
      </c>
      <c r="CT24" s="572" t="s">
        <v>43</v>
      </c>
      <c r="CU24" s="655">
        <v>6.24</v>
      </c>
      <c r="CV24" s="656" t="s">
        <v>46</v>
      </c>
      <c r="CW24" s="657">
        <v>0.82</v>
      </c>
      <c r="CX24" s="783" t="s">
        <v>44</v>
      </c>
      <c r="CY24" s="783">
        <v>1</v>
      </c>
      <c r="CZ24" s="659" t="s">
        <v>45</v>
      </c>
      <c r="DA24" s="659">
        <v>1.15</v>
      </c>
      <c r="DB24" s="656" t="s">
        <v>46</v>
      </c>
      <c r="DC24" s="656">
        <v>0.81</v>
      </c>
      <c r="DD24" s="653" t="s">
        <v>371</v>
      </c>
      <c r="DE24" s="654">
        <v>0.87</v>
      </c>
      <c r="DF24" s="656" t="s">
        <v>44</v>
      </c>
      <c r="DG24" s="660">
        <v>1</v>
      </c>
      <c r="DH24" s="656" t="s">
        <v>44</v>
      </c>
      <c r="DI24" s="660">
        <v>1</v>
      </c>
      <c r="DJ24" s="656" t="s">
        <v>43</v>
      </c>
      <c r="DK24" s="660">
        <v>0.87</v>
      </c>
      <c r="DL24" s="656" t="s">
        <v>44</v>
      </c>
      <c r="DM24" s="661" t="s">
        <v>44</v>
      </c>
      <c r="DN24" s="662">
        <v>0.01</v>
      </c>
      <c r="DO24" s="661" t="s">
        <v>44</v>
      </c>
      <c r="DP24" s="662">
        <v>0.01</v>
      </c>
      <c r="DQ24" s="661" t="s">
        <v>43</v>
      </c>
      <c r="DR24" s="636">
        <v>1.12</v>
      </c>
      <c r="DS24" s="663" t="s">
        <v>45</v>
      </c>
      <c r="DT24" s="572" t="s">
        <v>372</v>
      </c>
      <c r="DU24" s="327">
        <v>0.88</v>
      </c>
      <c r="DV24" s="572" t="s">
        <v>372</v>
      </c>
      <c r="DW24" s="572">
        <v>0.91</v>
      </c>
      <c r="DX24" s="572" t="s">
        <v>372</v>
      </c>
      <c r="DY24" s="572">
        <v>0.91</v>
      </c>
      <c r="DZ24" s="663" t="s">
        <v>44</v>
      </c>
      <c r="EA24" s="656">
        <v>1</v>
      </c>
      <c r="EB24" s="663" t="s">
        <v>43</v>
      </c>
      <c r="EC24" s="656">
        <v>1.09</v>
      </c>
      <c r="ED24" s="663" t="s">
        <v>47</v>
      </c>
      <c r="EE24" s="656">
        <v>1</v>
      </c>
      <c r="EF24" s="663" t="s">
        <v>46</v>
      </c>
      <c r="EG24" s="609">
        <f t="shared" si="53"/>
        <v>5.143339526174899E-05</v>
      </c>
      <c r="EH24" s="609">
        <v>2.94</v>
      </c>
      <c r="EI24" s="609">
        <v>0.91</v>
      </c>
      <c r="EJ24" s="609">
        <f t="shared" si="54"/>
        <v>21.01</v>
      </c>
      <c r="EK24" s="609">
        <f t="shared" si="36"/>
        <v>1.1201</v>
      </c>
      <c r="EL24" s="610">
        <f t="shared" si="55"/>
        <v>318.787823</v>
      </c>
      <c r="EM24" s="610">
        <f t="shared" si="37"/>
        <v>637.0481824682515</v>
      </c>
      <c r="EN24" s="704">
        <f t="shared" si="38"/>
        <v>0.09633071985082503</v>
      </c>
      <c r="EO24" s="609">
        <f t="shared" si="56"/>
        <v>1500</v>
      </c>
      <c r="EP24" s="610">
        <f t="shared" si="57"/>
        <v>12</v>
      </c>
      <c r="EQ24" s="610">
        <f t="shared" si="39"/>
        <v>0.32202000000000003</v>
      </c>
      <c r="ER24" s="610">
        <f t="shared" si="40"/>
        <v>3.10539718029936</v>
      </c>
      <c r="ES24" s="610">
        <f t="shared" si="41"/>
        <v>3.2697547683923704</v>
      </c>
      <c r="ET24" s="610">
        <f t="shared" si="42"/>
        <v>39.60718662914513</v>
      </c>
      <c r="EU24" s="704">
        <f t="shared" si="43"/>
        <v>39.60718662914513</v>
      </c>
      <c r="EV24" s="609">
        <f t="shared" si="44"/>
        <v>145</v>
      </c>
      <c r="EW24" s="610">
        <f t="shared" si="45"/>
        <v>495.23749999999984</v>
      </c>
      <c r="EX24" s="713"/>
      <c r="EY24" s="609"/>
      <c r="EZ24" s="609"/>
      <c r="FA24" s="609"/>
      <c r="FB24" s="609"/>
      <c r="FC24" s="609"/>
      <c r="FD24" s="609"/>
      <c r="FE24" s="609"/>
      <c r="FF24" s="609"/>
      <c r="FG24" s="609"/>
      <c r="FH24" s="609"/>
      <c r="FI24" s="609"/>
      <c r="FJ24" s="609"/>
      <c r="FK24" s="609"/>
      <c r="FL24" s="609"/>
      <c r="FM24" s="609"/>
      <c r="FN24" s="609"/>
      <c r="FO24" s="688"/>
      <c r="FQ24" s="609"/>
      <c r="FR24" s="609"/>
      <c r="FS24" s="609"/>
      <c r="FT24" s="609"/>
      <c r="FU24" s="609"/>
      <c r="FV24" s="609"/>
      <c r="FW24" s="609"/>
      <c r="FX24" s="609"/>
      <c r="FY24" s="609"/>
      <c r="FZ24" s="609"/>
      <c r="GA24" s="609"/>
      <c r="GB24" s="609"/>
      <c r="GC24" s="609"/>
      <c r="GD24" s="609"/>
      <c r="GE24" s="609"/>
      <c r="GF24" s="609"/>
      <c r="GG24" s="609"/>
      <c r="GH24" s="609"/>
      <c r="GI24" s="609"/>
      <c r="GJ24" s="609"/>
      <c r="GK24" s="609"/>
      <c r="GL24" s="609"/>
      <c r="GM24" s="609"/>
      <c r="GN24" s="609"/>
      <c r="GO24" s="609"/>
      <c r="GP24" s="609"/>
      <c r="GQ24" s="609"/>
      <c r="GR24" s="609"/>
      <c r="GS24" s="609"/>
      <c r="GT24" s="609"/>
      <c r="GU24" s="609"/>
      <c r="GV24" s="609"/>
      <c r="GW24" s="609"/>
      <c r="GX24" s="609"/>
      <c r="GY24" s="609"/>
      <c r="GZ24" s="609"/>
      <c r="HA24" s="609"/>
      <c r="HB24" s="609"/>
      <c r="HC24" s="609"/>
      <c r="HD24" s="609"/>
      <c r="HE24" s="609"/>
      <c r="HF24" s="609"/>
      <c r="HG24" s="609"/>
      <c r="HH24" s="609"/>
      <c r="HI24" s="609"/>
      <c r="HJ24" s="609"/>
      <c r="HK24" s="609"/>
      <c r="HL24" s="609"/>
      <c r="HM24" s="609"/>
      <c r="HN24" s="609"/>
      <c r="HO24" s="609"/>
      <c r="HP24" s="609"/>
      <c r="HQ24" s="609"/>
      <c r="HR24" s="609"/>
      <c r="HS24" s="609"/>
      <c r="HT24" s="609"/>
      <c r="HU24" s="688"/>
    </row>
    <row r="25" spans="1:229" s="215" customFormat="1" ht="15.75" customHeight="1">
      <c r="A25" s="193" t="s">
        <v>68</v>
      </c>
      <c r="B25" s="193" t="s">
        <v>68</v>
      </c>
      <c r="C25" s="316" t="s">
        <v>43</v>
      </c>
      <c r="D25" s="316">
        <v>2</v>
      </c>
      <c r="E25" s="373" t="s">
        <v>41</v>
      </c>
      <c r="F25" s="196" t="s">
        <v>40</v>
      </c>
      <c r="G25" s="197">
        <v>1500</v>
      </c>
      <c r="H25" s="197">
        <v>625</v>
      </c>
      <c r="I25" s="171">
        <f t="shared" si="0"/>
        <v>0.5833333333333334</v>
      </c>
      <c r="J25" s="194">
        <v>125</v>
      </c>
      <c r="K25" s="198">
        <v>2414.89</v>
      </c>
      <c r="L25" s="199">
        <f t="shared" si="1"/>
        <v>29271.3888169</v>
      </c>
      <c r="M25" s="199">
        <f t="shared" si="2"/>
        <v>24148.899999999998</v>
      </c>
      <c r="N25" s="199">
        <f t="shared" si="3"/>
        <v>5122.4888169</v>
      </c>
      <c r="O25" s="171">
        <f t="shared" si="4"/>
        <v>24455.220857911358</v>
      </c>
      <c r="P25" s="173">
        <f t="shared" si="58"/>
        <v>24.455220857911357</v>
      </c>
      <c r="Q25" s="174">
        <f t="shared" si="59"/>
        <v>731.7847204225</v>
      </c>
      <c r="R25" s="189">
        <v>17.5</v>
      </c>
      <c r="S25" s="200">
        <f t="shared" si="5"/>
        <v>5122.4930429575</v>
      </c>
      <c r="T25" s="195">
        <v>4</v>
      </c>
      <c r="U25" s="195">
        <v>1.5</v>
      </c>
      <c r="V25" s="195">
        <f t="shared" si="6"/>
        <v>0.059800000000000006</v>
      </c>
      <c r="W25" s="195">
        <v>1</v>
      </c>
      <c r="X25" s="184">
        <f t="shared" si="46"/>
        <v>306.3250839688585</v>
      </c>
      <c r="Y25" s="324">
        <v>9</v>
      </c>
      <c r="Z25" s="184">
        <f t="shared" si="7"/>
        <v>2200.9698772120223</v>
      </c>
      <c r="AA25" s="195">
        <v>10</v>
      </c>
      <c r="AB25" s="200">
        <f t="shared" si="8"/>
        <v>2445.522085791136</v>
      </c>
      <c r="AC25" s="195" t="s">
        <v>44</v>
      </c>
      <c r="AD25" s="195">
        <v>30</v>
      </c>
      <c r="AE25" s="168" t="s">
        <v>45</v>
      </c>
      <c r="AF25" s="168">
        <v>0.8</v>
      </c>
      <c r="AG25" s="184">
        <f t="shared" si="47"/>
        <v>3032.4473863810085</v>
      </c>
      <c r="AH25" s="184">
        <f t="shared" si="9"/>
        <v>7586.7</v>
      </c>
      <c r="AI25" s="184">
        <f t="shared" si="48"/>
        <v>12619.800000000001</v>
      </c>
      <c r="AJ25" s="176">
        <f t="shared" si="28"/>
        <v>-0.6634109691960933</v>
      </c>
      <c r="AK25" s="201">
        <v>5.7</v>
      </c>
      <c r="AL25" s="202">
        <v>28</v>
      </c>
      <c r="AM25" s="178">
        <f t="shared" si="10"/>
        <v>0.8873333333333333</v>
      </c>
      <c r="AN25" s="177">
        <f t="shared" si="11"/>
        <v>3.5424</v>
      </c>
      <c r="AO25" s="570">
        <f t="shared" si="29"/>
        <v>-2.992186326070624</v>
      </c>
      <c r="AP25" s="745"/>
      <c r="AQ25" s="750">
        <v>1331</v>
      </c>
      <c r="AR25" s="197">
        <f t="shared" si="12"/>
        <v>1331</v>
      </c>
      <c r="AS25" s="203"/>
      <c r="AT25" s="198">
        <v>2214</v>
      </c>
      <c r="AU25" s="204">
        <f t="shared" si="13"/>
        <v>2214</v>
      </c>
      <c r="AV25" s="171">
        <f t="shared" si="49"/>
        <v>0.3988256549232159</v>
      </c>
      <c r="AW25" s="369">
        <f>39.5+18.7</f>
        <v>58.2</v>
      </c>
      <c r="AX25" s="368">
        <f t="shared" si="30"/>
        <v>10.185</v>
      </c>
      <c r="AY25" s="205">
        <v>3</v>
      </c>
      <c r="AZ25" s="205">
        <v>30</v>
      </c>
      <c r="BA25" s="194">
        <v>12.5</v>
      </c>
      <c r="BB25" s="194">
        <v>9</v>
      </c>
      <c r="BC25" s="205">
        <v>25</v>
      </c>
      <c r="BD25" s="202">
        <f t="shared" si="14"/>
        <v>18.373569389865782</v>
      </c>
      <c r="BE25" s="194">
        <v>0</v>
      </c>
      <c r="BF25" s="194">
        <v>0</v>
      </c>
      <c r="BG25" s="183">
        <f t="shared" si="31"/>
        <v>0</v>
      </c>
      <c r="BH25" s="195">
        <v>202</v>
      </c>
      <c r="BI25" s="195">
        <v>150</v>
      </c>
      <c r="BJ25" s="184">
        <f t="shared" si="32"/>
        <v>52</v>
      </c>
      <c r="BK25" s="194">
        <v>0</v>
      </c>
      <c r="BL25" s="194">
        <v>0</v>
      </c>
      <c r="BM25" s="185">
        <f t="shared" si="33"/>
        <v>0</v>
      </c>
      <c r="BN25" s="96">
        <f t="shared" si="34"/>
        <v>0.008259994917799003</v>
      </c>
      <c r="BO25" s="211">
        <v>17</v>
      </c>
      <c r="BP25" s="206">
        <v>4</v>
      </c>
      <c r="BQ25" s="194">
        <v>0</v>
      </c>
      <c r="BR25" s="96">
        <f t="shared" si="15"/>
        <v>0.9805825242718447</v>
      </c>
      <c r="BS25" s="202">
        <f t="shared" si="16"/>
        <v>98.05825242718447</v>
      </c>
      <c r="BT25" s="202">
        <f t="shared" si="52"/>
        <v>0.7425742574257426</v>
      </c>
      <c r="BU25" s="167">
        <f t="shared" si="60"/>
        <v>5</v>
      </c>
      <c r="BV25" s="198">
        <v>27</v>
      </c>
      <c r="BW25" s="198">
        <v>27</v>
      </c>
      <c r="BX25" s="198">
        <f>IF(OR(ISBLANK(BV25),ISBLANK(BW25)),"",BV25/BW25)</f>
        <v>1</v>
      </c>
      <c r="BY25" s="167">
        <f t="shared" si="19"/>
        <v>2.43</v>
      </c>
      <c r="BZ25" s="71">
        <f t="shared" si="20"/>
        <v>0.09000000000000001</v>
      </c>
      <c r="CA25" s="631"/>
      <c r="CB25" s="628"/>
      <c r="CC25" s="209">
        <v>36</v>
      </c>
      <c r="CD25" s="321">
        <v>70</v>
      </c>
      <c r="CE25" s="185">
        <v>0</v>
      </c>
      <c r="CF25" s="207">
        <v>100</v>
      </c>
      <c r="CG25" s="194">
        <v>9</v>
      </c>
      <c r="CH25" s="194">
        <v>6</v>
      </c>
      <c r="CI25" s="183">
        <f t="shared" si="50"/>
        <v>15</v>
      </c>
      <c r="CJ25" s="194">
        <v>5</v>
      </c>
      <c r="CK25" s="407" t="s">
        <v>43</v>
      </c>
      <c r="CL25" s="402">
        <v>4.96</v>
      </c>
      <c r="CM25" s="195" t="s">
        <v>42</v>
      </c>
      <c r="CN25" s="195">
        <v>0</v>
      </c>
      <c r="CO25" s="195" t="s">
        <v>369</v>
      </c>
      <c r="CP25" s="168">
        <v>7.07</v>
      </c>
      <c r="CQ25" s="195" t="s">
        <v>45</v>
      </c>
      <c r="CR25" s="168">
        <v>1.1</v>
      </c>
      <c r="CS25" s="193" t="s">
        <v>68</v>
      </c>
      <c r="CT25" s="195" t="s">
        <v>43</v>
      </c>
      <c r="CU25" s="428">
        <v>6.24</v>
      </c>
      <c r="CV25" s="208" t="s">
        <v>46</v>
      </c>
      <c r="CW25" s="408">
        <v>0.82</v>
      </c>
      <c r="CX25" s="784" t="s">
        <v>44</v>
      </c>
      <c r="CY25" s="784">
        <v>1</v>
      </c>
      <c r="CZ25" s="409" t="s">
        <v>47</v>
      </c>
      <c r="DA25" s="409">
        <v>1.07</v>
      </c>
      <c r="DB25" s="217" t="s">
        <v>43</v>
      </c>
      <c r="DC25" s="217">
        <v>0.91</v>
      </c>
      <c r="DD25" s="208" t="s">
        <v>44</v>
      </c>
      <c r="DE25" s="208">
        <v>1</v>
      </c>
      <c r="DF25" s="208" t="s">
        <v>44</v>
      </c>
      <c r="DG25" s="179">
        <v>1</v>
      </c>
      <c r="DH25" s="208" t="s">
        <v>44</v>
      </c>
      <c r="DI25" s="179">
        <v>1</v>
      </c>
      <c r="DJ25" s="208" t="s">
        <v>43</v>
      </c>
      <c r="DK25" s="179">
        <v>0.87</v>
      </c>
      <c r="DL25" s="208" t="s">
        <v>44</v>
      </c>
      <c r="DM25" s="410" t="s">
        <v>44</v>
      </c>
      <c r="DN25" s="175">
        <v>0.01</v>
      </c>
      <c r="DO25" s="410" t="s">
        <v>44</v>
      </c>
      <c r="DP25" s="175">
        <v>0.01</v>
      </c>
      <c r="DQ25" s="410" t="s">
        <v>43</v>
      </c>
      <c r="DR25" s="200">
        <v>1.12</v>
      </c>
      <c r="DS25" s="411" t="s">
        <v>45</v>
      </c>
      <c r="DT25" s="195" t="s">
        <v>372</v>
      </c>
      <c r="DU25" s="168">
        <v>0.88</v>
      </c>
      <c r="DV25" s="195" t="s">
        <v>372</v>
      </c>
      <c r="DW25" s="195">
        <v>0.91</v>
      </c>
      <c r="DX25" s="411" t="s">
        <v>44</v>
      </c>
      <c r="DY25" s="411">
        <v>1</v>
      </c>
      <c r="DZ25" s="411" t="s">
        <v>43</v>
      </c>
      <c r="EA25" s="411">
        <v>1.09</v>
      </c>
      <c r="EB25" s="411" t="s">
        <v>47</v>
      </c>
      <c r="EC25" s="411">
        <v>0.93</v>
      </c>
      <c r="ED25" s="411" t="s">
        <v>46</v>
      </c>
      <c r="EE25" s="411">
        <v>1.43</v>
      </c>
      <c r="EF25" s="411" t="s">
        <v>46</v>
      </c>
      <c r="EG25" s="99">
        <f t="shared" si="53"/>
        <v>9.031208028541532E-05</v>
      </c>
      <c r="EH25" s="99">
        <v>2.94</v>
      </c>
      <c r="EI25" s="99">
        <v>0.91</v>
      </c>
      <c r="EJ25" s="99">
        <f t="shared" si="54"/>
        <v>21.01</v>
      </c>
      <c r="EK25" s="99">
        <f t="shared" si="36"/>
        <v>1.1201</v>
      </c>
      <c r="EL25" s="444">
        <f t="shared" si="55"/>
        <v>29271.3888169</v>
      </c>
      <c r="EM25" s="444">
        <f t="shared" si="37"/>
        <v>100661.44775621139</v>
      </c>
      <c r="EN25" s="708">
        <f t="shared" si="38"/>
        <v>26.727377569131</v>
      </c>
      <c r="EO25" s="99">
        <f t="shared" si="56"/>
        <v>1500</v>
      </c>
      <c r="EP25" s="444">
        <f t="shared" si="57"/>
        <v>12</v>
      </c>
      <c r="EQ25" s="444">
        <f t="shared" si="39"/>
        <v>0.32202000000000003</v>
      </c>
      <c r="ER25" s="444">
        <f t="shared" si="40"/>
        <v>3.10539718029936</v>
      </c>
      <c r="ES25" s="444">
        <f t="shared" si="41"/>
        <v>3.2697547683923704</v>
      </c>
      <c r="ET25" s="444">
        <f t="shared" si="42"/>
        <v>39.60718662914513</v>
      </c>
      <c r="EU25" s="708">
        <f t="shared" si="43"/>
        <v>39.60718662914513</v>
      </c>
      <c r="EV25" s="99">
        <f t="shared" si="44"/>
        <v>1331</v>
      </c>
      <c r="EW25" s="444">
        <f t="shared" si="45"/>
        <v>2214</v>
      </c>
      <c r="EX25" s="712"/>
      <c r="EY25" s="99"/>
      <c r="EZ25" s="99"/>
      <c r="FA25" s="99"/>
      <c r="FB25" s="99"/>
      <c r="FC25" s="99"/>
      <c r="FD25" s="99"/>
      <c r="FE25" s="99"/>
      <c r="FF25" s="99"/>
      <c r="FG25" s="99"/>
      <c r="FH25" s="99"/>
      <c r="FI25" s="99"/>
      <c r="FJ25" s="99"/>
      <c r="FK25" s="99"/>
      <c r="FL25" s="99"/>
      <c r="FM25" s="99"/>
      <c r="FN25" s="99"/>
      <c r="FO25" s="38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389"/>
    </row>
    <row r="26" spans="1:229" s="192" customFormat="1" ht="15.75" customHeight="1">
      <c r="A26" s="216" t="s">
        <v>61</v>
      </c>
      <c r="B26" s="216" t="s">
        <v>61</v>
      </c>
      <c r="C26" s="316" t="s">
        <v>43</v>
      </c>
      <c r="D26" s="316">
        <v>2</v>
      </c>
      <c r="E26" s="373" t="s">
        <v>41</v>
      </c>
      <c r="F26" s="196" t="s">
        <v>40</v>
      </c>
      <c r="G26" s="197">
        <v>1500</v>
      </c>
      <c r="H26" s="197">
        <v>625</v>
      </c>
      <c r="I26" s="171">
        <f t="shared" si="0"/>
        <v>0.5833333333333334</v>
      </c>
      <c r="J26" s="194">
        <v>125</v>
      </c>
      <c r="K26" s="172">
        <v>299</v>
      </c>
      <c r="L26" s="199">
        <f t="shared" si="1"/>
        <v>3624.24179</v>
      </c>
      <c r="M26" s="199">
        <f t="shared" si="2"/>
        <v>2990</v>
      </c>
      <c r="N26" s="199">
        <f t="shared" si="3"/>
        <v>634.24179</v>
      </c>
      <c r="O26" s="171">
        <f t="shared" si="4"/>
        <v>3027.92716708235</v>
      </c>
      <c r="P26" s="173">
        <f t="shared" si="58"/>
        <v>3.02792716708235</v>
      </c>
      <c r="Q26" s="174">
        <f t="shared" si="59"/>
        <v>90.60604475</v>
      </c>
      <c r="R26" s="189">
        <v>17.5</v>
      </c>
      <c r="S26" s="200">
        <f t="shared" si="5"/>
        <v>634.2423132499999</v>
      </c>
      <c r="T26" s="195">
        <v>4</v>
      </c>
      <c r="U26" s="195">
        <v>1.5</v>
      </c>
      <c r="V26" s="195">
        <f t="shared" si="6"/>
        <v>0.059800000000000006</v>
      </c>
      <c r="W26" s="195">
        <v>1</v>
      </c>
      <c r="X26" s="184">
        <f aca="true" t="shared" si="61" ref="X26:X33">S26*V26*W26</f>
        <v>37.92769033235</v>
      </c>
      <c r="Y26" s="324">
        <v>9</v>
      </c>
      <c r="Z26" s="184">
        <f t="shared" si="7"/>
        <v>272.5134450374115</v>
      </c>
      <c r="AA26" s="195">
        <v>10</v>
      </c>
      <c r="AB26" s="200">
        <f t="shared" si="8"/>
        <v>302.792716708235</v>
      </c>
      <c r="AC26" s="195" t="s">
        <v>44</v>
      </c>
      <c r="AD26" s="195">
        <v>30</v>
      </c>
      <c r="AE26" s="168" t="s">
        <v>45</v>
      </c>
      <c r="AF26" s="168">
        <v>0.8</v>
      </c>
      <c r="AG26" s="184">
        <f aca="true" t="shared" si="62" ref="AG26:AG33">AB26*(1+(AD26/100)*AF26)</f>
        <v>375.4629687182114</v>
      </c>
      <c r="AH26" s="184">
        <f t="shared" si="9"/>
        <v>1333.8</v>
      </c>
      <c r="AI26" s="184">
        <f aca="true" t="shared" si="63" ref="AI26:AI33">AU26*AK26</f>
        <v>3549.485</v>
      </c>
      <c r="AJ26" s="176">
        <f t="shared" si="28"/>
        <v>-1.6611823361823366</v>
      </c>
      <c r="AK26" s="201">
        <v>5.7</v>
      </c>
      <c r="AL26" s="202">
        <v>28</v>
      </c>
      <c r="AM26" s="178">
        <f t="shared" si="10"/>
        <v>0.156</v>
      </c>
      <c r="AN26" s="177">
        <f t="shared" si="11"/>
        <v>0.9963466666666667</v>
      </c>
      <c r="AO26" s="570">
        <f t="shared" si="29"/>
        <v>-5.386837606837607</v>
      </c>
      <c r="AP26" s="749">
        <v>14</v>
      </c>
      <c r="AQ26" s="750">
        <v>220</v>
      </c>
      <c r="AR26" s="197">
        <f t="shared" si="12"/>
        <v>234</v>
      </c>
      <c r="AS26" s="210">
        <v>340.7166666666667</v>
      </c>
      <c r="AT26" s="188">
        <v>282</v>
      </c>
      <c r="AU26" s="204">
        <f t="shared" si="13"/>
        <v>622.7166666666667</v>
      </c>
      <c r="AV26" s="171">
        <f aca="true" t="shared" si="64" ref="AV26:AV33">(AU26-AR26)/AU26</f>
        <v>0.6242271766185798</v>
      </c>
      <c r="AW26" s="369">
        <f>41.9+16.5</f>
        <v>58.4</v>
      </c>
      <c r="AX26" s="368">
        <f t="shared" si="30"/>
        <v>10.219999999999999</v>
      </c>
      <c r="AY26" s="205">
        <v>3</v>
      </c>
      <c r="AZ26" s="205">
        <v>30</v>
      </c>
      <c r="BA26" s="194">
        <v>12.5</v>
      </c>
      <c r="BB26" s="194">
        <v>9</v>
      </c>
      <c r="BC26" s="205">
        <v>25</v>
      </c>
      <c r="BD26" s="202">
        <f t="shared" si="14"/>
        <v>12.939859688386111</v>
      </c>
      <c r="BE26" s="194">
        <v>0</v>
      </c>
      <c r="BF26" s="194">
        <v>0</v>
      </c>
      <c r="BG26" s="183">
        <f t="shared" si="31"/>
        <v>0</v>
      </c>
      <c r="BH26" s="195">
        <v>50</v>
      </c>
      <c r="BI26" s="195">
        <v>50</v>
      </c>
      <c r="BJ26" s="184">
        <f t="shared" si="32"/>
        <v>0</v>
      </c>
      <c r="BK26" s="194">
        <v>0</v>
      </c>
      <c r="BL26" s="194">
        <v>0</v>
      </c>
      <c r="BM26" s="185">
        <f t="shared" si="33"/>
        <v>0</v>
      </c>
      <c r="BN26" s="96">
        <f t="shared" si="34"/>
        <v>0.016512946725921084</v>
      </c>
      <c r="BO26" s="194">
        <v>9</v>
      </c>
      <c r="BP26" s="206">
        <v>2</v>
      </c>
      <c r="BQ26" s="194">
        <v>0</v>
      </c>
      <c r="BR26" s="96">
        <f t="shared" si="15"/>
        <v>0.9615384615384616</v>
      </c>
      <c r="BS26" s="202">
        <f t="shared" si="16"/>
        <v>96.15384615384616</v>
      </c>
      <c r="BT26" s="202">
        <f t="shared" si="52"/>
        <v>1</v>
      </c>
      <c r="BU26" s="167">
        <f t="shared" si="60"/>
        <v>5</v>
      </c>
      <c r="BV26" s="172">
        <v>35</v>
      </c>
      <c r="BW26" s="172">
        <v>35</v>
      </c>
      <c r="BX26" s="198">
        <f aca="true" t="shared" si="65" ref="BX26:BX31">BV26/BW26</f>
        <v>1</v>
      </c>
      <c r="BY26" s="167">
        <f t="shared" si="19"/>
        <v>3.15</v>
      </c>
      <c r="BZ26" s="71">
        <f t="shared" si="20"/>
        <v>0.09</v>
      </c>
      <c r="CA26" s="631"/>
      <c r="CB26" s="631"/>
      <c r="CC26" s="188">
        <v>14</v>
      </c>
      <c r="CD26" s="321">
        <v>70</v>
      </c>
      <c r="CE26" s="185">
        <v>0</v>
      </c>
      <c r="CF26" s="207">
        <v>100</v>
      </c>
      <c r="CG26" s="194">
        <v>9</v>
      </c>
      <c r="CH26" s="194">
        <v>6</v>
      </c>
      <c r="CI26" s="183">
        <f aca="true" t="shared" si="66" ref="CI26:CI33">SUM(CG26,CH26)</f>
        <v>15</v>
      </c>
      <c r="CJ26" s="194">
        <v>5</v>
      </c>
      <c r="CK26" s="407" t="s">
        <v>43</v>
      </c>
      <c r="CL26" s="402">
        <v>4.96</v>
      </c>
      <c r="CM26" s="195" t="s">
        <v>42</v>
      </c>
      <c r="CN26" s="195">
        <v>0</v>
      </c>
      <c r="CO26" s="195" t="s">
        <v>369</v>
      </c>
      <c r="CP26" s="168">
        <v>7.07</v>
      </c>
      <c r="CQ26" s="195" t="s">
        <v>45</v>
      </c>
      <c r="CR26" s="168">
        <v>1.1</v>
      </c>
      <c r="CS26" s="216" t="s">
        <v>61</v>
      </c>
      <c r="CT26" s="195" t="s">
        <v>43</v>
      </c>
      <c r="CU26" s="428">
        <v>6.24</v>
      </c>
      <c r="CV26" s="408" t="s">
        <v>43</v>
      </c>
      <c r="CW26" s="408">
        <v>0.92</v>
      </c>
      <c r="CX26" s="784" t="s">
        <v>44</v>
      </c>
      <c r="CY26" s="784">
        <v>1</v>
      </c>
      <c r="CZ26" s="409" t="s">
        <v>44</v>
      </c>
      <c r="DA26" s="409">
        <v>1</v>
      </c>
      <c r="DB26" s="217" t="s">
        <v>46</v>
      </c>
      <c r="DC26" s="217">
        <v>0.81</v>
      </c>
      <c r="DD26" s="407" t="s">
        <v>371</v>
      </c>
      <c r="DE26" s="407">
        <v>0.87</v>
      </c>
      <c r="DF26" s="208" t="s">
        <v>44</v>
      </c>
      <c r="DG26" s="179">
        <v>1</v>
      </c>
      <c r="DH26" s="208" t="s">
        <v>44</v>
      </c>
      <c r="DI26" s="179">
        <v>1</v>
      </c>
      <c r="DJ26" s="208" t="s">
        <v>43</v>
      </c>
      <c r="DK26" s="179">
        <v>0.87</v>
      </c>
      <c r="DL26" s="208" t="s">
        <v>44</v>
      </c>
      <c r="DM26" s="410" t="s">
        <v>44</v>
      </c>
      <c r="DN26" s="175">
        <v>0.01</v>
      </c>
      <c r="DO26" s="410" t="s">
        <v>44</v>
      </c>
      <c r="DP26" s="175">
        <v>0.01</v>
      </c>
      <c r="DQ26" s="410" t="s">
        <v>43</v>
      </c>
      <c r="DR26" s="200">
        <v>1.12</v>
      </c>
      <c r="DS26" s="411" t="s">
        <v>45</v>
      </c>
      <c r="DT26" s="195" t="s">
        <v>372</v>
      </c>
      <c r="DU26" s="168">
        <v>0.88</v>
      </c>
      <c r="DV26" s="195" t="s">
        <v>372</v>
      </c>
      <c r="DW26" s="195">
        <v>0.91</v>
      </c>
      <c r="DX26" s="195" t="s">
        <v>372</v>
      </c>
      <c r="DY26" s="442">
        <v>0.91</v>
      </c>
      <c r="DZ26" s="411" t="s">
        <v>44</v>
      </c>
      <c r="EA26" s="411">
        <v>1</v>
      </c>
      <c r="EB26" s="411" t="s">
        <v>43</v>
      </c>
      <c r="EC26" s="411">
        <v>1.09</v>
      </c>
      <c r="ED26" s="411" t="s">
        <v>47</v>
      </c>
      <c r="EE26" s="411">
        <v>1</v>
      </c>
      <c r="EF26" s="411" t="s">
        <v>46</v>
      </c>
      <c r="EG26" s="99">
        <f t="shared" si="53"/>
        <v>5.01789222065844E-05</v>
      </c>
      <c r="EH26" s="99">
        <v>2.94</v>
      </c>
      <c r="EI26" s="99">
        <v>0.91</v>
      </c>
      <c r="EJ26" s="99">
        <f t="shared" si="54"/>
        <v>21.210000000000004</v>
      </c>
      <c r="EK26" s="99">
        <f t="shared" si="36"/>
        <v>1.1221</v>
      </c>
      <c r="EL26" s="444">
        <f t="shared" si="55"/>
        <v>3624.24179</v>
      </c>
      <c r="EM26" s="444">
        <f t="shared" si="37"/>
        <v>9858.198972500457</v>
      </c>
      <c r="EN26" s="708">
        <f t="shared" si="38"/>
        <v>1.4543409700541041</v>
      </c>
      <c r="EO26" s="99">
        <f t="shared" si="56"/>
        <v>1500</v>
      </c>
      <c r="EP26" s="444">
        <f t="shared" si="57"/>
        <v>12</v>
      </c>
      <c r="EQ26" s="444">
        <f t="shared" si="39"/>
        <v>0.32242000000000004</v>
      </c>
      <c r="ER26" s="444">
        <f t="shared" si="40"/>
        <v>3.101544569195459</v>
      </c>
      <c r="ES26" s="444">
        <f t="shared" si="41"/>
        <v>3.2697547683923704</v>
      </c>
      <c r="ET26" s="444">
        <f t="shared" si="42"/>
        <v>39.42682160967004</v>
      </c>
      <c r="EU26" s="708">
        <f t="shared" si="43"/>
        <v>39.42682160967004</v>
      </c>
      <c r="EV26" s="99">
        <f t="shared" si="44"/>
        <v>234</v>
      </c>
      <c r="EW26" s="444">
        <f t="shared" si="45"/>
        <v>622.7166666666667</v>
      </c>
      <c r="EX26" s="712"/>
      <c r="EY26" s="99"/>
      <c r="EZ26" s="99"/>
      <c r="FA26" s="99"/>
      <c r="FB26" s="99"/>
      <c r="FC26" s="99"/>
      <c r="FD26" s="99"/>
      <c r="FE26" s="99"/>
      <c r="FF26" s="99"/>
      <c r="FG26" s="99"/>
      <c r="FH26" s="99"/>
      <c r="FI26" s="99"/>
      <c r="FJ26" s="99"/>
      <c r="FK26" s="99"/>
      <c r="FL26" s="99"/>
      <c r="FM26" s="99"/>
      <c r="FN26" s="99"/>
      <c r="FO26" s="387"/>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387"/>
    </row>
    <row r="27" spans="1:229" s="192" customFormat="1" ht="15.75" customHeight="1">
      <c r="A27" s="216" t="s">
        <v>62</v>
      </c>
      <c r="B27" s="216" t="s">
        <v>62</v>
      </c>
      <c r="C27" s="316" t="s">
        <v>43</v>
      </c>
      <c r="D27" s="316">
        <v>2</v>
      </c>
      <c r="E27" s="373" t="s">
        <v>41</v>
      </c>
      <c r="F27" s="196" t="s">
        <v>40</v>
      </c>
      <c r="G27" s="197">
        <v>1500</v>
      </c>
      <c r="H27" s="197">
        <v>625</v>
      </c>
      <c r="I27" s="171">
        <f t="shared" si="0"/>
        <v>0.5833333333333334</v>
      </c>
      <c r="J27" s="194">
        <v>125</v>
      </c>
      <c r="K27" s="209">
        <v>467.87</v>
      </c>
      <c r="L27" s="199">
        <f t="shared" si="1"/>
        <v>5671.1505227</v>
      </c>
      <c r="M27" s="199">
        <f t="shared" si="2"/>
        <v>4678.7</v>
      </c>
      <c r="N27" s="199">
        <f t="shared" si="3"/>
        <v>992.4505227</v>
      </c>
      <c r="O27" s="171">
        <f t="shared" si="4"/>
        <v>4738.0477714475555</v>
      </c>
      <c r="P27" s="173">
        <f t="shared" si="58"/>
        <v>4.7380477714475555</v>
      </c>
      <c r="Q27" s="174">
        <f t="shared" si="59"/>
        <v>141.7787630675</v>
      </c>
      <c r="R27" s="189">
        <v>17.5</v>
      </c>
      <c r="S27" s="200">
        <f t="shared" si="5"/>
        <v>992.4513414724998</v>
      </c>
      <c r="T27" s="195">
        <v>4</v>
      </c>
      <c r="U27" s="195">
        <v>1.5</v>
      </c>
      <c r="V27" s="195">
        <f t="shared" si="6"/>
        <v>0.059800000000000006</v>
      </c>
      <c r="W27" s="195">
        <v>1</v>
      </c>
      <c r="X27" s="184">
        <f t="shared" si="61"/>
        <v>59.3485902200555</v>
      </c>
      <c r="Y27" s="324">
        <v>9</v>
      </c>
      <c r="Z27" s="184">
        <f t="shared" si="7"/>
        <v>426.42429943028</v>
      </c>
      <c r="AA27" s="195">
        <v>10</v>
      </c>
      <c r="AB27" s="200">
        <f t="shared" si="8"/>
        <v>473.8047771447556</v>
      </c>
      <c r="AC27" s="195" t="s">
        <v>44</v>
      </c>
      <c r="AD27" s="195">
        <v>30</v>
      </c>
      <c r="AE27" s="168" t="s">
        <v>45</v>
      </c>
      <c r="AF27" s="168">
        <v>0.8</v>
      </c>
      <c r="AG27" s="184">
        <f t="shared" si="62"/>
        <v>587.5179236594969</v>
      </c>
      <c r="AH27" s="184">
        <f t="shared" si="9"/>
        <v>2217.3</v>
      </c>
      <c r="AI27" s="184">
        <f t="shared" si="63"/>
        <v>3142.866</v>
      </c>
      <c r="AJ27" s="176">
        <f t="shared" si="28"/>
        <v>-0.4174293059125963</v>
      </c>
      <c r="AK27" s="201">
        <v>5.7</v>
      </c>
      <c r="AL27" s="202">
        <v>28</v>
      </c>
      <c r="AM27" s="178">
        <f t="shared" si="10"/>
        <v>0.25933333333333336</v>
      </c>
      <c r="AN27" s="177">
        <f t="shared" si="11"/>
        <v>0.882208</v>
      </c>
      <c r="AO27" s="570">
        <f t="shared" si="29"/>
        <v>-2.4018303341902314</v>
      </c>
      <c r="AP27" s="749">
        <v>32</v>
      </c>
      <c r="AQ27" s="750">
        <v>357</v>
      </c>
      <c r="AR27" s="197">
        <f t="shared" si="12"/>
        <v>389</v>
      </c>
      <c r="AS27" s="217">
        <v>77.38</v>
      </c>
      <c r="AT27" s="198">
        <v>474</v>
      </c>
      <c r="AU27" s="204">
        <f t="shared" si="13"/>
        <v>551.38</v>
      </c>
      <c r="AV27" s="171">
        <f t="shared" si="64"/>
        <v>0.294497442779934</v>
      </c>
      <c r="AW27" s="369">
        <f>41.9+16.5</f>
        <v>58.4</v>
      </c>
      <c r="AX27" s="368">
        <f t="shared" si="30"/>
        <v>10.219999999999999</v>
      </c>
      <c r="AY27" s="205">
        <v>3</v>
      </c>
      <c r="AZ27" s="205">
        <v>30</v>
      </c>
      <c r="BA27" s="194">
        <v>12.5</v>
      </c>
      <c r="BB27" s="194">
        <v>9</v>
      </c>
      <c r="BC27" s="205">
        <v>20</v>
      </c>
      <c r="BD27" s="202">
        <f t="shared" si="14"/>
        <v>12.18007139189603</v>
      </c>
      <c r="BE27" s="194">
        <v>0</v>
      </c>
      <c r="BF27" s="194">
        <v>0</v>
      </c>
      <c r="BG27" s="183">
        <f t="shared" si="31"/>
        <v>0</v>
      </c>
      <c r="BH27" s="195">
        <v>79</v>
      </c>
      <c r="BI27" s="195">
        <v>31</v>
      </c>
      <c r="BJ27" s="184">
        <f t="shared" si="32"/>
        <v>48</v>
      </c>
      <c r="BK27" s="194">
        <v>0</v>
      </c>
      <c r="BL27" s="194">
        <v>0</v>
      </c>
      <c r="BM27" s="185">
        <f t="shared" si="33"/>
        <v>0</v>
      </c>
      <c r="BN27" s="96">
        <f t="shared" si="34"/>
        <v>0.01667353387107453</v>
      </c>
      <c r="BO27" s="194">
        <v>15</v>
      </c>
      <c r="BP27" s="206">
        <v>1</v>
      </c>
      <c r="BQ27" s="194">
        <v>0</v>
      </c>
      <c r="BR27" s="96">
        <f t="shared" si="15"/>
        <v>0.9875</v>
      </c>
      <c r="BS27" s="202">
        <f t="shared" si="16"/>
        <v>98.75</v>
      </c>
      <c r="BT27" s="202">
        <f t="shared" si="52"/>
        <v>0.3924050632911392</v>
      </c>
      <c r="BU27" s="167">
        <f t="shared" si="60"/>
        <v>5</v>
      </c>
      <c r="BV27" s="198">
        <v>20</v>
      </c>
      <c r="BW27" s="198">
        <v>20</v>
      </c>
      <c r="BX27" s="198">
        <f t="shared" si="65"/>
        <v>1</v>
      </c>
      <c r="BY27" s="167">
        <f t="shared" si="19"/>
        <v>1.8</v>
      </c>
      <c r="BZ27" s="71">
        <f t="shared" si="20"/>
        <v>0.09</v>
      </c>
      <c r="CA27" s="631"/>
      <c r="CB27" s="631"/>
      <c r="CC27" s="209">
        <v>28</v>
      </c>
      <c r="CD27" s="321">
        <v>70</v>
      </c>
      <c r="CE27" s="185">
        <v>0</v>
      </c>
      <c r="CF27" s="207">
        <v>100</v>
      </c>
      <c r="CG27" s="194">
        <v>9</v>
      </c>
      <c r="CH27" s="194">
        <v>6</v>
      </c>
      <c r="CI27" s="183">
        <f t="shared" si="66"/>
        <v>15</v>
      </c>
      <c r="CJ27" s="194">
        <v>5</v>
      </c>
      <c r="CK27" s="407" t="s">
        <v>44</v>
      </c>
      <c r="CL27" s="407">
        <v>3.72</v>
      </c>
      <c r="CM27" s="195" t="s">
        <v>42</v>
      </c>
      <c r="CN27" s="195">
        <v>0</v>
      </c>
      <c r="CO27" s="195" t="s">
        <v>369</v>
      </c>
      <c r="CP27" s="168">
        <v>7.07</v>
      </c>
      <c r="CQ27" s="195" t="s">
        <v>45</v>
      </c>
      <c r="CR27" s="168">
        <v>1.1</v>
      </c>
      <c r="CS27" s="216" t="s">
        <v>62</v>
      </c>
      <c r="CT27" s="195" t="s">
        <v>43</v>
      </c>
      <c r="CU27" s="428">
        <v>6.24</v>
      </c>
      <c r="CV27" s="408" t="s">
        <v>43</v>
      </c>
      <c r="CW27" s="408">
        <v>0.92</v>
      </c>
      <c r="CX27" s="784" t="s">
        <v>44</v>
      </c>
      <c r="CY27" s="784">
        <v>1</v>
      </c>
      <c r="CZ27" s="409" t="s">
        <v>44</v>
      </c>
      <c r="DA27" s="409">
        <v>1</v>
      </c>
      <c r="DB27" s="217" t="s">
        <v>43</v>
      </c>
      <c r="DC27" s="217">
        <v>0.91</v>
      </c>
      <c r="DD27" s="407" t="s">
        <v>371</v>
      </c>
      <c r="DE27" s="407">
        <v>0.87</v>
      </c>
      <c r="DF27" s="208" t="s">
        <v>44</v>
      </c>
      <c r="DG27" s="179">
        <v>1</v>
      </c>
      <c r="DH27" s="208" t="s">
        <v>44</v>
      </c>
      <c r="DI27" s="179">
        <v>1</v>
      </c>
      <c r="DJ27" s="208" t="s">
        <v>43</v>
      </c>
      <c r="DK27" s="179">
        <v>0.87</v>
      </c>
      <c r="DL27" s="208" t="s">
        <v>44</v>
      </c>
      <c r="DM27" s="410" t="s">
        <v>44</v>
      </c>
      <c r="DN27" s="175">
        <v>0.01</v>
      </c>
      <c r="DO27" s="410" t="s">
        <v>44</v>
      </c>
      <c r="DP27" s="175">
        <v>0.01</v>
      </c>
      <c r="DQ27" s="410" t="s">
        <v>43</v>
      </c>
      <c r="DR27" s="200">
        <v>1.12</v>
      </c>
      <c r="DS27" s="411" t="s">
        <v>45</v>
      </c>
      <c r="DT27" s="195" t="s">
        <v>372</v>
      </c>
      <c r="DU27" s="168">
        <v>0.88</v>
      </c>
      <c r="DV27" s="195" t="s">
        <v>372</v>
      </c>
      <c r="DW27" s="195">
        <v>0.91</v>
      </c>
      <c r="DX27" s="195" t="s">
        <v>372</v>
      </c>
      <c r="DY27" s="442">
        <v>0.91</v>
      </c>
      <c r="DZ27" s="411" t="s">
        <v>44</v>
      </c>
      <c r="EA27" s="411">
        <v>1</v>
      </c>
      <c r="EB27" s="411" t="s">
        <v>43</v>
      </c>
      <c r="EC27" s="411">
        <v>1.09</v>
      </c>
      <c r="ED27" s="411" t="s">
        <v>47</v>
      </c>
      <c r="EE27" s="411">
        <v>1</v>
      </c>
      <c r="EF27" s="411" t="s">
        <v>46</v>
      </c>
      <c r="EG27" s="99">
        <f t="shared" si="53"/>
        <v>5.637385087406394E-05</v>
      </c>
      <c r="EH27" s="99">
        <v>2.94</v>
      </c>
      <c r="EI27" s="99">
        <v>0.91</v>
      </c>
      <c r="EJ27" s="99">
        <f t="shared" si="54"/>
        <v>19.970000000000006</v>
      </c>
      <c r="EK27" s="99">
        <f t="shared" si="36"/>
        <v>1.1097000000000001</v>
      </c>
      <c r="EL27" s="444">
        <f t="shared" si="55"/>
        <v>5671.1505227</v>
      </c>
      <c r="EM27" s="444">
        <f t="shared" si="37"/>
        <v>14636.893142156181</v>
      </c>
      <c r="EN27" s="708">
        <f t="shared" si="38"/>
        <v>2.4259058118912336</v>
      </c>
      <c r="EO27" s="99">
        <f t="shared" si="56"/>
        <v>1500</v>
      </c>
      <c r="EP27" s="444">
        <f t="shared" si="57"/>
        <v>12</v>
      </c>
      <c r="EQ27" s="444">
        <f t="shared" si="39"/>
        <v>0.31994000000000006</v>
      </c>
      <c r="ER27" s="444">
        <f t="shared" si="40"/>
        <v>3.125586047383884</v>
      </c>
      <c r="ES27" s="444">
        <f t="shared" si="41"/>
        <v>3.2697547683923704</v>
      </c>
      <c r="ET27" s="444">
        <f t="shared" si="42"/>
        <v>40.56593340741048</v>
      </c>
      <c r="EU27" s="708">
        <f t="shared" si="43"/>
        <v>40.56593340741048</v>
      </c>
      <c r="EV27" s="99">
        <f t="shared" si="44"/>
        <v>389</v>
      </c>
      <c r="EW27" s="444">
        <f t="shared" si="45"/>
        <v>551.38</v>
      </c>
      <c r="EX27" s="712"/>
      <c r="EY27" s="99"/>
      <c r="EZ27" s="99"/>
      <c r="FA27" s="99"/>
      <c r="FB27" s="99"/>
      <c r="FC27" s="99"/>
      <c r="FD27" s="99"/>
      <c r="FE27" s="99"/>
      <c r="FF27" s="99"/>
      <c r="FG27" s="99"/>
      <c r="FH27" s="99"/>
      <c r="FI27" s="99"/>
      <c r="FJ27" s="99"/>
      <c r="FK27" s="99"/>
      <c r="FL27" s="99"/>
      <c r="FM27" s="99"/>
      <c r="FN27" s="99"/>
      <c r="FO27" s="387"/>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387"/>
    </row>
    <row r="28" spans="1:229" s="192" customFormat="1" ht="15.75" customHeight="1">
      <c r="A28" s="216" t="s">
        <v>63</v>
      </c>
      <c r="B28" s="216" t="s">
        <v>63</v>
      </c>
      <c r="C28" s="316" t="s">
        <v>43</v>
      </c>
      <c r="D28" s="316">
        <v>2</v>
      </c>
      <c r="E28" s="373" t="s">
        <v>41</v>
      </c>
      <c r="F28" s="196" t="s">
        <v>40</v>
      </c>
      <c r="G28" s="197">
        <v>1500</v>
      </c>
      <c r="H28" s="197">
        <v>625</v>
      </c>
      <c r="I28" s="171">
        <f t="shared" si="0"/>
        <v>0.5833333333333334</v>
      </c>
      <c r="J28" s="194">
        <v>125</v>
      </c>
      <c r="K28" s="198">
        <v>6268.85</v>
      </c>
      <c r="L28" s="199">
        <f t="shared" si="1"/>
        <v>75986.0473085</v>
      </c>
      <c r="M28" s="199">
        <f t="shared" si="2"/>
        <v>62688.5</v>
      </c>
      <c r="N28" s="199">
        <f t="shared" si="3"/>
        <v>13297.5473085</v>
      </c>
      <c r="O28" s="171">
        <f t="shared" si="4"/>
        <v>63483.683014595954</v>
      </c>
      <c r="P28" s="173">
        <f t="shared" si="58"/>
        <v>63.483683014595954</v>
      </c>
      <c r="Q28" s="174">
        <f t="shared" si="59"/>
        <v>1899.6511827125</v>
      </c>
      <c r="R28" s="189">
        <v>17.5</v>
      </c>
      <c r="S28" s="200">
        <f t="shared" si="5"/>
        <v>13297.558278987499</v>
      </c>
      <c r="T28" s="195">
        <v>4</v>
      </c>
      <c r="U28" s="195">
        <v>1.5</v>
      </c>
      <c r="V28" s="195">
        <f t="shared" si="6"/>
        <v>0.059800000000000006</v>
      </c>
      <c r="W28" s="195">
        <v>1</v>
      </c>
      <c r="X28" s="184">
        <f t="shared" si="61"/>
        <v>795.1939850834525</v>
      </c>
      <c r="Y28" s="324">
        <v>9</v>
      </c>
      <c r="Z28" s="184">
        <f t="shared" si="7"/>
        <v>5713.531471313636</v>
      </c>
      <c r="AA28" s="195">
        <v>10</v>
      </c>
      <c r="AB28" s="200">
        <f t="shared" si="8"/>
        <v>6348.368301459595</v>
      </c>
      <c r="AC28" s="195" t="s">
        <v>44</v>
      </c>
      <c r="AD28" s="195">
        <v>30</v>
      </c>
      <c r="AE28" s="168" t="s">
        <v>45</v>
      </c>
      <c r="AF28" s="168">
        <v>0.8</v>
      </c>
      <c r="AG28" s="184">
        <f t="shared" si="62"/>
        <v>7871.976693809898</v>
      </c>
      <c r="AH28" s="184">
        <f t="shared" si="9"/>
        <v>24718.905</v>
      </c>
      <c r="AI28" s="184">
        <f t="shared" si="63"/>
        <v>48552.29125</v>
      </c>
      <c r="AJ28" s="176">
        <f t="shared" si="28"/>
        <v>-0.964176457250028</v>
      </c>
      <c r="AK28" s="201">
        <v>5.7</v>
      </c>
      <c r="AL28" s="202">
        <v>28</v>
      </c>
      <c r="AM28" s="178">
        <f t="shared" si="10"/>
        <v>2.8911</v>
      </c>
      <c r="AN28" s="177">
        <f t="shared" si="11"/>
        <v>13.628713333333334</v>
      </c>
      <c r="AO28" s="570">
        <f t="shared" si="29"/>
        <v>-3.7140234974000674</v>
      </c>
      <c r="AP28" s="749">
        <v>451.65</v>
      </c>
      <c r="AQ28" s="753">
        <v>3885</v>
      </c>
      <c r="AR28" s="197">
        <f t="shared" si="12"/>
        <v>4336.65</v>
      </c>
      <c r="AS28" s="210">
        <v>2452.945833333333</v>
      </c>
      <c r="AT28" s="188">
        <v>6065</v>
      </c>
      <c r="AU28" s="204">
        <f t="shared" si="13"/>
        <v>8517.945833333333</v>
      </c>
      <c r="AV28" s="171">
        <f t="shared" si="64"/>
        <v>0.4908807727997801</v>
      </c>
      <c r="AW28" s="369">
        <f>37+23</f>
        <v>60</v>
      </c>
      <c r="AX28" s="368">
        <f t="shared" si="30"/>
        <v>10.5</v>
      </c>
      <c r="AY28" s="205">
        <v>3</v>
      </c>
      <c r="AZ28" s="205">
        <v>30</v>
      </c>
      <c r="BA28" s="194">
        <v>12.5</v>
      </c>
      <c r="BB28" s="194">
        <v>9</v>
      </c>
      <c r="BC28" s="205">
        <v>25</v>
      </c>
      <c r="BD28" s="202">
        <f t="shared" si="14"/>
        <v>14.638876324950356</v>
      </c>
      <c r="BE28" s="194">
        <v>0</v>
      </c>
      <c r="BF28" s="194">
        <v>0</v>
      </c>
      <c r="BG28" s="183">
        <f t="shared" si="31"/>
        <v>0</v>
      </c>
      <c r="BH28" s="195">
        <v>408</v>
      </c>
      <c r="BI28" s="195">
        <v>319</v>
      </c>
      <c r="BJ28" s="184">
        <f t="shared" si="32"/>
        <v>89</v>
      </c>
      <c r="BK28" s="194">
        <v>0</v>
      </c>
      <c r="BL28" s="194">
        <v>0</v>
      </c>
      <c r="BM28" s="185">
        <f t="shared" si="33"/>
        <v>0</v>
      </c>
      <c r="BN28" s="96">
        <f t="shared" si="34"/>
        <v>0.006426848295902965</v>
      </c>
      <c r="BO28" s="194">
        <v>102</v>
      </c>
      <c r="BP28" s="206">
        <v>10</v>
      </c>
      <c r="BQ28" s="194">
        <v>0</v>
      </c>
      <c r="BR28" s="96">
        <f t="shared" si="15"/>
        <v>0.9760765550239234</v>
      </c>
      <c r="BS28" s="202">
        <f t="shared" si="16"/>
        <v>97.60765550239235</v>
      </c>
      <c r="BT28" s="202">
        <f t="shared" si="52"/>
        <v>0.7818627450980392</v>
      </c>
      <c r="BU28" s="167">
        <f t="shared" si="60"/>
        <v>5</v>
      </c>
      <c r="BV28" s="218">
        <v>60</v>
      </c>
      <c r="BW28" s="218">
        <v>60</v>
      </c>
      <c r="BX28" s="198">
        <f t="shared" si="65"/>
        <v>1</v>
      </c>
      <c r="BY28" s="167">
        <f t="shared" si="19"/>
        <v>5.4</v>
      </c>
      <c r="BZ28" s="71">
        <f t="shared" si="20"/>
        <v>0.09000000000000001</v>
      </c>
      <c r="CA28" s="631"/>
      <c r="CB28" s="631"/>
      <c r="CC28" s="209">
        <v>146</v>
      </c>
      <c r="CD28" s="321">
        <v>70</v>
      </c>
      <c r="CE28" s="185">
        <v>0</v>
      </c>
      <c r="CF28" s="207">
        <v>100</v>
      </c>
      <c r="CG28" s="194">
        <v>9</v>
      </c>
      <c r="CH28" s="194">
        <v>6</v>
      </c>
      <c r="CI28" s="183">
        <f t="shared" si="66"/>
        <v>15</v>
      </c>
      <c r="CJ28" s="194">
        <v>5</v>
      </c>
      <c r="CK28" s="407" t="s">
        <v>43</v>
      </c>
      <c r="CL28" s="407">
        <v>4.96</v>
      </c>
      <c r="CM28" s="195" t="s">
        <v>42</v>
      </c>
      <c r="CN28" s="195">
        <v>0</v>
      </c>
      <c r="CO28" s="195" t="s">
        <v>369</v>
      </c>
      <c r="CP28" s="168">
        <v>7.07</v>
      </c>
      <c r="CQ28" s="195" t="s">
        <v>45</v>
      </c>
      <c r="CR28" s="168">
        <v>1.1</v>
      </c>
      <c r="CS28" s="216" t="s">
        <v>63</v>
      </c>
      <c r="CT28" s="195" t="s">
        <v>43</v>
      </c>
      <c r="CU28" s="428">
        <v>6.24</v>
      </c>
      <c r="CV28" s="408" t="s">
        <v>43</v>
      </c>
      <c r="CW28" s="408">
        <v>0.92</v>
      </c>
      <c r="CX28" s="784" t="s">
        <v>43</v>
      </c>
      <c r="CY28" s="784">
        <v>0.9</v>
      </c>
      <c r="CZ28" s="409" t="s">
        <v>45</v>
      </c>
      <c r="DA28" s="409">
        <v>1.15</v>
      </c>
      <c r="DB28" s="217" t="s">
        <v>43</v>
      </c>
      <c r="DC28" s="217">
        <v>0.91</v>
      </c>
      <c r="DD28" s="407" t="s">
        <v>371</v>
      </c>
      <c r="DE28" s="407">
        <v>0.87</v>
      </c>
      <c r="DF28" s="208" t="s">
        <v>44</v>
      </c>
      <c r="DG28" s="179">
        <v>1</v>
      </c>
      <c r="DH28" s="208" t="s">
        <v>44</v>
      </c>
      <c r="DI28" s="179">
        <v>1</v>
      </c>
      <c r="DJ28" s="208" t="s">
        <v>43</v>
      </c>
      <c r="DK28" s="179">
        <v>0.87</v>
      </c>
      <c r="DL28" s="208" t="s">
        <v>44</v>
      </c>
      <c r="DM28" s="410" t="s">
        <v>44</v>
      </c>
      <c r="DN28" s="175">
        <v>0.01</v>
      </c>
      <c r="DO28" s="410" t="s">
        <v>44</v>
      </c>
      <c r="DP28" s="175">
        <v>0.01</v>
      </c>
      <c r="DQ28" s="410" t="s">
        <v>43</v>
      </c>
      <c r="DR28" s="200">
        <v>1.12</v>
      </c>
      <c r="DS28" s="411" t="s">
        <v>45</v>
      </c>
      <c r="DT28" s="195" t="s">
        <v>372</v>
      </c>
      <c r="DU28" s="168">
        <v>0.88</v>
      </c>
      <c r="DV28" s="195" t="s">
        <v>372</v>
      </c>
      <c r="DW28" s="195">
        <v>0.91</v>
      </c>
      <c r="DX28" s="195" t="s">
        <v>372</v>
      </c>
      <c r="DY28" s="442">
        <v>0.91</v>
      </c>
      <c r="DZ28" s="411" t="s">
        <v>44</v>
      </c>
      <c r="EA28" s="411">
        <v>1</v>
      </c>
      <c r="EB28" s="411" t="s">
        <v>43</v>
      </c>
      <c r="EC28" s="411">
        <v>1.09</v>
      </c>
      <c r="ED28" s="411" t="s">
        <v>47</v>
      </c>
      <c r="EE28" s="411">
        <v>1</v>
      </c>
      <c r="EF28" s="411" t="s">
        <v>46</v>
      </c>
      <c r="EG28" s="99">
        <f t="shared" si="53"/>
        <v>5.834693565465619E-05</v>
      </c>
      <c r="EH28" s="99">
        <v>2.94</v>
      </c>
      <c r="EI28" s="99">
        <v>0.91</v>
      </c>
      <c r="EJ28" s="99">
        <f t="shared" si="54"/>
        <v>21.210000000000004</v>
      </c>
      <c r="EK28" s="99">
        <f t="shared" si="36"/>
        <v>1.1221</v>
      </c>
      <c r="EL28" s="444">
        <f t="shared" si="55"/>
        <v>75986.0473085</v>
      </c>
      <c r="EM28" s="444">
        <f t="shared" si="37"/>
        <v>299689.45173993433</v>
      </c>
      <c r="EN28" s="708">
        <f t="shared" si="38"/>
        <v>51.40872580172447</v>
      </c>
      <c r="EO28" s="99">
        <f t="shared" si="56"/>
        <v>1500</v>
      </c>
      <c r="EP28" s="444">
        <f t="shared" si="57"/>
        <v>12</v>
      </c>
      <c r="EQ28" s="444">
        <f t="shared" si="39"/>
        <v>0.32242000000000004</v>
      </c>
      <c r="ER28" s="444">
        <f t="shared" si="40"/>
        <v>3.101544569195459</v>
      </c>
      <c r="ES28" s="444">
        <f t="shared" si="41"/>
        <v>3.2697547683923704</v>
      </c>
      <c r="ET28" s="444">
        <f t="shared" si="42"/>
        <v>39.42682160967004</v>
      </c>
      <c r="EU28" s="708">
        <f t="shared" si="43"/>
        <v>39.42682160967004</v>
      </c>
      <c r="EV28" s="99">
        <f t="shared" si="44"/>
        <v>4336.65</v>
      </c>
      <c r="EW28" s="444">
        <f t="shared" si="45"/>
        <v>8517.945833333333</v>
      </c>
      <c r="EX28" s="712"/>
      <c r="EY28" s="99"/>
      <c r="EZ28" s="99"/>
      <c r="FA28" s="99"/>
      <c r="FB28" s="99"/>
      <c r="FC28" s="99"/>
      <c r="FD28" s="99"/>
      <c r="FE28" s="99"/>
      <c r="FF28" s="99"/>
      <c r="FG28" s="99"/>
      <c r="FH28" s="99"/>
      <c r="FI28" s="99"/>
      <c r="FJ28" s="99"/>
      <c r="FK28" s="99"/>
      <c r="FL28" s="99"/>
      <c r="FM28" s="99"/>
      <c r="FN28" s="99"/>
      <c r="FO28" s="387"/>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387"/>
    </row>
    <row r="29" spans="1:229" s="192" customFormat="1" ht="15.75" customHeight="1">
      <c r="A29" s="216" t="s">
        <v>62</v>
      </c>
      <c r="B29" s="216" t="s">
        <v>62</v>
      </c>
      <c r="C29" s="316" t="s">
        <v>43</v>
      </c>
      <c r="D29" s="316">
        <v>2</v>
      </c>
      <c r="E29" s="373" t="s">
        <v>41</v>
      </c>
      <c r="F29" s="196" t="s">
        <v>40</v>
      </c>
      <c r="G29" s="197">
        <v>1500</v>
      </c>
      <c r="H29" s="197">
        <v>625</v>
      </c>
      <c r="I29" s="171">
        <f t="shared" si="0"/>
        <v>0.5833333333333334</v>
      </c>
      <c r="J29" s="194">
        <v>125</v>
      </c>
      <c r="K29" s="209">
        <v>1089.85</v>
      </c>
      <c r="L29" s="199">
        <f t="shared" si="1"/>
        <v>13210.3007185</v>
      </c>
      <c r="M29" s="199">
        <f t="shared" si="2"/>
        <v>10898.5</v>
      </c>
      <c r="N29" s="199">
        <f t="shared" si="3"/>
        <v>2311.8007185</v>
      </c>
      <c r="O29" s="171">
        <f t="shared" si="4"/>
        <v>11036.743889781603</v>
      </c>
      <c r="P29" s="173">
        <f t="shared" si="58"/>
        <v>11.036743889781603</v>
      </c>
      <c r="Q29" s="174">
        <f t="shared" si="59"/>
        <v>330.2575179625</v>
      </c>
      <c r="R29" s="189">
        <v>17.5</v>
      </c>
      <c r="S29" s="200">
        <f t="shared" si="5"/>
        <v>2311.8026257375</v>
      </c>
      <c r="T29" s="195">
        <v>4</v>
      </c>
      <c r="U29" s="195">
        <v>1.5</v>
      </c>
      <c r="V29" s="195">
        <f t="shared" si="6"/>
        <v>0.059800000000000006</v>
      </c>
      <c r="W29" s="195">
        <v>1</v>
      </c>
      <c r="X29" s="184">
        <f t="shared" si="61"/>
        <v>138.24579701910253</v>
      </c>
      <c r="Y29" s="324">
        <v>9</v>
      </c>
      <c r="Z29" s="184">
        <f t="shared" si="7"/>
        <v>993.3069500803442</v>
      </c>
      <c r="AA29" s="195">
        <v>10</v>
      </c>
      <c r="AB29" s="200">
        <f t="shared" si="8"/>
        <v>1103.6743889781603</v>
      </c>
      <c r="AC29" s="195" t="s">
        <v>44</v>
      </c>
      <c r="AD29" s="195">
        <v>30</v>
      </c>
      <c r="AE29" s="168" t="s">
        <v>45</v>
      </c>
      <c r="AF29" s="168">
        <v>0.8</v>
      </c>
      <c r="AG29" s="184">
        <f t="shared" si="62"/>
        <v>1368.5562423329188</v>
      </c>
      <c r="AH29" s="184">
        <f t="shared" si="9"/>
        <v>4742.400000000001</v>
      </c>
      <c r="AI29" s="184">
        <f t="shared" si="63"/>
        <v>8639.901666666667</v>
      </c>
      <c r="AJ29" s="176">
        <f t="shared" si="28"/>
        <v>-0.821841613247863</v>
      </c>
      <c r="AK29" s="201">
        <v>5.7</v>
      </c>
      <c r="AL29" s="202">
        <v>28</v>
      </c>
      <c r="AM29" s="178">
        <f t="shared" si="10"/>
        <v>0.5546666666666666</v>
      </c>
      <c r="AN29" s="177">
        <f t="shared" si="11"/>
        <v>2.4252355555555556</v>
      </c>
      <c r="AO29" s="570">
        <f t="shared" si="29"/>
        <v>-3.372419871794872</v>
      </c>
      <c r="AP29" s="749">
        <v>0</v>
      </c>
      <c r="AQ29" s="750">
        <v>832</v>
      </c>
      <c r="AR29" s="197">
        <f t="shared" si="12"/>
        <v>832</v>
      </c>
      <c r="AS29" s="210">
        <v>459.7722222222222</v>
      </c>
      <c r="AT29" s="198">
        <v>1056</v>
      </c>
      <c r="AU29" s="204">
        <f t="shared" si="13"/>
        <v>1515.7722222222221</v>
      </c>
      <c r="AV29" s="171">
        <f t="shared" si="64"/>
        <v>0.45110486404069794</v>
      </c>
      <c r="AW29" s="369">
        <f>40+19</f>
        <v>59</v>
      </c>
      <c r="AX29" s="368">
        <f t="shared" si="30"/>
        <v>10.325</v>
      </c>
      <c r="AY29" s="205">
        <v>3</v>
      </c>
      <c r="AZ29" s="205">
        <v>30</v>
      </c>
      <c r="BA29" s="194">
        <v>12.5</v>
      </c>
      <c r="BB29" s="194">
        <v>9</v>
      </c>
      <c r="BC29" s="205">
        <v>20</v>
      </c>
      <c r="BD29" s="202">
        <f t="shared" si="14"/>
        <v>13.265317175218273</v>
      </c>
      <c r="BE29" s="194">
        <v>0</v>
      </c>
      <c r="BF29" s="194">
        <v>0</v>
      </c>
      <c r="BG29" s="183">
        <f t="shared" si="31"/>
        <v>0</v>
      </c>
      <c r="BH29" s="195">
        <v>88</v>
      </c>
      <c r="BI29" s="195">
        <v>38</v>
      </c>
      <c r="BJ29" s="184">
        <f t="shared" si="32"/>
        <v>50</v>
      </c>
      <c r="BK29" s="194">
        <v>0</v>
      </c>
      <c r="BL29" s="194">
        <v>0</v>
      </c>
      <c r="BM29" s="185">
        <f t="shared" si="33"/>
        <v>0</v>
      </c>
      <c r="BN29" s="96">
        <f t="shared" si="34"/>
        <v>0.00797336613758656</v>
      </c>
      <c r="BO29" s="194">
        <v>7</v>
      </c>
      <c r="BP29" s="206">
        <v>0</v>
      </c>
      <c r="BQ29" s="194">
        <v>0</v>
      </c>
      <c r="BR29" s="96">
        <f t="shared" si="15"/>
        <v>1</v>
      </c>
      <c r="BS29" s="202">
        <f t="shared" si="16"/>
        <v>100</v>
      </c>
      <c r="BT29" s="202">
        <f t="shared" si="52"/>
        <v>0.4318181818181818</v>
      </c>
      <c r="BU29" s="167">
        <f t="shared" si="60"/>
        <v>5</v>
      </c>
      <c r="BV29" s="218">
        <v>14</v>
      </c>
      <c r="BW29" s="218">
        <v>14</v>
      </c>
      <c r="BX29" s="198">
        <f t="shared" si="65"/>
        <v>1</v>
      </c>
      <c r="BY29" s="167">
        <f t="shared" si="19"/>
        <v>1.26</v>
      </c>
      <c r="BZ29" s="71">
        <f t="shared" si="20"/>
        <v>0.09</v>
      </c>
      <c r="CA29" s="631"/>
      <c r="CB29" s="631"/>
      <c r="CC29" s="209">
        <v>14</v>
      </c>
      <c r="CD29" s="321">
        <v>70</v>
      </c>
      <c r="CE29" s="185">
        <v>0</v>
      </c>
      <c r="CF29" s="207">
        <v>100</v>
      </c>
      <c r="CG29" s="194">
        <v>9</v>
      </c>
      <c r="CH29" s="194">
        <v>6</v>
      </c>
      <c r="CI29" s="183">
        <f t="shared" si="66"/>
        <v>15</v>
      </c>
      <c r="CJ29" s="194">
        <v>5</v>
      </c>
      <c r="CK29" s="407" t="s">
        <v>44</v>
      </c>
      <c r="CL29" s="407">
        <v>3.72</v>
      </c>
      <c r="CM29" s="195" t="s">
        <v>42</v>
      </c>
      <c r="CN29" s="195">
        <v>0</v>
      </c>
      <c r="CO29" s="195" t="s">
        <v>369</v>
      </c>
      <c r="CP29" s="168">
        <v>7.07</v>
      </c>
      <c r="CQ29" s="195" t="s">
        <v>45</v>
      </c>
      <c r="CR29" s="168">
        <v>1.1</v>
      </c>
      <c r="CS29" s="216" t="s">
        <v>62</v>
      </c>
      <c r="CT29" s="195" t="s">
        <v>43</v>
      </c>
      <c r="CU29" s="428">
        <v>6.24</v>
      </c>
      <c r="CV29" s="217" t="s">
        <v>46</v>
      </c>
      <c r="CW29" s="408">
        <v>0.82</v>
      </c>
      <c r="CX29" s="784" t="s">
        <v>43</v>
      </c>
      <c r="CY29" s="784">
        <v>0.9</v>
      </c>
      <c r="CZ29" s="409" t="s">
        <v>47</v>
      </c>
      <c r="DA29" s="409">
        <v>1.07</v>
      </c>
      <c r="DB29" s="217" t="s">
        <v>43</v>
      </c>
      <c r="DC29" s="217">
        <v>0.91</v>
      </c>
      <c r="DD29" s="407" t="s">
        <v>371</v>
      </c>
      <c r="DE29" s="407">
        <v>0.87</v>
      </c>
      <c r="DF29" s="208" t="s">
        <v>44</v>
      </c>
      <c r="DG29" s="179">
        <v>1</v>
      </c>
      <c r="DH29" s="208" t="s">
        <v>44</v>
      </c>
      <c r="DI29" s="179">
        <v>1</v>
      </c>
      <c r="DJ29" s="208" t="s">
        <v>43</v>
      </c>
      <c r="DK29" s="179">
        <v>0.87</v>
      </c>
      <c r="DL29" s="208" t="s">
        <v>44</v>
      </c>
      <c r="DM29" s="410" t="s">
        <v>44</v>
      </c>
      <c r="DN29" s="175">
        <v>0.01</v>
      </c>
      <c r="DO29" s="410" t="s">
        <v>44</v>
      </c>
      <c r="DP29" s="175">
        <v>0.01</v>
      </c>
      <c r="DQ29" s="410" t="s">
        <v>43</v>
      </c>
      <c r="DR29" s="200">
        <v>1.12</v>
      </c>
      <c r="DS29" s="411" t="s">
        <v>45</v>
      </c>
      <c r="DT29" s="195" t="s">
        <v>372</v>
      </c>
      <c r="DU29" s="168">
        <v>0.88</v>
      </c>
      <c r="DV29" s="195" t="s">
        <v>372</v>
      </c>
      <c r="DW29" s="195">
        <v>0.91</v>
      </c>
      <c r="DX29" s="195" t="s">
        <v>372</v>
      </c>
      <c r="DY29" s="442">
        <v>0.91</v>
      </c>
      <c r="DZ29" s="411" t="s">
        <v>44</v>
      </c>
      <c r="EA29" s="411">
        <v>1</v>
      </c>
      <c r="EB29" s="411" t="s">
        <v>43</v>
      </c>
      <c r="EC29" s="411">
        <v>1.09</v>
      </c>
      <c r="ED29" s="411" t="s">
        <v>47</v>
      </c>
      <c r="EE29" s="411">
        <v>1</v>
      </c>
      <c r="EF29" s="411" t="s">
        <v>46</v>
      </c>
      <c r="EG29" s="99">
        <f t="shared" si="53"/>
        <v>4.83871468274058E-05</v>
      </c>
      <c r="EH29" s="99">
        <v>2.94</v>
      </c>
      <c r="EI29" s="99">
        <v>0.91</v>
      </c>
      <c r="EJ29" s="99">
        <f t="shared" si="54"/>
        <v>19.770000000000003</v>
      </c>
      <c r="EK29" s="99">
        <f t="shared" si="36"/>
        <v>1.1077000000000001</v>
      </c>
      <c r="EL29" s="444">
        <f t="shared" si="55"/>
        <v>13210.3007185</v>
      </c>
      <c r="EM29" s="444">
        <f t="shared" si="37"/>
        <v>36705.82605487755</v>
      </c>
      <c r="EN29" s="708">
        <f t="shared" si="38"/>
        <v>5.221705172531418</v>
      </c>
      <c r="EO29" s="99">
        <f t="shared" si="56"/>
        <v>1500</v>
      </c>
      <c r="EP29" s="444">
        <f t="shared" si="57"/>
        <v>12</v>
      </c>
      <c r="EQ29" s="444">
        <f t="shared" si="39"/>
        <v>0.31954000000000005</v>
      </c>
      <c r="ER29" s="444">
        <f t="shared" si="40"/>
        <v>3.129498654315578</v>
      </c>
      <c r="ES29" s="444">
        <f t="shared" si="41"/>
        <v>3.2697547683923704</v>
      </c>
      <c r="ET29" s="444">
        <f t="shared" si="42"/>
        <v>40.75440613369796</v>
      </c>
      <c r="EU29" s="708">
        <f t="shared" si="43"/>
        <v>40.75440613369796</v>
      </c>
      <c r="EV29" s="99">
        <f t="shared" si="44"/>
        <v>832</v>
      </c>
      <c r="EW29" s="444">
        <f t="shared" si="45"/>
        <v>1515.7722222222221</v>
      </c>
      <c r="EX29" s="712"/>
      <c r="EY29" s="99"/>
      <c r="EZ29" s="99"/>
      <c r="FA29" s="99"/>
      <c r="FB29" s="99"/>
      <c r="FC29" s="99"/>
      <c r="FD29" s="99"/>
      <c r="FE29" s="99"/>
      <c r="FF29" s="99"/>
      <c r="FG29" s="99"/>
      <c r="FH29" s="99"/>
      <c r="FI29" s="99"/>
      <c r="FJ29" s="99"/>
      <c r="FK29" s="99"/>
      <c r="FL29" s="99"/>
      <c r="FM29" s="99"/>
      <c r="FN29" s="99"/>
      <c r="FO29" s="387"/>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387"/>
    </row>
    <row r="30" spans="1:229" s="192" customFormat="1" ht="15.75" customHeight="1">
      <c r="A30" s="216" t="s">
        <v>64</v>
      </c>
      <c r="B30" s="216" t="s">
        <v>64</v>
      </c>
      <c r="C30" s="316" t="s">
        <v>43</v>
      </c>
      <c r="D30" s="316">
        <v>2</v>
      </c>
      <c r="E30" s="373" t="s">
        <v>41</v>
      </c>
      <c r="F30" s="196" t="s">
        <v>40</v>
      </c>
      <c r="G30" s="197">
        <v>1500</v>
      </c>
      <c r="H30" s="197">
        <v>625</v>
      </c>
      <c r="I30" s="171">
        <f t="shared" si="0"/>
        <v>0.5833333333333334</v>
      </c>
      <c r="J30" s="194">
        <v>125</v>
      </c>
      <c r="K30" s="213">
        <v>258.57</v>
      </c>
      <c r="L30" s="199">
        <f t="shared" si="1"/>
        <v>3134.1812696999996</v>
      </c>
      <c r="M30" s="199">
        <f t="shared" si="2"/>
        <v>2585.7</v>
      </c>
      <c r="N30" s="199">
        <f t="shared" si="3"/>
        <v>548.4812697</v>
      </c>
      <c r="O30" s="171">
        <f t="shared" si="4"/>
        <v>2618.49875448991</v>
      </c>
      <c r="P30" s="173">
        <f t="shared" si="58"/>
        <v>2.61849875448991</v>
      </c>
      <c r="Q30" s="174">
        <f t="shared" si="59"/>
        <v>78.35453174249999</v>
      </c>
      <c r="R30" s="189">
        <v>17.5</v>
      </c>
      <c r="S30" s="200">
        <f t="shared" si="5"/>
        <v>548.4817221974998</v>
      </c>
      <c r="T30" s="195">
        <v>4</v>
      </c>
      <c r="U30" s="195">
        <v>1.5</v>
      </c>
      <c r="V30" s="195">
        <f t="shared" si="6"/>
        <v>0.059800000000000006</v>
      </c>
      <c r="W30" s="195">
        <v>1</v>
      </c>
      <c r="X30" s="184">
        <f t="shared" si="61"/>
        <v>32.79920698741049</v>
      </c>
      <c r="Y30" s="324">
        <v>9</v>
      </c>
      <c r="Z30" s="184">
        <f t="shared" si="7"/>
        <v>235.6648879040919</v>
      </c>
      <c r="AA30" s="195">
        <v>10</v>
      </c>
      <c r="AB30" s="200">
        <f t="shared" si="8"/>
        <v>261.849875448991</v>
      </c>
      <c r="AC30" s="195" t="s">
        <v>44</v>
      </c>
      <c r="AD30" s="195">
        <v>30</v>
      </c>
      <c r="AE30" s="168" t="s">
        <v>45</v>
      </c>
      <c r="AF30" s="168">
        <v>0.8</v>
      </c>
      <c r="AG30" s="184">
        <f t="shared" si="62"/>
        <v>324.69384555674884</v>
      </c>
      <c r="AH30" s="184">
        <f t="shared" si="9"/>
        <v>1031.7</v>
      </c>
      <c r="AI30" s="184">
        <f t="shared" si="63"/>
        <v>2268.6</v>
      </c>
      <c r="AJ30" s="176">
        <f t="shared" si="28"/>
        <v>-1.198895027624309</v>
      </c>
      <c r="AK30" s="201">
        <v>5.7</v>
      </c>
      <c r="AL30" s="202">
        <v>28</v>
      </c>
      <c r="AM30" s="178">
        <f t="shared" si="10"/>
        <v>0.12066666666666667</v>
      </c>
      <c r="AN30" s="177">
        <f t="shared" si="11"/>
        <v>0.6368</v>
      </c>
      <c r="AO30" s="570">
        <f t="shared" si="29"/>
        <v>-4.277348066298343</v>
      </c>
      <c r="AP30" s="749">
        <v>1</v>
      </c>
      <c r="AQ30" s="754">
        <v>180</v>
      </c>
      <c r="AR30" s="197">
        <f t="shared" si="12"/>
        <v>181</v>
      </c>
      <c r="AS30" s="210">
        <v>144.99999999999997</v>
      </c>
      <c r="AT30" s="198">
        <v>253</v>
      </c>
      <c r="AU30" s="204">
        <f t="shared" si="13"/>
        <v>398</v>
      </c>
      <c r="AV30" s="171">
        <f t="shared" si="64"/>
        <v>0.5452261306532663</v>
      </c>
      <c r="AW30" s="369">
        <f>41.9+16.5</f>
        <v>58.4</v>
      </c>
      <c r="AX30" s="368">
        <f t="shared" si="30"/>
        <v>10.219999999999999</v>
      </c>
      <c r="AY30" s="205">
        <v>3</v>
      </c>
      <c r="AZ30" s="205">
        <v>30</v>
      </c>
      <c r="BA30" s="194">
        <v>12.5</v>
      </c>
      <c r="BB30" s="194">
        <v>9</v>
      </c>
      <c r="BC30" s="205">
        <v>25</v>
      </c>
      <c r="BD30" s="202">
        <f t="shared" si="14"/>
        <v>14.466843947458067</v>
      </c>
      <c r="BE30" s="194">
        <v>0</v>
      </c>
      <c r="BF30" s="194">
        <v>0</v>
      </c>
      <c r="BG30" s="183">
        <f t="shared" si="31"/>
        <v>0</v>
      </c>
      <c r="BH30" s="195">
        <v>57</v>
      </c>
      <c r="BI30" s="195">
        <v>42</v>
      </c>
      <c r="BJ30" s="184">
        <f t="shared" si="32"/>
        <v>15</v>
      </c>
      <c r="BK30" s="194">
        <v>0</v>
      </c>
      <c r="BL30" s="194">
        <v>0</v>
      </c>
      <c r="BM30" s="185">
        <f t="shared" si="33"/>
        <v>0</v>
      </c>
      <c r="BN30" s="96">
        <f t="shared" si="34"/>
        <v>0.021768198248046804</v>
      </c>
      <c r="BO30" s="194">
        <v>3</v>
      </c>
      <c r="BP30" s="206">
        <v>2</v>
      </c>
      <c r="BQ30" s="194">
        <v>0</v>
      </c>
      <c r="BR30" s="96">
        <f t="shared" si="15"/>
        <v>0.9661016949152542</v>
      </c>
      <c r="BS30" s="202">
        <f t="shared" si="16"/>
        <v>96.61016949152543</v>
      </c>
      <c r="BT30" s="202">
        <f t="shared" si="52"/>
        <v>0.7368421052631579</v>
      </c>
      <c r="BU30" s="167">
        <f t="shared" si="60"/>
        <v>5</v>
      </c>
      <c r="BV30" s="208">
        <v>13</v>
      </c>
      <c r="BW30" s="208">
        <v>13</v>
      </c>
      <c r="BX30" s="198">
        <f t="shared" si="65"/>
        <v>1</v>
      </c>
      <c r="BY30" s="167">
        <f t="shared" si="19"/>
        <v>1.17</v>
      </c>
      <c r="BZ30" s="71">
        <f t="shared" si="20"/>
        <v>0.09</v>
      </c>
      <c r="CA30" s="631"/>
      <c r="CB30" s="631"/>
      <c r="CC30" s="217">
        <v>3</v>
      </c>
      <c r="CD30" s="321">
        <v>70</v>
      </c>
      <c r="CE30" s="185">
        <v>0</v>
      </c>
      <c r="CF30" s="207">
        <v>100</v>
      </c>
      <c r="CG30" s="194">
        <v>9</v>
      </c>
      <c r="CH30" s="194">
        <v>6</v>
      </c>
      <c r="CI30" s="183">
        <f t="shared" si="66"/>
        <v>15</v>
      </c>
      <c r="CJ30" s="194">
        <v>5</v>
      </c>
      <c r="CK30" s="407" t="s">
        <v>43</v>
      </c>
      <c r="CL30" s="407">
        <v>4.96</v>
      </c>
      <c r="CM30" s="195" t="s">
        <v>42</v>
      </c>
      <c r="CN30" s="195">
        <v>0</v>
      </c>
      <c r="CO30" s="195" t="s">
        <v>369</v>
      </c>
      <c r="CP30" s="168">
        <v>7.07</v>
      </c>
      <c r="CQ30" s="195" t="s">
        <v>45</v>
      </c>
      <c r="CR30" s="168">
        <v>1.1</v>
      </c>
      <c r="CS30" s="216" t="s">
        <v>64</v>
      </c>
      <c r="CT30" s="195" t="s">
        <v>43</v>
      </c>
      <c r="CU30" s="428">
        <v>6.24</v>
      </c>
      <c r="CV30" s="217" t="s">
        <v>43</v>
      </c>
      <c r="CW30" s="408">
        <v>0.92</v>
      </c>
      <c r="CX30" s="784" t="s">
        <v>44</v>
      </c>
      <c r="CY30" s="784">
        <v>1</v>
      </c>
      <c r="CZ30" s="409" t="s">
        <v>47</v>
      </c>
      <c r="DA30" s="409">
        <v>1.07</v>
      </c>
      <c r="DB30" s="217" t="s">
        <v>43</v>
      </c>
      <c r="DC30" s="217">
        <v>0.91</v>
      </c>
      <c r="DD30" s="407" t="s">
        <v>371</v>
      </c>
      <c r="DE30" s="407">
        <v>0.87</v>
      </c>
      <c r="DF30" s="208" t="s">
        <v>44</v>
      </c>
      <c r="DG30" s="179">
        <v>1</v>
      </c>
      <c r="DH30" s="208" t="s">
        <v>44</v>
      </c>
      <c r="DI30" s="179">
        <v>1</v>
      </c>
      <c r="DJ30" s="208" t="s">
        <v>43</v>
      </c>
      <c r="DK30" s="179">
        <v>0.87</v>
      </c>
      <c r="DL30" s="208" t="s">
        <v>44</v>
      </c>
      <c r="DM30" s="410" t="s">
        <v>44</v>
      </c>
      <c r="DN30" s="175">
        <v>0.01</v>
      </c>
      <c r="DO30" s="410" t="s">
        <v>44</v>
      </c>
      <c r="DP30" s="175">
        <v>0.01</v>
      </c>
      <c r="DQ30" s="410" t="s">
        <v>43</v>
      </c>
      <c r="DR30" s="200">
        <v>1.12</v>
      </c>
      <c r="DS30" s="411" t="s">
        <v>45</v>
      </c>
      <c r="DT30" s="195" t="s">
        <v>372</v>
      </c>
      <c r="DU30" s="168">
        <v>0.88</v>
      </c>
      <c r="DV30" s="195" t="s">
        <v>372</v>
      </c>
      <c r="DW30" s="195">
        <v>0.91</v>
      </c>
      <c r="DX30" s="195" t="s">
        <v>372</v>
      </c>
      <c r="DY30" s="442">
        <v>0.91</v>
      </c>
      <c r="DZ30" s="411" t="s">
        <v>44</v>
      </c>
      <c r="EA30" s="411">
        <v>1</v>
      </c>
      <c r="EB30" s="411" t="s">
        <v>43</v>
      </c>
      <c r="EC30" s="411">
        <v>1.09</v>
      </c>
      <c r="ED30" s="411" t="s">
        <v>47</v>
      </c>
      <c r="EE30" s="411">
        <v>1</v>
      </c>
      <c r="EF30" s="411" t="s">
        <v>46</v>
      </c>
      <c r="EG30" s="99">
        <f t="shared" si="53"/>
        <v>6.032002043524842E-05</v>
      </c>
      <c r="EH30" s="99">
        <v>2.94</v>
      </c>
      <c r="EI30" s="99">
        <v>0.91</v>
      </c>
      <c r="EJ30" s="99">
        <f t="shared" si="54"/>
        <v>21.210000000000004</v>
      </c>
      <c r="EK30" s="99">
        <f t="shared" si="36"/>
        <v>1.1221</v>
      </c>
      <c r="EL30" s="444">
        <f t="shared" si="55"/>
        <v>3134.1812696999996</v>
      </c>
      <c r="EM30" s="444">
        <f t="shared" si="37"/>
        <v>8375.309499153163</v>
      </c>
      <c r="EN30" s="708">
        <f t="shared" si="38"/>
        <v>1.4852845900129201</v>
      </c>
      <c r="EO30" s="99">
        <f t="shared" si="56"/>
        <v>1500</v>
      </c>
      <c r="EP30" s="444">
        <f t="shared" si="57"/>
        <v>12</v>
      </c>
      <c r="EQ30" s="444">
        <f t="shared" si="39"/>
        <v>0.32242000000000004</v>
      </c>
      <c r="ER30" s="444">
        <f t="shared" si="40"/>
        <v>3.101544569195459</v>
      </c>
      <c r="ES30" s="444">
        <f t="shared" si="41"/>
        <v>3.2697547683923704</v>
      </c>
      <c r="ET30" s="444">
        <f t="shared" si="42"/>
        <v>39.42682160967004</v>
      </c>
      <c r="EU30" s="708">
        <f t="shared" si="43"/>
        <v>39.42682160967004</v>
      </c>
      <c r="EV30" s="99">
        <f t="shared" si="44"/>
        <v>181</v>
      </c>
      <c r="EW30" s="444">
        <f t="shared" si="45"/>
        <v>398</v>
      </c>
      <c r="EX30" s="712"/>
      <c r="EY30" s="99"/>
      <c r="EZ30" s="99"/>
      <c r="FA30" s="99"/>
      <c r="FB30" s="99"/>
      <c r="FC30" s="99"/>
      <c r="FD30" s="99"/>
      <c r="FE30" s="99"/>
      <c r="FF30" s="99"/>
      <c r="FG30" s="99"/>
      <c r="FH30" s="99"/>
      <c r="FI30" s="99"/>
      <c r="FJ30" s="99"/>
      <c r="FK30" s="99"/>
      <c r="FL30" s="99"/>
      <c r="FM30" s="99"/>
      <c r="FN30" s="99"/>
      <c r="FO30" s="387"/>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387"/>
    </row>
    <row r="31" spans="1:229" s="192" customFormat="1" ht="15.75" customHeight="1">
      <c r="A31" s="216" t="s">
        <v>62</v>
      </c>
      <c r="B31" s="216" t="s">
        <v>62</v>
      </c>
      <c r="C31" s="316" t="s">
        <v>43</v>
      </c>
      <c r="D31" s="316">
        <v>2</v>
      </c>
      <c r="E31" s="373" t="s">
        <v>41</v>
      </c>
      <c r="F31" s="196" t="s">
        <v>40</v>
      </c>
      <c r="G31" s="197">
        <v>1500</v>
      </c>
      <c r="H31" s="197">
        <v>625</v>
      </c>
      <c r="I31" s="171">
        <f t="shared" si="0"/>
        <v>0.5833333333333334</v>
      </c>
      <c r="J31" s="194">
        <v>125</v>
      </c>
      <c r="K31" s="172">
        <v>4624.9</v>
      </c>
      <c r="L31" s="199">
        <f t="shared" si="1"/>
        <v>56059.384129</v>
      </c>
      <c r="M31" s="199">
        <f t="shared" si="2"/>
        <v>46249</v>
      </c>
      <c r="N31" s="199">
        <f t="shared" si="3"/>
        <v>9810.384129</v>
      </c>
      <c r="O31" s="171">
        <f t="shared" si="4"/>
        <v>46835.65336133498</v>
      </c>
      <c r="P31" s="173">
        <f t="shared" si="58"/>
        <v>46.835653361334984</v>
      </c>
      <c r="Q31" s="174">
        <f t="shared" si="59"/>
        <v>1401.484603225</v>
      </c>
      <c r="R31" s="189">
        <v>17.5</v>
      </c>
      <c r="S31" s="200">
        <f t="shared" si="5"/>
        <v>9810.392222575</v>
      </c>
      <c r="T31" s="195">
        <v>4</v>
      </c>
      <c r="U31" s="195">
        <v>1.5</v>
      </c>
      <c r="V31" s="195">
        <f t="shared" si="6"/>
        <v>0.059800000000000006</v>
      </c>
      <c r="W31" s="195">
        <v>1</v>
      </c>
      <c r="X31" s="184">
        <f t="shared" si="61"/>
        <v>586.661454909985</v>
      </c>
      <c r="Y31" s="324">
        <v>9</v>
      </c>
      <c r="Z31" s="184">
        <f t="shared" si="7"/>
        <v>4215.208802520148</v>
      </c>
      <c r="AA31" s="195">
        <v>10</v>
      </c>
      <c r="AB31" s="200">
        <f t="shared" si="8"/>
        <v>4683.565336133498</v>
      </c>
      <c r="AC31" s="195" t="s">
        <v>44</v>
      </c>
      <c r="AD31" s="195">
        <v>30</v>
      </c>
      <c r="AE31" s="168" t="s">
        <v>45</v>
      </c>
      <c r="AF31" s="168">
        <v>0.8</v>
      </c>
      <c r="AG31" s="184">
        <f t="shared" si="62"/>
        <v>5807.621016805538</v>
      </c>
      <c r="AH31" s="184">
        <f t="shared" si="9"/>
        <v>22393.02</v>
      </c>
      <c r="AI31" s="184">
        <f t="shared" si="63"/>
        <v>41181.518333333326</v>
      </c>
      <c r="AJ31" s="176">
        <f t="shared" si="28"/>
        <v>-0.8390336959165546</v>
      </c>
      <c r="AK31" s="201">
        <v>5.7</v>
      </c>
      <c r="AL31" s="202">
        <v>28</v>
      </c>
      <c r="AM31" s="178">
        <f t="shared" si="10"/>
        <v>2.6190666666666664</v>
      </c>
      <c r="AN31" s="177">
        <f t="shared" si="11"/>
        <v>11.559724444444443</v>
      </c>
      <c r="AO31" s="570">
        <f t="shared" si="29"/>
        <v>-3.4136808701997317</v>
      </c>
      <c r="AP31" s="749">
        <v>215.60000000000002</v>
      </c>
      <c r="AQ31" s="750">
        <v>3713</v>
      </c>
      <c r="AR31" s="197">
        <f t="shared" si="12"/>
        <v>3928.6</v>
      </c>
      <c r="AS31" s="210">
        <v>3060.8277777777766</v>
      </c>
      <c r="AT31" s="188">
        <v>4164</v>
      </c>
      <c r="AU31" s="204">
        <f t="shared" si="13"/>
        <v>7224.827777777777</v>
      </c>
      <c r="AV31" s="171">
        <f t="shared" si="64"/>
        <v>0.45623617325749394</v>
      </c>
      <c r="AW31" s="369">
        <f>37+23.5</f>
        <v>60.5</v>
      </c>
      <c r="AX31" s="368">
        <f t="shared" si="30"/>
        <v>10.587499999999999</v>
      </c>
      <c r="AY31" s="205">
        <v>3</v>
      </c>
      <c r="AZ31" s="205">
        <v>30</v>
      </c>
      <c r="BA31" s="194">
        <v>12.5</v>
      </c>
      <c r="BB31" s="194">
        <v>9</v>
      </c>
      <c r="BC31" s="205">
        <v>20</v>
      </c>
      <c r="BD31" s="202">
        <f t="shared" si="14"/>
        <v>11.921715970405483</v>
      </c>
      <c r="BE31" s="194">
        <v>0</v>
      </c>
      <c r="BF31" s="194">
        <v>0</v>
      </c>
      <c r="BG31" s="183">
        <f t="shared" si="31"/>
        <v>0</v>
      </c>
      <c r="BH31" s="195">
        <v>142</v>
      </c>
      <c r="BI31" s="195">
        <v>86</v>
      </c>
      <c r="BJ31" s="184">
        <f t="shared" si="32"/>
        <v>56</v>
      </c>
      <c r="BK31" s="194">
        <v>0</v>
      </c>
      <c r="BL31" s="194">
        <v>0</v>
      </c>
      <c r="BM31" s="185">
        <f t="shared" si="33"/>
        <v>0</v>
      </c>
      <c r="BN31" s="96">
        <f t="shared" si="34"/>
        <v>0.0030318782766726093</v>
      </c>
      <c r="BO31" s="194">
        <v>104</v>
      </c>
      <c r="BP31" s="206">
        <v>12</v>
      </c>
      <c r="BQ31" s="194">
        <v>0</v>
      </c>
      <c r="BR31" s="96">
        <f t="shared" si="15"/>
        <v>0.922077922077922</v>
      </c>
      <c r="BS31" s="202">
        <f t="shared" si="16"/>
        <v>92.20779220779221</v>
      </c>
      <c r="BT31" s="202">
        <f t="shared" si="52"/>
        <v>0.6056338028169014</v>
      </c>
      <c r="BU31" s="167">
        <f t="shared" si="60"/>
        <v>5</v>
      </c>
      <c r="BV31" s="172">
        <v>47</v>
      </c>
      <c r="BW31" s="172">
        <v>47</v>
      </c>
      <c r="BX31" s="198">
        <f t="shared" si="65"/>
        <v>1</v>
      </c>
      <c r="BY31" s="167">
        <f t="shared" si="19"/>
        <v>4.23</v>
      </c>
      <c r="BZ31" s="71">
        <f t="shared" si="20"/>
        <v>0.09000000000000001</v>
      </c>
      <c r="CA31" s="631"/>
      <c r="CB31" s="631"/>
      <c r="CC31" s="219">
        <v>139</v>
      </c>
      <c r="CD31" s="321">
        <v>70</v>
      </c>
      <c r="CE31" s="185">
        <v>0</v>
      </c>
      <c r="CF31" s="207">
        <v>100</v>
      </c>
      <c r="CG31" s="194">
        <v>9</v>
      </c>
      <c r="CH31" s="194">
        <v>6</v>
      </c>
      <c r="CI31" s="183">
        <f t="shared" si="66"/>
        <v>15</v>
      </c>
      <c r="CJ31" s="194">
        <v>5</v>
      </c>
      <c r="CK31" s="407" t="s">
        <v>44</v>
      </c>
      <c r="CL31" s="407">
        <v>3.72</v>
      </c>
      <c r="CM31" s="195" t="s">
        <v>42</v>
      </c>
      <c r="CN31" s="195">
        <v>0</v>
      </c>
      <c r="CO31" s="195" t="s">
        <v>369</v>
      </c>
      <c r="CP31" s="168">
        <v>7.07</v>
      </c>
      <c r="CQ31" s="195" t="s">
        <v>45</v>
      </c>
      <c r="CR31" s="168">
        <v>1.1</v>
      </c>
      <c r="CS31" s="216" t="s">
        <v>62</v>
      </c>
      <c r="CT31" s="195" t="s">
        <v>43</v>
      </c>
      <c r="CU31" s="428">
        <v>6.24</v>
      </c>
      <c r="CV31" s="217" t="s">
        <v>43</v>
      </c>
      <c r="CW31" s="408">
        <v>0.92</v>
      </c>
      <c r="CX31" s="784" t="s">
        <v>43</v>
      </c>
      <c r="CY31" s="784">
        <v>0.9</v>
      </c>
      <c r="CZ31" s="409" t="s">
        <v>45</v>
      </c>
      <c r="DA31" s="409">
        <v>1.15</v>
      </c>
      <c r="DB31" s="217" t="s">
        <v>43</v>
      </c>
      <c r="DC31" s="217">
        <v>0.91</v>
      </c>
      <c r="DD31" s="407" t="s">
        <v>371</v>
      </c>
      <c r="DE31" s="407">
        <v>0.87</v>
      </c>
      <c r="DF31" s="208" t="s">
        <v>44</v>
      </c>
      <c r="DG31" s="179">
        <v>1</v>
      </c>
      <c r="DH31" s="208" t="s">
        <v>44</v>
      </c>
      <c r="DI31" s="179">
        <v>1</v>
      </c>
      <c r="DJ31" s="208" t="s">
        <v>43</v>
      </c>
      <c r="DK31" s="179">
        <v>0.87</v>
      </c>
      <c r="DL31" s="208" t="s">
        <v>44</v>
      </c>
      <c r="DM31" s="410" t="s">
        <v>44</v>
      </c>
      <c r="DN31" s="175">
        <v>0.01</v>
      </c>
      <c r="DO31" s="410" t="s">
        <v>44</v>
      </c>
      <c r="DP31" s="175">
        <v>0.01</v>
      </c>
      <c r="DQ31" s="410" t="s">
        <v>43</v>
      </c>
      <c r="DR31" s="200">
        <v>1.12</v>
      </c>
      <c r="DS31" s="411" t="s">
        <v>45</v>
      </c>
      <c r="DT31" s="195" t="s">
        <v>372</v>
      </c>
      <c r="DU31" s="168">
        <v>0.88</v>
      </c>
      <c r="DV31" s="195" t="s">
        <v>372</v>
      </c>
      <c r="DW31" s="195">
        <v>0.91</v>
      </c>
      <c r="DX31" s="195" t="s">
        <v>372</v>
      </c>
      <c r="DY31" s="442">
        <v>0.91</v>
      </c>
      <c r="DZ31" s="411" t="s">
        <v>44</v>
      </c>
      <c r="EA31" s="411">
        <v>1</v>
      </c>
      <c r="EB31" s="411" t="s">
        <v>43</v>
      </c>
      <c r="EC31" s="411">
        <v>1.09</v>
      </c>
      <c r="ED31" s="411" t="s">
        <v>47</v>
      </c>
      <c r="EE31" s="411">
        <v>1</v>
      </c>
      <c r="EF31" s="411" t="s">
        <v>46</v>
      </c>
      <c r="EG31" s="99">
        <f t="shared" si="53"/>
        <v>5.834693565465619E-05</v>
      </c>
      <c r="EH31" s="99">
        <v>2.94</v>
      </c>
      <c r="EI31" s="99">
        <v>0.91</v>
      </c>
      <c r="EJ31" s="99">
        <f t="shared" si="54"/>
        <v>19.970000000000006</v>
      </c>
      <c r="EK31" s="99">
        <f t="shared" si="36"/>
        <v>1.1097000000000001</v>
      </c>
      <c r="EL31" s="444">
        <f t="shared" si="55"/>
        <v>56059.384129</v>
      </c>
      <c r="EM31" s="444">
        <f t="shared" si="37"/>
        <v>186026.5977153421</v>
      </c>
      <c r="EN31" s="708">
        <f t="shared" si="38"/>
        <v>31.911000865237934</v>
      </c>
      <c r="EO31" s="99">
        <f t="shared" si="56"/>
        <v>1500</v>
      </c>
      <c r="EP31" s="444">
        <f t="shared" si="57"/>
        <v>12</v>
      </c>
      <c r="EQ31" s="444">
        <f t="shared" si="39"/>
        <v>0.31994000000000006</v>
      </c>
      <c r="ER31" s="444">
        <f t="shared" si="40"/>
        <v>3.125586047383884</v>
      </c>
      <c r="ES31" s="444">
        <f t="shared" si="41"/>
        <v>3.2697547683923704</v>
      </c>
      <c r="ET31" s="444">
        <f t="shared" si="42"/>
        <v>40.56593340741048</v>
      </c>
      <c r="EU31" s="708">
        <f t="shared" si="43"/>
        <v>40.56593340741048</v>
      </c>
      <c r="EV31" s="99">
        <f t="shared" si="44"/>
        <v>3928.6</v>
      </c>
      <c r="EW31" s="444">
        <f t="shared" si="45"/>
        <v>7224.827777777777</v>
      </c>
      <c r="EX31" s="712"/>
      <c r="EY31" s="99"/>
      <c r="EZ31" s="99"/>
      <c r="FA31" s="99"/>
      <c r="FB31" s="99"/>
      <c r="FC31" s="99"/>
      <c r="FD31" s="99"/>
      <c r="FE31" s="99"/>
      <c r="FF31" s="99"/>
      <c r="FG31" s="99"/>
      <c r="FH31" s="99"/>
      <c r="FI31" s="99"/>
      <c r="FJ31" s="99"/>
      <c r="FK31" s="99"/>
      <c r="FL31" s="99"/>
      <c r="FM31" s="99"/>
      <c r="FN31" s="99"/>
      <c r="FO31" s="387"/>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387"/>
    </row>
    <row r="32" spans="1:229" s="665" customFormat="1" ht="15.75" customHeight="1">
      <c r="A32" s="666" t="s">
        <v>66</v>
      </c>
      <c r="B32" s="666" t="s">
        <v>66</v>
      </c>
      <c r="C32" s="626" t="s">
        <v>43</v>
      </c>
      <c r="D32" s="626">
        <v>2</v>
      </c>
      <c r="E32" s="627" t="s">
        <v>41</v>
      </c>
      <c r="F32" s="628" t="s">
        <v>40</v>
      </c>
      <c r="G32" s="629">
        <v>1500</v>
      </c>
      <c r="H32" s="629">
        <v>625</v>
      </c>
      <c r="I32" s="630">
        <f t="shared" si="0"/>
        <v>0.5833333333333334</v>
      </c>
      <c r="J32" s="631">
        <v>125</v>
      </c>
      <c r="K32" s="667">
        <v>743.97</v>
      </c>
      <c r="L32" s="633">
        <f t="shared" si="1"/>
        <v>9017.816603700001</v>
      </c>
      <c r="M32" s="633">
        <f t="shared" si="2"/>
        <v>7439.700000000001</v>
      </c>
      <c r="N32" s="633">
        <f t="shared" si="3"/>
        <v>1578.1166037000003</v>
      </c>
      <c r="O32" s="630">
        <f t="shared" si="4"/>
        <v>7534.070148810221</v>
      </c>
      <c r="P32" s="634">
        <f t="shared" si="58"/>
        <v>7.534070148810222</v>
      </c>
      <c r="Q32" s="635">
        <f t="shared" si="59"/>
        <v>225.4454150925</v>
      </c>
      <c r="R32" s="324">
        <v>17.5</v>
      </c>
      <c r="S32" s="636">
        <f t="shared" si="5"/>
        <v>1578.1179056475</v>
      </c>
      <c r="T32" s="572">
        <v>4</v>
      </c>
      <c r="U32" s="572">
        <v>1.5</v>
      </c>
      <c r="V32" s="572">
        <f t="shared" si="6"/>
        <v>0.059800000000000006</v>
      </c>
      <c r="W32" s="572">
        <v>1</v>
      </c>
      <c r="X32" s="637">
        <f t="shared" si="61"/>
        <v>94.37145075772051</v>
      </c>
      <c r="Y32" s="324">
        <v>9</v>
      </c>
      <c r="Z32" s="637">
        <f t="shared" si="7"/>
        <v>678.0663133929199</v>
      </c>
      <c r="AA32" s="572">
        <v>10</v>
      </c>
      <c r="AB32" s="636">
        <f t="shared" si="8"/>
        <v>753.4070148810222</v>
      </c>
      <c r="AC32" s="572" t="s">
        <v>44</v>
      </c>
      <c r="AD32" s="572">
        <v>30</v>
      </c>
      <c r="AE32" s="168" t="s">
        <v>45</v>
      </c>
      <c r="AF32" s="327">
        <v>0.8</v>
      </c>
      <c r="AG32" s="637">
        <f t="shared" si="62"/>
        <v>934.2246984524675</v>
      </c>
      <c r="AH32" s="637">
        <f t="shared" si="9"/>
        <v>3716.4</v>
      </c>
      <c r="AI32" s="637">
        <f t="shared" si="63"/>
        <v>4092.6</v>
      </c>
      <c r="AJ32" s="638">
        <f t="shared" si="28"/>
        <v>-0.10122699386503062</v>
      </c>
      <c r="AK32" s="639">
        <v>5.7</v>
      </c>
      <c r="AL32" s="640">
        <v>28</v>
      </c>
      <c r="AM32" s="641">
        <f t="shared" si="10"/>
        <v>0.43466666666666665</v>
      </c>
      <c r="AN32" s="642">
        <f t="shared" si="11"/>
        <v>1.1488</v>
      </c>
      <c r="AO32" s="799">
        <f t="shared" si="29"/>
        <v>-1.642944785276074</v>
      </c>
      <c r="AP32" s="747"/>
      <c r="AQ32" s="755">
        <v>652</v>
      </c>
      <c r="AR32" s="629">
        <f t="shared" si="12"/>
        <v>652</v>
      </c>
      <c r="AS32" s="643"/>
      <c r="AT32" s="668">
        <v>718</v>
      </c>
      <c r="AU32" s="644">
        <f t="shared" si="13"/>
        <v>718</v>
      </c>
      <c r="AV32" s="630">
        <f t="shared" si="64"/>
        <v>0.09192200557103064</v>
      </c>
      <c r="AW32" s="669">
        <f>25.1+39.9</f>
        <v>65</v>
      </c>
      <c r="AX32" s="646">
        <f t="shared" si="30"/>
        <v>11.375</v>
      </c>
      <c r="AY32" s="647">
        <v>3</v>
      </c>
      <c r="AZ32" s="647">
        <v>30</v>
      </c>
      <c r="BA32" s="631">
        <v>12.5</v>
      </c>
      <c r="BB32" s="631">
        <v>9</v>
      </c>
      <c r="BC32" s="647">
        <v>20</v>
      </c>
      <c r="BD32" s="640">
        <f t="shared" si="14"/>
        <v>11.555322314126107</v>
      </c>
      <c r="BE32" s="631">
        <v>0</v>
      </c>
      <c r="BF32" s="631">
        <v>0</v>
      </c>
      <c r="BG32" s="648">
        <f t="shared" si="31"/>
        <v>0</v>
      </c>
      <c r="BH32" s="572">
        <v>29</v>
      </c>
      <c r="BI32" s="572">
        <v>28</v>
      </c>
      <c r="BJ32" s="637">
        <f t="shared" si="32"/>
        <v>1</v>
      </c>
      <c r="BK32" s="631">
        <v>0</v>
      </c>
      <c r="BL32" s="631">
        <v>0</v>
      </c>
      <c r="BM32" s="571">
        <f t="shared" si="33"/>
        <v>0</v>
      </c>
      <c r="BN32" s="586">
        <f t="shared" si="34"/>
        <v>0.0038491810438717076</v>
      </c>
      <c r="BO32" s="631">
        <v>41</v>
      </c>
      <c r="BP32" s="649">
        <v>0</v>
      </c>
      <c r="BQ32" s="631">
        <v>0</v>
      </c>
      <c r="BR32" s="586">
        <f t="shared" si="15"/>
        <v>1</v>
      </c>
      <c r="BS32" s="640">
        <f t="shared" si="16"/>
        <v>100</v>
      </c>
      <c r="BT32" s="640">
        <f t="shared" si="52"/>
        <v>0.9655172413793104</v>
      </c>
      <c r="BU32" s="650">
        <f t="shared" si="60"/>
        <v>5</v>
      </c>
      <c r="BV32" s="632">
        <v>17</v>
      </c>
      <c r="BW32" s="632">
        <v>17</v>
      </c>
      <c r="BX32" s="632">
        <f>IF(OR(ISBLANK(BV32),ISBLANK(BW32)),"",BV32/BW32)</f>
        <v>1</v>
      </c>
      <c r="BY32" s="650">
        <f t="shared" si="19"/>
        <v>1.53</v>
      </c>
      <c r="BZ32" s="595">
        <f t="shared" si="20"/>
        <v>0.09</v>
      </c>
      <c r="CA32" s="631"/>
      <c r="CB32" s="631"/>
      <c r="CC32" s="667">
        <v>61</v>
      </c>
      <c r="CD32" s="651">
        <v>70</v>
      </c>
      <c r="CE32" s="571">
        <v>0</v>
      </c>
      <c r="CF32" s="652">
        <v>100</v>
      </c>
      <c r="CG32" s="631">
        <v>9</v>
      </c>
      <c r="CH32" s="631">
        <v>6</v>
      </c>
      <c r="CI32" s="648">
        <f t="shared" si="66"/>
        <v>15</v>
      </c>
      <c r="CJ32" s="631">
        <v>5</v>
      </c>
      <c r="CK32" s="653" t="s">
        <v>46</v>
      </c>
      <c r="CL32" s="653">
        <v>6.2</v>
      </c>
      <c r="CM32" s="572" t="s">
        <v>42</v>
      </c>
      <c r="CN32" s="572">
        <v>0</v>
      </c>
      <c r="CO32" s="572" t="s">
        <v>369</v>
      </c>
      <c r="CP32" s="327">
        <v>7.07</v>
      </c>
      <c r="CQ32" s="572" t="s">
        <v>45</v>
      </c>
      <c r="CR32" s="327">
        <v>1.1</v>
      </c>
      <c r="CS32" s="666" t="s">
        <v>66</v>
      </c>
      <c r="CT32" s="572" t="s">
        <v>43</v>
      </c>
      <c r="CU32" s="655">
        <v>6.24</v>
      </c>
      <c r="CV32" s="656" t="s">
        <v>46</v>
      </c>
      <c r="CW32" s="657">
        <v>0.82</v>
      </c>
      <c r="CX32" s="783" t="s">
        <v>43</v>
      </c>
      <c r="CY32" s="783"/>
      <c r="CZ32" s="659" t="s">
        <v>44</v>
      </c>
      <c r="DA32" s="659">
        <v>1</v>
      </c>
      <c r="DB32" s="656" t="s">
        <v>46</v>
      </c>
      <c r="DC32" s="656">
        <v>0.81</v>
      </c>
      <c r="DD32" s="653" t="s">
        <v>371</v>
      </c>
      <c r="DE32" s="653">
        <v>0.87</v>
      </c>
      <c r="DF32" s="656" t="s">
        <v>44</v>
      </c>
      <c r="DG32" s="660">
        <v>1</v>
      </c>
      <c r="DH32" s="656" t="s">
        <v>44</v>
      </c>
      <c r="DI32" s="660">
        <v>1</v>
      </c>
      <c r="DJ32" s="656" t="s">
        <v>43</v>
      </c>
      <c r="DK32" s="660">
        <v>0.87</v>
      </c>
      <c r="DL32" s="656" t="s">
        <v>44</v>
      </c>
      <c r="DM32" s="661" t="s">
        <v>44</v>
      </c>
      <c r="DN32" s="662">
        <v>0.01</v>
      </c>
      <c r="DO32" s="661" t="s">
        <v>44</v>
      </c>
      <c r="DP32" s="662">
        <v>0.01</v>
      </c>
      <c r="DQ32" s="661" t="s">
        <v>43</v>
      </c>
      <c r="DR32" s="636">
        <v>1.12</v>
      </c>
      <c r="DS32" s="663" t="s">
        <v>45</v>
      </c>
      <c r="DT32" s="572" t="s">
        <v>372</v>
      </c>
      <c r="DU32" s="327">
        <v>0.88</v>
      </c>
      <c r="DV32" s="572" t="s">
        <v>372</v>
      </c>
      <c r="DW32" s="572">
        <v>0.91</v>
      </c>
      <c r="DX32" s="572" t="s">
        <v>372</v>
      </c>
      <c r="DY32" s="670">
        <v>0.91</v>
      </c>
      <c r="DZ32" s="663" t="s">
        <v>44</v>
      </c>
      <c r="EA32" s="663">
        <v>1</v>
      </c>
      <c r="EB32" s="663" t="s">
        <v>43</v>
      </c>
      <c r="EC32" s="663">
        <v>1.09</v>
      </c>
      <c r="ED32" s="663" t="s">
        <v>47</v>
      </c>
      <c r="EE32" s="663">
        <v>1</v>
      </c>
      <c r="EF32" s="663" t="s">
        <v>46</v>
      </c>
      <c r="EG32" s="609">
        <f t="shared" si="53"/>
        <v>0</v>
      </c>
      <c r="EH32" s="609">
        <v>2.94</v>
      </c>
      <c r="EI32" s="609">
        <v>0.91</v>
      </c>
      <c r="EJ32" s="609">
        <f t="shared" si="54"/>
        <v>22.25</v>
      </c>
      <c r="EK32" s="609">
        <f t="shared" si="36"/>
        <v>1.1325</v>
      </c>
      <c r="EL32" s="610">
        <f t="shared" si="55"/>
        <v>9017.816603700001</v>
      </c>
      <c r="EM32" s="610">
        <f t="shared" si="37"/>
        <v>30140.630582902933</v>
      </c>
      <c r="EN32" s="704">
        <f t="shared" si="38"/>
        <v>0</v>
      </c>
      <c r="EO32" s="609">
        <f t="shared" si="56"/>
        <v>1500</v>
      </c>
      <c r="EP32" s="610">
        <f t="shared" si="57"/>
        <v>12</v>
      </c>
      <c r="EQ32" s="610">
        <f t="shared" si="39"/>
        <v>0.3245</v>
      </c>
      <c r="ER32" s="610">
        <f t="shared" si="40"/>
        <v>3.081664098613251</v>
      </c>
      <c r="ES32" s="610">
        <f t="shared" si="41"/>
        <v>3.2697547683923704</v>
      </c>
      <c r="ET32" s="610">
        <f t="shared" si="42"/>
        <v>38.50906409990177</v>
      </c>
      <c r="EU32" s="704">
        <f t="shared" si="43"/>
        <v>38.50906409990177</v>
      </c>
      <c r="EV32" s="609">
        <f t="shared" si="44"/>
        <v>652</v>
      </c>
      <c r="EW32" s="610">
        <f t="shared" si="45"/>
        <v>718</v>
      </c>
      <c r="EX32" s="713"/>
      <c r="EY32" s="609"/>
      <c r="EZ32" s="609"/>
      <c r="FA32" s="609"/>
      <c r="FB32" s="609"/>
      <c r="FC32" s="609"/>
      <c r="FD32" s="609"/>
      <c r="FE32" s="609"/>
      <c r="FF32" s="609"/>
      <c r="FG32" s="609"/>
      <c r="FH32" s="609"/>
      <c r="FI32" s="609"/>
      <c r="FJ32" s="609"/>
      <c r="FK32" s="609"/>
      <c r="FL32" s="609"/>
      <c r="FM32" s="609"/>
      <c r="FN32" s="609"/>
      <c r="FO32" s="664"/>
      <c r="FQ32" s="609"/>
      <c r="FR32" s="609"/>
      <c r="FS32" s="609"/>
      <c r="FT32" s="609"/>
      <c r="FU32" s="609"/>
      <c r="FV32" s="609"/>
      <c r="FW32" s="609"/>
      <c r="FX32" s="609"/>
      <c r="FY32" s="609"/>
      <c r="FZ32" s="609"/>
      <c r="GA32" s="609"/>
      <c r="GB32" s="609"/>
      <c r="GC32" s="609"/>
      <c r="GD32" s="609"/>
      <c r="GE32" s="609"/>
      <c r="GF32" s="609"/>
      <c r="GG32" s="609"/>
      <c r="GH32" s="609"/>
      <c r="GI32" s="609"/>
      <c r="GJ32" s="609"/>
      <c r="GK32" s="609"/>
      <c r="GL32" s="609"/>
      <c r="GM32" s="609"/>
      <c r="GN32" s="609"/>
      <c r="GO32" s="609"/>
      <c r="GP32" s="609"/>
      <c r="GQ32" s="609"/>
      <c r="GR32" s="609"/>
      <c r="GS32" s="609"/>
      <c r="GT32" s="609"/>
      <c r="GU32" s="609"/>
      <c r="GV32" s="609"/>
      <c r="GW32" s="609"/>
      <c r="GX32" s="609"/>
      <c r="GY32" s="609"/>
      <c r="GZ32" s="609"/>
      <c r="HA32" s="609"/>
      <c r="HB32" s="609"/>
      <c r="HC32" s="609"/>
      <c r="HD32" s="609"/>
      <c r="HE32" s="609"/>
      <c r="HF32" s="609"/>
      <c r="HG32" s="609"/>
      <c r="HH32" s="609"/>
      <c r="HI32" s="609"/>
      <c r="HJ32" s="609"/>
      <c r="HK32" s="609"/>
      <c r="HL32" s="609"/>
      <c r="HM32" s="609"/>
      <c r="HN32" s="609"/>
      <c r="HO32" s="609"/>
      <c r="HP32" s="609"/>
      <c r="HQ32" s="609"/>
      <c r="HR32" s="609"/>
      <c r="HS32" s="609"/>
      <c r="HT32" s="609"/>
      <c r="HU32" s="664"/>
    </row>
    <row r="33" spans="1:229" s="192" customFormat="1" ht="15.75" customHeight="1">
      <c r="A33" s="216" t="s">
        <v>67</v>
      </c>
      <c r="B33" s="216" t="s">
        <v>67</v>
      </c>
      <c r="C33" s="316" t="s">
        <v>43</v>
      </c>
      <c r="D33" s="316">
        <v>2</v>
      </c>
      <c r="E33" s="373" t="s">
        <v>41</v>
      </c>
      <c r="F33" s="196" t="s">
        <v>40</v>
      </c>
      <c r="G33" s="673">
        <v>1500</v>
      </c>
      <c r="H33" s="673">
        <v>625</v>
      </c>
      <c r="I33" s="674">
        <f t="shared" si="0"/>
        <v>0.5833333333333334</v>
      </c>
      <c r="J33" s="194">
        <v>125</v>
      </c>
      <c r="K33" s="687">
        <v>564.9</v>
      </c>
      <c r="L33" s="676">
        <f t="shared" si="1"/>
        <v>6847.271529</v>
      </c>
      <c r="M33" s="676">
        <f t="shared" si="2"/>
        <v>5649</v>
      </c>
      <c r="N33" s="676">
        <f t="shared" si="3"/>
        <v>1198.271529</v>
      </c>
      <c r="O33" s="674">
        <f t="shared" si="4"/>
        <v>5720.655707975984</v>
      </c>
      <c r="P33" s="677">
        <f t="shared" si="58"/>
        <v>5.720655707975984</v>
      </c>
      <c r="Q33" s="678">
        <f t="shared" si="59"/>
        <v>171.181788225</v>
      </c>
      <c r="R33" s="189">
        <v>17.5</v>
      </c>
      <c r="S33" s="200">
        <f t="shared" si="5"/>
        <v>1198.272517575</v>
      </c>
      <c r="T33" s="195">
        <v>4</v>
      </c>
      <c r="U33" s="195">
        <v>1.5</v>
      </c>
      <c r="V33" s="195">
        <f t="shared" si="6"/>
        <v>0.059800000000000006</v>
      </c>
      <c r="W33" s="195">
        <v>1</v>
      </c>
      <c r="X33" s="184">
        <f t="shared" si="61"/>
        <v>71.656696550985</v>
      </c>
      <c r="Y33" s="189">
        <v>9</v>
      </c>
      <c r="Z33" s="184">
        <f t="shared" si="7"/>
        <v>514.8590137178386</v>
      </c>
      <c r="AA33" s="195">
        <v>10</v>
      </c>
      <c r="AB33" s="200">
        <f t="shared" si="8"/>
        <v>572.0655707975984</v>
      </c>
      <c r="AC33" s="195" t="s">
        <v>44</v>
      </c>
      <c r="AD33" s="195">
        <v>30</v>
      </c>
      <c r="AE33" s="168" t="s">
        <v>45</v>
      </c>
      <c r="AF33" s="168">
        <v>0.8</v>
      </c>
      <c r="AG33" s="184">
        <f t="shared" si="62"/>
        <v>709.361307789022</v>
      </c>
      <c r="AH33" s="184">
        <f t="shared" si="9"/>
        <v>3231.9</v>
      </c>
      <c r="AI33" s="184">
        <f t="shared" si="63"/>
        <v>3380.1</v>
      </c>
      <c r="AJ33" s="176">
        <f t="shared" si="28"/>
        <v>-0.045855379188712464</v>
      </c>
      <c r="AK33" s="201">
        <v>5.7</v>
      </c>
      <c r="AL33" s="202">
        <v>28</v>
      </c>
      <c r="AM33" s="178">
        <f t="shared" si="10"/>
        <v>0.378</v>
      </c>
      <c r="AN33" s="177">
        <f t="shared" si="11"/>
        <v>0.9488</v>
      </c>
      <c r="AO33" s="570">
        <f t="shared" si="29"/>
        <v>-1.5100529100529099</v>
      </c>
      <c r="AP33" s="745"/>
      <c r="AQ33" s="746">
        <v>567</v>
      </c>
      <c r="AR33" s="673">
        <f t="shared" si="12"/>
        <v>567</v>
      </c>
      <c r="AS33" s="203"/>
      <c r="AT33" s="675">
        <v>593</v>
      </c>
      <c r="AU33" s="204">
        <f t="shared" si="13"/>
        <v>593</v>
      </c>
      <c r="AV33" s="674">
        <f t="shared" si="64"/>
        <v>0.04384485666104553</v>
      </c>
      <c r="AW33" s="679">
        <f>41.9+16.5</f>
        <v>58.4</v>
      </c>
      <c r="AX33" s="680">
        <f t="shared" si="30"/>
        <v>10.219999999999999</v>
      </c>
      <c r="AY33" s="205">
        <v>3</v>
      </c>
      <c r="AZ33" s="205">
        <v>30</v>
      </c>
      <c r="BA33" s="194">
        <v>12.5</v>
      </c>
      <c r="BB33" s="194">
        <v>9</v>
      </c>
      <c r="BC33" s="205">
        <v>25</v>
      </c>
      <c r="BD33" s="202">
        <f t="shared" si="14"/>
        <v>10.089339872973516</v>
      </c>
      <c r="BE33" s="194">
        <v>0</v>
      </c>
      <c r="BF33" s="194">
        <v>0</v>
      </c>
      <c r="BG33" s="183">
        <f t="shared" si="31"/>
        <v>0</v>
      </c>
      <c r="BH33" s="195">
        <v>85</v>
      </c>
      <c r="BI33" s="195">
        <v>65</v>
      </c>
      <c r="BJ33" s="184">
        <f t="shared" si="32"/>
        <v>20</v>
      </c>
      <c r="BK33" s="194">
        <v>0</v>
      </c>
      <c r="BL33" s="194">
        <v>0</v>
      </c>
      <c r="BM33" s="185">
        <f t="shared" si="33"/>
        <v>0</v>
      </c>
      <c r="BN33" s="96">
        <f t="shared" si="34"/>
        <v>0.014858436574235597</v>
      </c>
      <c r="BO33" s="194">
        <v>2</v>
      </c>
      <c r="BP33" s="681">
        <v>0</v>
      </c>
      <c r="BQ33" s="194">
        <v>0</v>
      </c>
      <c r="BR33" s="96">
        <f t="shared" si="15"/>
        <v>1</v>
      </c>
      <c r="BS33" s="202">
        <f t="shared" si="16"/>
        <v>100</v>
      </c>
      <c r="BT33" s="202">
        <f t="shared" si="52"/>
        <v>0.7647058823529411</v>
      </c>
      <c r="BU33" s="167">
        <f t="shared" si="60"/>
        <v>5</v>
      </c>
      <c r="BV33" s="675">
        <v>12</v>
      </c>
      <c r="BW33" s="675">
        <v>12</v>
      </c>
      <c r="BX33" s="675">
        <f>IF(OR(ISBLANK(BV33),ISBLANK(BW33)),"",BV33/BW33)</f>
        <v>1</v>
      </c>
      <c r="BY33" s="167">
        <f t="shared" si="19"/>
        <v>1.08</v>
      </c>
      <c r="BZ33" s="71">
        <f t="shared" si="20"/>
        <v>0.09000000000000001</v>
      </c>
      <c r="CA33" s="631"/>
      <c r="CB33" s="631"/>
      <c r="CC33" s="687">
        <v>1</v>
      </c>
      <c r="CD33" s="682">
        <v>70</v>
      </c>
      <c r="CE33" s="185">
        <v>0</v>
      </c>
      <c r="CF33" s="207">
        <v>100</v>
      </c>
      <c r="CG33" s="194">
        <v>9</v>
      </c>
      <c r="CH33" s="194">
        <v>6</v>
      </c>
      <c r="CI33" s="183">
        <f t="shared" si="66"/>
        <v>15</v>
      </c>
      <c r="CJ33" s="194">
        <v>5</v>
      </c>
      <c r="CK33" s="407" t="s">
        <v>43</v>
      </c>
      <c r="CL33" s="407">
        <v>4.96</v>
      </c>
      <c r="CM33" s="195" t="s">
        <v>42</v>
      </c>
      <c r="CN33" s="195">
        <v>0</v>
      </c>
      <c r="CO33" s="195" t="s">
        <v>369</v>
      </c>
      <c r="CP33" s="168">
        <v>7.07</v>
      </c>
      <c r="CQ33" s="195" t="s">
        <v>45</v>
      </c>
      <c r="CR33" s="168">
        <v>1.1</v>
      </c>
      <c r="CS33" s="216" t="s">
        <v>67</v>
      </c>
      <c r="CT33" s="195" t="s">
        <v>43</v>
      </c>
      <c r="CU33" s="428">
        <v>6.24</v>
      </c>
      <c r="CV33" s="684" t="s">
        <v>46</v>
      </c>
      <c r="CW33" s="683">
        <v>0.82</v>
      </c>
      <c r="CX33" s="782" t="s">
        <v>43</v>
      </c>
      <c r="CY33" s="782">
        <v>0.9</v>
      </c>
      <c r="CZ33" s="685" t="s">
        <v>44</v>
      </c>
      <c r="DA33" s="685">
        <v>1</v>
      </c>
      <c r="DB33" s="684" t="s">
        <v>43</v>
      </c>
      <c r="DC33" s="684">
        <v>0.91</v>
      </c>
      <c r="DD33" s="407" t="s">
        <v>371</v>
      </c>
      <c r="DE33" s="407">
        <v>0.87</v>
      </c>
      <c r="DF33" s="211" t="s">
        <v>44</v>
      </c>
      <c r="DG33" s="186">
        <v>1</v>
      </c>
      <c r="DH33" s="211" t="s">
        <v>44</v>
      </c>
      <c r="DI33" s="186">
        <v>1</v>
      </c>
      <c r="DJ33" s="211" t="s">
        <v>43</v>
      </c>
      <c r="DK33" s="186">
        <v>0.87</v>
      </c>
      <c r="DL33" s="211" t="s">
        <v>44</v>
      </c>
      <c r="DM33" s="410" t="s">
        <v>44</v>
      </c>
      <c r="DN33" s="175">
        <v>0.01</v>
      </c>
      <c r="DO33" s="410" t="s">
        <v>44</v>
      </c>
      <c r="DP33" s="175">
        <v>0.01</v>
      </c>
      <c r="DQ33" s="410" t="s">
        <v>43</v>
      </c>
      <c r="DR33" s="200">
        <v>1.12</v>
      </c>
      <c r="DS33" s="686" t="s">
        <v>45</v>
      </c>
      <c r="DT33" s="195" t="s">
        <v>372</v>
      </c>
      <c r="DU33" s="168">
        <v>0.88</v>
      </c>
      <c r="DV33" s="195" t="s">
        <v>372</v>
      </c>
      <c r="DW33" s="195">
        <v>0.91</v>
      </c>
      <c r="DX33" s="195" t="s">
        <v>372</v>
      </c>
      <c r="DY33" s="442">
        <v>0.91</v>
      </c>
      <c r="DZ33" s="686" t="s">
        <v>44</v>
      </c>
      <c r="EA33" s="686">
        <v>1</v>
      </c>
      <c r="EB33" s="686" t="s">
        <v>43</v>
      </c>
      <c r="EC33" s="686">
        <v>1.09</v>
      </c>
      <c r="ED33" s="686" t="s">
        <v>47</v>
      </c>
      <c r="EE33" s="686">
        <v>1</v>
      </c>
      <c r="EF33" s="686" t="s">
        <v>46</v>
      </c>
      <c r="EG33" s="99">
        <f t="shared" si="53"/>
        <v>4.522163254897739E-05</v>
      </c>
      <c r="EH33" s="99">
        <v>2.94</v>
      </c>
      <c r="EI33" s="99">
        <v>0.91</v>
      </c>
      <c r="EJ33" s="99">
        <f t="shared" si="54"/>
        <v>21.01</v>
      </c>
      <c r="EK33" s="99">
        <f t="shared" si="36"/>
        <v>1.1201</v>
      </c>
      <c r="EL33" s="444">
        <f t="shared" si="55"/>
        <v>6847.271529</v>
      </c>
      <c r="EM33" s="444">
        <f t="shared" si="37"/>
        <v>19777.12725355598</v>
      </c>
      <c r="EN33" s="708">
        <f t="shared" si="38"/>
        <v>2.629400705711944</v>
      </c>
      <c r="EO33" s="99">
        <f t="shared" si="56"/>
        <v>1500</v>
      </c>
      <c r="EP33" s="444">
        <f t="shared" si="57"/>
        <v>12</v>
      </c>
      <c r="EQ33" s="444">
        <f t="shared" si="39"/>
        <v>0.32202000000000003</v>
      </c>
      <c r="ER33" s="444">
        <f t="shared" si="40"/>
        <v>3.10539718029936</v>
      </c>
      <c r="ES33" s="444">
        <f t="shared" si="41"/>
        <v>3.2697547683923704</v>
      </c>
      <c r="ET33" s="444">
        <f t="shared" si="42"/>
        <v>39.60718662914513</v>
      </c>
      <c r="EU33" s="708">
        <f t="shared" si="43"/>
        <v>39.60718662914513</v>
      </c>
      <c r="EV33" s="99">
        <f t="shared" si="44"/>
        <v>567</v>
      </c>
      <c r="EW33" s="444">
        <f t="shared" si="45"/>
        <v>593</v>
      </c>
      <c r="EX33" s="712"/>
      <c r="EY33" s="99"/>
      <c r="EZ33" s="99"/>
      <c r="FA33" s="99"/>
      <c r="FB33" s="99"/>
      <c r="FC33" s="99"/>
      <c r="FD33" s="99"/>
      <c r="FE33" s="99"/>
      <c r="FF33" s="99"/>
      <c r="FG33" s="99"/>
      <c r="FH33" s="99"/>
      <c r="FI33" s="99"/>
      <c r="FJ33" s="99"/>
      <c r="FK33" s="99"/>
      <c r="FL33" s="99"/>
      <c r="FM33" s="99"/>
      <c r="FN33" s="99"/>
      <c r="FO33" s="387"/>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387"/>
    </row>
    <row r="34" spans="1:229" s="445" customFormat="1" ht="15.75" customHeight="1">
      <c r="A34" s="491"/>
      <c r="B34" s="491"/>
      <c r="C34" s="450"/>
      <c r="D34" s="450"/>
      <c r="E34" s="492"/>
      <c r="F34" s="494"/>
      <c r="G34" s="495"/>
      <c r="H34" s="495"/>
      <c r="I34" s="455"/>
      <c r="J34" s="496"/>
      <c r="K34" s="497"/>
      <c r="L34" s="498"/>
      <c r="M34" s="498"/>
      <c r="N34" s="498"/>
      <c r="O34" s="455"/>
      <c r="P34" s="458"/>
      <c r="Q34" s="459"/>
      <c r="R34" s="460"/>
      <c r="S34" s="499"/>
      <c r="T34" s="493"/>
      <c r="U34" s="493"/>
      <c r="V34" s="493"/>
      <c r="W34" s="493"/>
      <c r="X34" s="473"/>
      <c r="Y34" s="463"/>
      <c r="Z34" s="473"/>
      <c r="AA34" s="493"/>
      <c r="AB34" s="499"/>
      <c r="AC34" s="493"/>
      <c r="AD34" s="493"/>
      <c r="AE34" s="464"/>
      <c r="AF34" s="452"/>
      <c r="AG34" s="473"/>
      <c r="AH34" s="473"/>
      <c r="AI34" s="473"/>
      <c r="AJ34" s="462"/>
      <c r="AK34" s="500"/>
      <c r="AL34" s="477"/>
      <c r="AM34" s="466"/>
      <c r="AN34" s="465"/>
      <c r="AO34" s="467"/>
      <c r="AP34" s="756"/>
      <c r="AQ34" s="757"/>
      <c r="AR34" s="495"/>
      <c r="AS34" s="501"/>
      <c r="AT34" s="497"/>
      <c r="AU34" s="502"/>
      <c r="AV34" s="455"/>
      <c r="AW34" s="498"/>
      <c r="AX34" s="455"/>
      <c r="AY34" s="503"/>
      <c r="AZ34" s="503"/>
      <c r="BA34" s="496"/>
      <c r="BB34" s="496"/>
      <c r="BC34" s="503"/>
      <c r="BD34" s="477"/>
      <c r="BE34" s="496"/>
      <c r="BF34" s="496"/>
      <c r="BG34" s="472"/>
      <c r="BH34" s="493"/>
      <c r="BI34" s="493"/>
      <c r="BJ34" s="473"/>
      <c r="BK34" s="496"/>
      <c r="BL34" s="496"/>
      <c r="BM34" s="446"/>
      <c r="BN34" s="477"/>
      <c r="BO34" s="496"/>
      <c r="BP34" s="504"/>
      <c r="BQ34" s="496"/>
      <c r="BR34" s="477"/>
      <c r="BS34" s="477"/>
      <c r="BT34" s="477"/>
      <c r="BU34" s="456"/>
      <c r="BV34" s="497"/>
      <c r="BW34" s="497"/>
      <c r="BX34" s="505"/>
      <c r="BY34" s="456"/>
      <c r="BZ34" s="474"/>
      <c r="CA34" s="693"/>
      <c r="CB34" s="693"/>
      <c r="CC34" s="497"/>
      <c r="CD34" s="506"/>
      <c r="CE34" s="446"/>
      <c r="CF34" s="507"/>
      <c r="CG34" s="496"/>
      <c r="CH34" s="496"/>
      <c r="CI34" s="472"/>
      <c r="CJ34" s="496"/>
      <c r="CK34" s="508"/>
      <c r="CL34" s="508"/>
      <c r="CM34" s="493"/>
      <c r="CN34" s="493"/>
      <c r="CO34" s="493"/>
      <c r="CP34" s="452"/>
      <c r="CQ34" s="493"/>
      <c r="CR34" s="452"/>
      <c r="CS34" s="491"/>
      <c r="CT34" s="493"/>
      <c r="CU34" s="484"/>
      <c r="CV34" s="509"/>
      <c r="CW34" s="510"/>
      <c r="CX34" s="785"/>
      <c r="CY34" s="785"/>
      <c r="CZ34" s="486"/>
      <c r="DA34" s="486"/>
      <c r="DB34" s="509"/>
      <c r="DC34" s="509"/>
      <c r="DD34" s="508"/>
      <c r="DE34" s="508"/>
      <c r="DF34" s="511"/>
      <c r="DG34" s="478"/>
      <c r="DH34" s="511"/>
      <c r="DI34" s="478"/>
      <c r="DJ34" s="511"/>
      <c r="DK34" s="478"/>
      <c r="DL34" s="511"/>
      <c r="DM34" s="512"/>
      <c r="DN34" s="461"/>
      <c r="DO34" s="512"/>
      <c r="DP34" s="461"/>
      <c r="DQ34" s="512"/>
      <c r="DR34" s="499"/>
      <c r="DS34" s="513"/>
      <c r="DT34" s="493"/>
      <c r="DU34" s="452"/>
      <c r="DV34" s="493"/>
      <c r="DW34" s="493"/>
      <c r="DX34" s="493"/>
      <c r="DY34" s="514"/>
      <c r="DZ34" s="513"/>
      <c r="EA34" s="513"/>
      <c r="EB34" s="513"/>
      <c r="EC34" s="513"/>
      <c r="ED34" s="513"/>
      <c r="EE34" s="513"/>
      <c r="EF34" s="513"/>
      <c r="EL34" s="488"/>
      <c r="EM34" s="488"/>
      <c r="EN34" s="488"/>
      <c r="EP34" s="488"/>
      <c r="EQ34" s="488"/>
      <c r="ER34" s="488"/>
      <c r="ES34" s="488"/>
      <c r="ET34" s="488"/>
      <c r="EU34" s="702" t="s">
        <v>421</v>
      </c>
      <c r="EW34" s="488"/>
      <c r="EX34" s="714" t="s">
        <v>423</v>
      </c>
      <c r="FO34" s="488"/>
      <c r="HU34" s="488"/>
    </row>
    <row r="35" spans="1:229" s="244" customFormat="1" ht="15.75" customHeight="1">
      <c r="A35" s="220" t="s">
        <v>181</v>
      </c>
      <c r="B35" s="220" t="s">
        <v>181</v>
      </c>
      <c r="C35" s="317" t="s">
        <v>44</v>
      </c>
      <c r="D35" s="317">
        <v>3</v>
      </c>
      <c r="E35" s="374" t="s">
        <v>41</v>
      </c>
      <c r="F35" s="223" t="s">
        <v>40</v>
      </c>
      <c r="G35" s="224">
        <v>1500</v>
      </c>
      <c r="H35" s="224">
        <v>625</v>
      </c>
      <c r="I35" s="225">
        <f t="shared" si="0"/>
        <v>0.5833333333333334</v>
      </c>
      <c r="J35" s="221">
        <v>125</v>
      </c>
      <c r="K35" s="226">
        <v>2.5</v>
      </c>
      <c r="L35" s="227">
        <f t="shared" si="1"/>
        <v>30.303024999999998</v>
      </c>
      <c r="M35" s="227">
        <f t="shared" si="2"/>
        <v>25</v>
      </c>
      <c r="N35" s="227">
        <f t="shared" si="3"/>
        <v>5.303025</v>
      </c>
      <c r="O35" s="225">
        <f t="shared" si="4"/>
        <v>24.597571453</v>
      </c>
      <c r="P35" s="227">
        <f aca="true" t="shared" si="67" ref="P35:P58">O35/1000</f>
        <v>0.024597571453</v>
      </c>
      <c r="Q35" s="225">
        <f aca="true" t="shared" si="68" ref="Q35:Q40">L35/29.5</f>
        <v>1.027221186440678</v>
      </c>
      <c r="R35" s="238">
        <v>20</v>
      </c>
      <c r="S35" s="228">
        <f t="shared" si="5"/>
        <v>6.060605</v>
      </c>
      <c r="T35" s="222">
        <v>4</v>
      </c>
      <c r="U35" s="222">
        <v>1.5</v>
      </c>
      <c r="V35" s="222">
        <f t="shared" si="6"/>
        <v>0.058600000000000006</v>
      </c>
      <c r="W35" s="222">
        <v>1</v>
      </c>
      <c r="X35" s="229">
        <f aca="true" t="shared" si="69" ref="X35:X40">S35*V35*W35</f>
        <v>0.355151453</v>
      </c>
      <c r="Y35" s="325">
        <v>10</v>
      </c>
      <c r="Z35" s="229">
        <f t="shared" si="7"/>
        <v>2.4597571453000002</v>
      </c>
      <c r="AA35" s="222">
        <v>10</v>
      </c>
      <c r="AB35" s="228">
        <f t="shared" si="8"/>
        <v>2.4597571453000002</v>
      </c>
      <c r="AC35" s="222" t="s">
        <v>44</v>
      </c>
      <c r="AD35" s="222">
        <v>30</v>
      </c>
      <c r="AE35" s="222" t="s">
        <v>47</v>
      </c>
      <c r="AF35" s="222">
        <v>0.6</v>
      </c>
      <c r="AG35" s="229">
        <f aca="true" t="shared" si="70" ref="AG35:AG40">AB35*(1+(AD35/100)*AF35)</f>
        <v>2.902513431454</v>
      </c>
      <c r="AH35" s="229">
        <f t="shared" si="9"/>
        <v>580</v>
      </c>
      <c r="AI35" s="229">
        <f aca="true" t="shared" si="71" ref="AI35:AI40">AU35*AK35</f>
        <v>50.74999999999999</v>
      </c>
      <c r="AJ35" s="230">
        <f t="shared" si="28"/>
        <v>0.9125</v>
      </c>
      <c r="AK35" s="231">
        <v>10</v>
      </c>
      <c r="AL35" s="232">
        <v>28</v>
      </c>
      <c r="AM35" s="379">
        <f t="shared" si="10"/>
        <v>0.03866666666666667</v>
      </c>
      <c r="AN35" s="233">
        <f t="shared" si="11"/>
        <v>0.008119999999999999</v>
      </c>
      <c r="AO35" s="801">
        <f t="shared" si="29"/>
        <v>0.79</v>
      </c>
      <c r="AP35" s="758"/>
      <c r="AQ35" s="758"/>
      <c r="AR35" s="224">
        <v>58</v>
      </c>
      <c r="AS35" s="234">
        <v>5.074999999999999</v>
      </c>
      <c r="AT35" s="226"/>
      <c r="AU35" s="235">
        <f t="shared" si="13"/>
        <v>5.074999999999999</v>
      </c>
      <c r="AV35" s="225">
        <f aca="true" t="shared" si="72" ref="AV35:AV40">(AU35-AR35)/AU35</f>
        <v>-10.428571428571429</v>
      </c>
      <c r="AW35" s="365">
        <f>44+15</f>
        <v>59</v>
      </c>
      <c r="AX35" s="360">
        <f t="shared" si="30"/>
        <v>11.8</v>
      </c>
      <c r="AY35" s="236">
        <v>3</v>
      </c>
      <c r="AZ35" s="236">
        <v>30</v>
      </c>
      <c r="BA35" s="221">
        <v>12.5</v>
      </c>
      <c r="BB35" s="221">
        <v>9</v>
      </c>
      <c r="BC35" s="236">
        <v>20</v>
      </c>
      <c r="BD35" s="232">
        <f t="shared" si="14"/>
        <v>0.42409605953448276</v>
      </c>
      <c r="BE35" s="221">
        <v>0</v>
      </c>
      <c r="BF35" s="221">
        <v>0</v>
      </c>
      <c r="BG35" s="237">
        <f t="shared" si="31"/>
        <v>0</v>
      </c>
      <c r="BH35" s="222">
        <v>100</v>
      </c>
      <c r="BI35" s="222">
        <v>75</v>
      </c>
      <c r="BJ35" s="229">
        <f t="shared" si="32"/>
        <v>25</v>
      </c>
      <c r="BK35" s="221">
        <v>0</v>
      </c>
      <c r="BL35" s="221">
        <v>0</v>
      </c>
      <c r="BM35" s="238">
        <f t="shared" si="33"/>
        <v>0</v>
      </c>
      <c r="BN35" s="96">
        <f t="shared" si="34"/>
        <v>4.0654419966245765</v>
      </c>
      <c r="BO35" s="221">
        <v>1</v>
      </c>
      <c r="BP35" s="239">
        <v>0</v>
      </c>
      <c r="BQ35" s="221">
        <v>0</v>
      </c>
      <c r="BR35" s="96">
        <f t="shared" si="15"/>
        <v>1</v>
      </c>
      <c r="BS35" s="232">
        <f t="shared" si="16"/>
        <v>100</v>
      </c>
      <c r="BT35" s="232">
        <f t="shared" si="52"/>
        <v>0.75</v>
      </c>
      <c r="BU35" s="221">
        <f aca="true" t="shared" si="73" ref="BU35:BU40">CJ35</f>
        <v>5</v>
      </c>
      <c r="BV35" s="226">
        <v>1</v>
      </c>
      <c r="BW35" s="226">
        <v>1</v>
      </c>
      <c r="BX35" s="240">
        <f>IF(OR(ISBLANK(BV35),ISBLANK(BW35)),"",BV35/BW35)</f>
        <v>1</v>
      </c>
      <c r="BY35" s="221">
        <f t="shared" si="19"/>
        <v>0.1</v>
      </c>
      <c r="BZ35" s="71">
        <f t="shared" si="20"/>
        <v>0.1</v>
      </c>
      <c r="CA35" s="694"/>
      <c r="CB35" s="694"/>
      <c r="CC35" s="226">
        <v>2</v>
      </c>
      <c r="CD35" s="241">
        <v>100</v>
      </c>
      <c r="CE35" s="238">
        <v>0</v>
      </c>
      <c r="CF35" s="242">
        <v>100</v>
      </c>
      <c r="CG35" s="221">
        <v>9</v>
      </c>
      <c r="CH35" s="221">
        <v>6</v>
      </c>
      <c r="CI35" s="237">
        <f aca="true" t="shared" si="74" ref="CI35:CI40">SUM(CG35,CH35)</f>
        <v>15</v>
      </c>
      <c r="CJ35" s="221">
        <v>5</v>
      </c>
      <c r="CK35" s="412" t="s">
        <v>46</v>
      </c>
      <c r="CL35" s="412">
        <v>6.2</v>
      </c>
      <c r="CM35" s="222" t="s">
        <v>42</v>
      </c>
      <c r="CN35" s="222">
        <v>0</v>
      </c>
      <c r="CO35" s="222" t="s">
        <v>369</v>
      </c>
      <c r="CP35" s="222">
        <v>7.07</v>
      </c>
      <c r="CQ35" s="222" t="s">
        <v>45</v>
      </c>
      <c r="CR35" s="222">
        <v>1.1</v>
      </c>
      <c r="CS35" s="220" t="s">
        <v>374</v>
      </c>
      <c r="CT35" s="222" t="s">
        <v>44</v>
      </c>
      <c r="CU35" s="429">
        <v>4.68</v>
      </c>
      <c r="CV35" s="243" t="s">
        <v>43</v>
      </c>
      <c r="CW35" s="413">
        <v>0.92</v>
      </c>
      <c r="CX35" s="786" t="s">
        <v>47</v>
      </c>
      <c r="CY35" s="786">
        <v>1.14</v>
      </c>
      <c r="CZ35" s="414" t="s">
        <v>44</v>
      </c>
      <c r="DA35" s="414">
        <v>1</v>
      </c>
      <c r="DB35" s="243" t="s">
        <v>43</v>
      </c>
      <c r="DC35" s="243">
        <v>0.91</v>
      </c>
      <c r="DD35" s="412" t="s">
        <v>371</v>
      </c>
      <c r="DE35" s="412">
        <v>0.87</v>
      </c>
      <c r="DF35" s="415" t="s">
        <v>44</v>
      </c>
      <c r="DG35" s="415">
        <v>1</v>
      </c>
      <c r="DH35" s="415" t="s">
        <v>44</v>
      </c>
      <c r="DI35" s="415">
        <v>1</v>
      </c>
      <c r="DJ35" s="415" t="s">
        <v>43</v>
      </c>
      <c r="DK35" s="415">
        <v>0.87</v>
      </c>
      <c r="DL35" s="415" t="s">
        <v>44</v>
      </c>
      <c r="DM35" s="416" t="s">
        <v>44</v>
      </c>
      <c r="DN35" s="228">
        <v>0.01</v>
      </c>
      <c r="DO35" s="416" t="s">
        <v>44</v>
      </c>
      <c r="DP35" s="228">
        <v>0.01</v>
      </c>
      <c r="DQ35" s="416" t="s">
        <v>43</v>
      </c>
      <c r="DR35" s="435">
        <v>1.12</v>
      </c>
      <c r="DS35" s="417" t="s">
        <v>45</v>
      </c>
      <c r="DT35" s="222" t="s">
        <v>372</v>
      </c>
      <c r="DU35" s="222">
        <v>0.88</v>
      </c>
      <c r="DV35" s="222" t="s">
        <v>372</v>
      </c>
      <c r="DW35" s="222">
        <v>0.91</v>
      </c>
      <c r="DX35" s="222" t="s">
        <v>372</v>
      </c>
      <c r="DY35" s="443">
        <v>0.91</v>
      </c>
      <c r="DZ35" s="417" t="s">
        <v>44</v>
      </c>
      <c r="EA35" s="417">
        <v>1</v>
      </c>
      <c r="EB35" s="417" t="s">
        <v>43</v>
      </c>
      <c r="EC35" s="417">
        <v>1.09</v>
      </c>
      <c r="ED35" s="417" t="s">
        <v>47</v>
      </c>
      <c r="EE35" s="417">
        <v>1</v>
      </c>
      <c r="EF35" s="417" t="s">
        <v>46</v>
      </c>
      <c r="EG35" s="99">
        <f aca="true" t="shared" si="75" ref="EG35:EG40">CW35*CY35*DA35*DC35*DE35*DG35*DI35*DK35*DN35*DP35*DR35*DU35*DW35*DY35*EA35*EC35*EE35</f>
        <v>6.426618999643289E-05</v>
      </c>
      <c r="EH35" s="99">
        <v>2.94</v>
      </c>
      <c r="EI35" s="99">
        <v>0.91</v>
      </c>
      <c r="EJ35" s="99">
        <f aca="true" t="shared" si="76" ref="EJ35:EJ40">SUM(CL35,CN35,CP35,CR35,CU35,CW35,CW35)</f>
        <v>20.89</v>
      </c>
      <c r="EK35" s="99">
        <f t="shared" si="36"/>
        <v>1.1189</v>
      </c>
      <c r="EL35" s="444">
        <f aca="true" t="shared" si="77" ref="EL35:EL40">L35</f>
        <v>30.303024999999998</v>
      </c>
      <c r="EM35" s="444">
        <f t="shared" si="37"/>
        <v>45.460548109812514</v>
      </c>
      <c r="EN35" s="708">
        <f t="shared" si="38"/>
        <v>0.008589434093171536</v>
      </c>
      <c r="EO35" s="99">
        <f aca="true" t="shared" si="78" ref="EO35:EO40">G35</f>
        <v>1500</v>
      </c>
      <c r="EP35" s="444">
        <f aca="true" t="shared" si="79" ref="EP35:EP40">G35/J35</f>
        <v>12</v>
      </c>
      <c r="EQ35" s="444">
        <f t="shared" si="39"/>
        <v>0.32178</v>
      </c>
      <c r="ER35" s="444">
        <f t="shared" si="40"/>
        <v>3.1077133445211014</v>
      </c>
      <c r="ES35" s="444">
        <f t="shared" si="41"/>
        <v>3.2697547683923704</v>
      </c>
      <c r="ET35" s="444">
        <f t="shared" si="42"/>
        <v>39.71601777787757</v>
      </c>
      <c r="EU35" s="708">
        <f t="shared" si="43"/>
        <v>39.71601777787757</v>
      </c>
      <c r="EV35" s="99">
        <f t="shared" si="44"/>
        <v>58</v>
      </c>
      <c r="EW35" s="444">
        <f t="shared" si="45"/>
        <v>5.074999999999999</v>
      </c>
      <c r="EX35" s="712"/>
      <c r="EY35" s="99"/>
      <c r="EZ35" s="99"/>
      <c r="FA35" s="99"/>
      <c r="FB35" s="99"/>
      <c r="FC35" s="99"/>
      <c r="FD35" s="99"/>
      <c r="FE35" s="99"/>
      <c r="FF35" s="99"/>
      <c r="FG35" s="99"/>
      <c r="FH35" s="99"/>
      <c r="FI35" s="99"/>
      <c r="FJ35" s="99"/>
      <c r="FK35" s="99"/>
      <c r="FL35" s="99"/>
      <c r="FM35" s="99"/>
      <c r="FN35" s="99"/>
      <c r="FO35" s="390"/>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390"/>
    </row>
    <row r="36" spans="1:229" s="244" customFormat="1" ht="15.75" customHeight="1">
      <c r="A36" s="220" t="s">
        <v>180</v>
      </c>
      <c r="B36" s="220" t="s">
        <v>180</v>
      </c>
      <c r="C36" s="317" t="s">
        <v>44</v>
      </c>
      <c r="D36" s="317">
        <v>3</v>
      </c>
      <c r="E36" s="374" t="s">
        <v>41</v>
      </c>
      <c r="F36" s="223" t="s">
        <v>40</v>
      </c>
      <c r="G36" s="224">
        <v>1500</v>
      </c>
      <c r="H36" s="224">
        <v>625</v>
      </c>
      <c r="I36" s="225">
        <f aca="true" t="shared" si="80" ref="I36:I74">(G36-H36)/G36</f>
        <v>0.5833333333333334</v>
      </c>
      <c r="J36" s="221">
        <v>125</v>
      </c>
      <c r="K36" s="245">
        <v>332.63</v>
      </c>
      <c r="L36" s="227">
        <f t="shared" si="1"/>
        <v>4031.8780823</v>
      </c>
      <c r="M36" s="227">
        <f t="shared" si="2"/>
        <v>3326.3</v>
      </c>
      <c r="N36" s="227">
        <f t="shared" si="3"/>
        <v>705.5780823</v>
      </c>
      <c r="O36" s="225">
        <f t="shared" si="4"/>
        <v>3272.756076964556</v>
      </c>
      <c r="P36" s="227">
        <f t="shared" si="67"/>
        <v>3.2727560769645563</v>
      </c>
      <c r="Q36" s="225">
        <f t="shared" si="68"/>
        <v>136.67383329830508</v>
      </c>
      <c r="R36" s="238">
        <v>20</v>
      </c>
      <c r="S36" s="228">
        <f t="shared" si="5"/>
        <v>806.3756164600001</v>
      </c>
      <c r="T36" s="222">
        <v>4</v>
      </c>
      <c r="U36" s="222">
        <v>1.5</v>
      </c>
      <c r="V36" s="222">
        <f t="shared" si="6"/>
        <v>0.058600000000000006</v>
      </c>
      <c r="W36" s="222">
        <v>1</v>
      </c>
      <c r="X36" s="229">
        <f t="shared" si="69"/>
        <v>47.25361112455601</v>
      </c>
      <c r="Y36" s="325">
        <v>10</v>
      </c>
      <c r="Z36" s="229">
        <f t="shared" si="7"/>
        <v>327.2756076964556</v>
      </c>
      <c r="AA36" s="222">
        <v>10</v>
      </c>
      <c r="AB36" s="228">
        <f t="shared" si="8"/>
        <v>327.2756076964556</v>
      </c>
      <c r="AC36" s="222" t="s">
        <v>44</v>
      </c>
      <c r="AD36" s="222">
        <v>30</v>
      </c>
      <c r="AE36" s="222" t="s">
        <v>47</v>
      </c>
      <c r="AF36" s="222">
        <v>0.6</v>
      </c>
      <c r="AG36" s="229">
        <f t="shared" si="70"/>
        <v>386.1852170818176</v>
      </c>
      <c r="AH36" s="229">
        <f t="shared" si="9"/>
        <v>3570</v>
      </c>
      <c r="AI36" s="229">
        <f t="shared" si="71"/>
        <v>3470</v>
      </c>
      <c r="AJ36" s="230">
        <f t="shared" si="28"/>
        <v>0.028011204481792718</v>
      </c>
      <c r="AK36" s="231">
        <v>10</v>
      </c>
      <c r="AL36" s="232">
        <v>28</v>
      </c>
      <c r="AM36" s="379">
        <f aca="true" t="shared" si="81" ref="AM36:AM74">AR36/G36</f>
        <v>0.238</v>
      </c>
      <c r="AN36" s="233">
        <f aca="true" t="shared" si="82" ref="AN36:AN74">AU36/H36</f>
        <v>0.5552</v>
      </c>
      <c r="AO36" s="801">
        <f t="shared" si="29"/>
        <v>-1.3327731092436976</v>
      </c>
      <c r="AP36" s="758"/>
      <c r="AQ36" s="759">
        <v>357</v>
      </c>
      <c r="AR36" s="224">
        <f>SUM(AP36,AQ36)</f>
        <v>357</v>
      </c>
      <c r="AS36" s="226"/>
      <c r="AT36" s="240">
        <v>347</v>
      </c>
      <c r="AU36" s="235">
        <f t="shared" si="13"/>
        <v>347</v>
      </c>
      <c r="AV36" s="225">
        <f t="shared" si="72"/>
        <v>-0.02881844380403458</v>
      </c>
      <c r="AW36" s="365">
        <f>41.9+16.5</f>
        <v>58.4</v>
      </c>
      <c r="AX36" s="360">
        <f t="shared" si="30"/>
        <v>11.68</v>
      </c>
      <c r="AY36" s="236">
        <v>3</v>
      </c>
      <c r="AZ36" s="236">
        <v>30</v>
      </c>
      <c r="BA36" s="221">
        <v>12.5</v>
      </c>
      <c r="BB36" s="221">
        <v>9</v>
      </c>
      <c r="BC36" s="236">
        <v>20</v>
      </c>
      <c r="BD36" s="232">
        <f aca="true" t="shared" si="83" ref="BD36:BD74">O36/AR36</f>
        <v>9.167383969088393</v>
      </c>
      <c r="BE36" s="221">
        <v>0</v>
      </c>
      <c r="BF36" s="221">
        <v>0</v>
      </c>
      <c r="BG36" s="237">
        <f t="shared" si="31"/>
        <v>0</v>
      </c>
      <c r="BH36" s="222">
        <v>7</v>
      </c>
      <c r="BI36" s="222">
        <v>7</v>
      </c>
      <c r="BJ36" s="229">
        <f t="shared" si="32"/>
        <v>0</v>
      </c>
      <c r="BK36" s="221">
        <v>0</v>
      </c>
      <c r="BL36" s="221">
        <v>0</v>
      </c>
      <c r="BM36" s="238">
        <f t="shared" si="33"/>
        <v>0</v>
      </c>
      <c r="BN36" s="96">
        <f t="shared" si="34"/>
        <v>0.0021388700640630758</v>
      </c>
      <c r="BO36" s="221">
        <v>9</v>
      </c>
      <c r="BP36" s="239">
        <v>0</v>
      </c>
      <c r="BQ36" s="221">
        <v>0</v>
      </c>
      <c r="BR36" s="96">
        <f t="shared" si="15"/>
        <v>1</v>
      </c>
      <c r="BS36" s="232">
        <f aca="true" t="shared" si="84" ref="BS36:BS74">SUM(BH36,BE36,BK36)*100/SUM(BH36,BE36,BK36,BP36,BQ36)</f>
        <v>100</v>
      </c>
      <c r="BT36" s="232">
        <f t="shared" si="52"/>
        <v>1</v>
      </c>
      <c r="BU36" s="221">
        <f t="shared" si="73"/>
        <v>5</v>
      </c>
      <c r="BV36" s="246">
        <v>8</v>
      </c>
      <c r="BW36" s="246">
        <v>8</v>
      </c>
      <c r="BX36" s="240">
        <f>IF(OR(ISBLANK(BV36),ISBLANK(BW36)),"",BV36/BW36)</f>
        <v>1</v>
      </c>
      <c r="BY36" s="221">
        <f aca="true" t="shared" si="85" ref="BY36:BY74">BV36*Y36/100</f>
        <v>0.8</v>
      </c>
      <c r="BZ36" s="71">
        <f t="shared" si="20"/>
        <v>0.1</v>
      </c>
      <c r="CA36" s="694"/>
      <c r="CB36" s="694"/>
      <c r="CC36" s="245">
        <v>8</v>
      </c>
      <c r="CD36" s="247">
        <v>100</v>
      </c>
      <c r="CE36" s="238">
        <v>0</v>
      </c>
      <c r="CF36" s="242">
        <v>100</v>
      </c>
      <c r="CG36" s="221">
        <v>9</v>
      </c>
      <c r="CH36" s="221">
        <v>6</v>
      </c>
      <c r="CI36" s="237">
        <f t="shared" si="74"/>
        <v>15</v>
      </c>
      <c r="CJ36" s="221">
        <v>5</v>
      </c>
      <c r="CK36" s="412" t="s">
        <v>46</v>
      </c>
      <c r="CL36" s="412">
        <v>6.2</v>
      </c>
      <c r="CM36" s="222" t="s">
        <v>42</v>
      </c>
      <c r="CN36" s="222">
        <v>0</v>
      </c>
      <c r="CO36" s="222" t="s">
        <v>369</v>
      </c>
      <c r="CP36" s="222">
        <v>7.07</v>
      </c>
      <c r="CQ36" s="222" t="s">
        <v>45</v>
      </c>
      <c r="CR36" s="222">
        <v>1.1</v>
      </c>
      <c r="CS36" s="220" t="s">
        <v>375</v>
      </c>
      <c r="CT36" s="222" t="s">
        <v>44</v>
      </c>
      <c r="CU36" s="429">
        <v>4.68</v>
      </c>
      <c r="CV36" s="243" t="s">
        <v>46</v>
      </c>
      <c r="CW36" s="413">
        <v>0.82</v>
      </c>
      <c r="CX36" s="787" t="s">
        <v>43</v>
      </c>
      <c r="CY36" s="787">
        <v>0.9</v>
      </c>
      <c r="CZ36" s="414" t="s">
        <v>44</v>
      </c>
      <c r="DA36" s="414">
        <v>1</v>
      </c>
      <c r="DB36" s="415" t="s">
        <v>46</v>
      </c>
      <c r="DC36" s="415">
        <v>0.81</v>
      </c>
      <c r="DD36" s="412" t="s">
        <v>371</v>
      </c>
      <c r="DE36" s="412">
        <v>0.87</v>
      </c>
      <c r="DF36" s="415" t="s">
        <v>44</v>
      </c>
      <c r="DG36" s="415">
        <v>1</v>
      </c>
      <c r="DH36" s="415" t="s">
        <v>44</v>
      </c>
      <c r="DI36" s="415">
        <v>1</v>
      </c>
      <c r="DJ36" s="415" t="s">
        <v>43</v>
      </c>
      <c r="DK36" s="415">
        <v>0.87</v>
      </c>
      <c r="DL36" s="415" t="s">
        <v>44</v>
      </c>
      <c r="DM36" s="416" t="s">
        <v>44</v>
      </c>
      <c r="DN36" s="228">
        <v>0.01</v>
      </c>
      <c r="DO36" s="416" t="s">
        <v>44</v>
      </c>
      <c r="DP36" s="228">
        <v>0.01</v>
      </c>
      <c r="DQ36" s="416" t="s">
        <v>43</v>
      </c>
      <c r="DR36" s="435">
        <v>1.12</v>
      </c>
      <c r="DS36" s="417" t="s">
        <v>45</v>
      </c>
      <c r="DT36" s="222" t="s">
        <v>372</v>
      </c>
      <c r="DU36" s="222">
        <v>0.88</v>
      </c>
      <c r="DV36" s="222" t="s">
        <v>372</v>
      </c>
      <c r="DW36" s="222">
        <v>0.91</v>
      </c>
      <c r="DX36" s="222" t="s">
        <v>372</v>
      </c>
      <c r="DY36" s="443">
        <v>0.91</v>
      </c>
      <c r="DZ36" s="417" t="s">
        <v>44</v>
      </c>
      <c r="EA36" s="417">
        <v>1</v>
      </c>
      <c r="EB36" s="417" t="s">
        <v>43</v>
      </c>
      <c r="EC36" s="417">
        <v>1.09</v>
      </c>
      <c r="ED36" s="417" t="s">
        <v>47</v>
      </c>
      <c r="EE36" s="417">
        <v>1</v>
      </c>
      <c r="EF36" s="417" t="s">
        <v>46</v>
      </c>
      <c r="EG36" s="99">
        <f t="shared" si="75"/>
        <v>4.025222237876008E-05</v>
      </c>
      <c r="EH36" s="99">
        <v>2.94</v>
      </c>
      <c r="EI36" s="99">
        <v>0.91</v>
      </c>
      <c r="EJ36" s="99">
        <f t="shared" si="76"/>
        <v>20.689999999999998</v>
      </c>
      <c r="EK36" s="99">
        <f t="shared" si="36"/>
        <v>1.1169</v>
      </c>
      <c r="EL36" s="444">
        <f t="shared" si="77"/>
        <v>4031.8780823</v>
      </c>
      <c r="EM36" s="444">
        <f t="shared" si="37"/>
        <v>10641.214689313612</v>
      </c>
      <c r="EN36" s="708">
        <f t="shared" si="38"/>
        <v>1.2592976677598768</v>
      </c>
      <c r="EO36" s="99">
        <f t="shared" si="78"/>
        <v>1500</v>
      </c>
      <c r="EP36" s="444">
        <f t="shared" si="79"/>
        <v>12</v>
      </c>
      <c r="EQ36" s="444">
        <f t="shared" si="39"/>
        <v>0.32138</v>
      </c>
      <c r="ER36" s="444">
        <f t="shared" si="40"/>
        <v>3.111581305619516</v>
      </c>
      <c r="ES36" s="444">
        <f t="shared" si="41"/>
        <v>3.2697547683923704</v>
      </c>
      <c r="ET36" s="444">
        <f t="shared" si="42"/>
        <v>39.89843133782699</v>
      </c>
      <c r="EU36" s="708">
        <f t="shared" si="43"/>
        <v>39.89843133782699</v>
      </c>
      <c r="EV36" s="99">
        <f t="shared" si="44"/>
        <v>357</v>
      </c>
      <c r="EW36" s="444">
        <f t="shared" si="45"/>
        <v>347</v>
      </c>
      <c r="EX36" s="712"/>
      <c r="EY36" s="99"/>
      <c r="EZ36" s="99"/>
      <c r="FA36" s="99"/>
      <c r="FB36" s="99"/>
      <c r="FC36" s="99"/>
      <c r="FD36" s="99"/>
      <c r="FE36" s="99"/>
      <c r="FF36" s="99"/>
      <c r="FG36" s="99"/>
      <c r="FH36" s="99"/>
      <c r="FI36" s="99"/>
      <c r="FJ36" s="99"/>
      <c r="FK36" s="99"/>
      <c r="FL36" s="99"/>
      <c r="FM36" s="99"/>
      <c r="FN36" s="99"/>
      <c r="FO36" s="390"/>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390"/>
    </row>
    <row r="37" spans="1:229" s="244" customFormat="1" ht="15.75" customHeight="1">
      <c r="A37" s="220" t="s">
        <v>181</v>
      </c>
      <c r="B37" s="220" t="s">
        <v>181</v>
      </c>
      <c r="C37" s="317" t="s">
        <v>44</v>
      </c>
      <c r="D37" s="317">
        <v>3</v>
      </c>
      <c r="E37" s="374" t="s">
        <v>41</v>
      </c>
      <c r="F37" s="223" t="s">
        <v>40</v>
      </c>
      <c r="G37" s="224">
        <v>1500</v>
      </c>
      <c r="H37" s="224">
        <v>625</v>
      </c>
      <c r="I37" s="225">
        <f t="shared" si="80"/>
        <v>0.5833333333333334</v>
      </c>
      <c r="J37" s="221">
        <v>125</v>
      </c>
      <c r="K37" s="245">
        <v>2707.57</v>
      </c>
      <c r="L37" s="227">
        <f t="shared" si="1"/>
        <v>32819.0245597</v>
      </c>
      <c r="M37" s="227">
        <f t="shared" si="2"/>
        <v>27075.7</v>
      </c>
      <c r="N37" s="227">
        <f t="shared" si="3"/>
        <v>5743.3245597000005</v>
      </c>
      <c r="O37" s="225">
        <f t="shared" si="4"/>
        <v>26639.858615599685</v>
      </c>
      <c r="P37" s="227">
        <f t="shared" si="67"/>
        <v>26.639858615599685</v>
      </c>
      <c r="Q37" s="225">
        <f t="shared" si="68"/>
        <v>1112.5093071084748</v>
      </c>
      <c r="R37" s="238">
        <v>20</v>
      </c>
      <c r="S37" s="228">
        <f t="shared" si="5"/>
        <v>6563.804911940001</v>
      </c>
      <c r="T37" s="222">
        <v>4</v>
      </c>
      <c r="U37" s="222">
        <v>1.5</v>
      </c>
      <c r="V37" s="222">
        <f t="shared" si="6"/>
        <v>0.058600000000000006</v>
      </c>
      <c r="W37" s="222">
        <v>1</v>
      </c>
      <c r="X37" s="229">
        <f t="shared" si="69"/>
        <v>384.6389678396841</v>
      </c>
      <c r="Y37" s="325">
        <v>10</v>
      </c>
      <c r="Z37" s="229">
        <f t="shared" si="7"/>
        <v>2663.9858615599687</v>
      </c>
      <c r="AA37" s="222">
        <v>10</v>
      </c>
      <c r="AB37" s="228">
        <f t="shared" si="8"/>
        <v>2663.9858615599687</v>
      </c>
      <c r="AC37" s="222" t="s">
        <v>44</v>
      </c>
      <c r="AD37" s="222">
        <v>30</v>
      </c>
      <c r="AE37" s="222" t="s">
        <v>47</v>
      </c>
      <c r="AF37" s="222">
        <v>0.6</v>
      </c>
      <c r="AG37" s="229">
        <f t="shared" si="70"/>
        <v>3143.503316640763</v>
      </c>
      <c r="AH37" s="229">
        <f t="shared" si="9"/>
        <v>19510</v>
      </c>
      <c r="AI37" s="229">
        <f t="shared" si="71"/>
        <v>29110</v>
      </c>
      <c r="AJ37" s="230">
        <f t="shared" si="28"/>
        <v>-0.4920553562275756</v>
      </c>
      <c r="AK37" s="231">
        <v>10</v>
      </c>
      <c r="AL37" s="232">
        <v>28</v>
      </c>
      <c r="AM37" s="379">
        <f t="shared" si="81"/>
        <v>1.3006666666666666</v>
      </c>
      <c r="AN37" s="233">
        <f t="shared" si="82"/>
        <v>4.6576</v>
      </c>
      <c r="AO37" s="801">
        <f t="shared" si="29"/>
        <v>-2.580932854946182</v>
      </c>
      <c r="AP37" s="758"/>
      <c r="AQ37" s="760">
        <v>1951</v>
      </c>
      <c r="AR37" s="224">
        <f>SUM(AP37,AQ37)</f>
        <v>1951</v>
      </c>
      <c r="AS37" s="226"/>
      <c r="AT37" s="240">
        <v>2911</v>
      </c>
      <c r="AU37" s="235">
        <f t="shared" si="13"/>
        <v>2911</v>
      </c>
      <c r="AV37" s="225">
        <f t="shared" si="72"/>
        <v>0.3297835795259361</v>
      </c>
      <c r="AW37" s="365">
        <f>39.5+19.8</f>
        <v>59.3</v>
      </c>
      <c r="AX37" s="360">
        <f t="shared" si="30"/>
        <v>11.86</v>
      </c>
      <c r="AY37" s="236">
        <v>3</v>
      </c>
      <c r="AZ37" s="236">
        <v>30</v>
      </c>
      <c r="BA37" s="221">
        <v>12.5</v>
      </c>
      <c r="BB37" s="221">
        <v>9</v>
      </c>
      <c r="BC37" s="236">
        <v>20</v>
      </c>
      <c r="BD37" s="232">
        <f t="shared" si="83"/>
        <v>13.654463667657451</v>
      </c>
      <c r="BE37" s="221">
        <v>0</v>
      </c>
      <c r="BF37" s="221">
        <v>0</v>
      </c>
      <c r="BG37" s="237">
        <f t="shared" si="31"/>
        <v>0</v>
      </c>
      <c r="BH37" s="222">
        <v>27</v>
      </c>
      <c r="BI37" s="222">
        <v>20</v>
      </c>
      <c r="BJ37" s="229">
        <f t="shared" si="32"/>
        <v>7</v>
      </c>
      <c r="BK37" s="221">
        <v>0</v>
      </c>
      <c r="BL37" s="221">
        <v>0</v>
      </c>
      <c r="BM37" s="238">
        <f t="shared" si="33"/>
        <v>0</v>
      </c>
      <c r="BN37" s="96">
        <f t="shared" si="34"/>
        <v>0.0010135188924835143</v>
      </c>
      <c r="BO37" s="221">
        <v>26</v>
      </c>
      <c r="BP37" s="239">
        <v>8</v>
      </c>
      <c r="BQ37" s="221">
        <v>0</v>
      </c>
      <c r="BR37" s="96">
        <f t="shared" si="15"/>
        <v>0.7714285714285715</v>
      </c>
      <c r="BS37" s="232">
        <f t="shared" si="84"/>
        <v>77.14285714285714</v>
      </c>
      <c r="BT37" s="232">
        <f t="shared" si="52"/>
        <v>0.7407407407407407</v>
      </c>
      <c r="BU37" s="221">
        <f t="shared" si="73"/>
        <v>5</v>
      </c>
      <c r="BV37" s="240">
        <v>37</v>
      </c>
      <c r="BW37" s="240">
        <v>37</v>
      </c>
      <c r="BX37" s="240">
        <f>IF(OR(ISBLANK(BV37),ISBLANK(BW37)),"",BV37/BW37)</f>
        <v>1</v>
      </c>
      <c r="BY37" s="221">
        <f t="shared" si="85"/>
        <v>3.7</v>
      </c>
      <c r="BZ37" s="71">
        <f t="shared" si="20"/>
        <v>0.1</v>
      </c>
      <c r="CA37" s="694"/>
      <c r="CB37" s="694"/>
      <c r="CC37" s="245">
        <v>29</v>
      </c>
      <c r="CD37" s="247">
        <v>100</v>
      </c>
      <c r="CE37" s="238">
        <v>0</v>
      </c>
      <c r="CF37" s="242">
        <v>100</v>
      </c>
      <c r="CG37" s="221">
        <v>9</v>
      </c>
      <c r="CH37" s="221">
        <v>6</v>
      </c>
      <c r="CI37" s="237">
        <f t="shared" si="74"/>
        <v>15</v>
      </c>
      <c r="CJ37" s="221">
        <v>5</v>
      </c>
      <c r="CK37" s="412" t="s">
        <v>46</v>
      </c>
      <c r="CL37" s="412">
        <v>6.2</v>
      </c>
      <c r="CM37" s="222" t="s">
        <v>42</v>
      </c>
      <c r="CN37" s="222">
        <v>0</v>
      </c>
      <c r="CO37" s="222" t="s">
        <v>369</v>
      </c>
      <c r="CP37" s="222">
        <v>7.07</v>
      </c>
      <c r="CQ37" s="222" t="s">
        <v>45</v>
      </c>
      <c r="CR37" s="222">
        <v>1.1</v>
      </c>
      <c r="CS37" s="220" t="s">
        <v>374</v>
      </c>
      <c r="CT37" s="222" t="s">
        <v>44</v>
      </c>
      <c r="CU37" s="429">
        <v>4.68</v>
      </c>
      <c r="CV37" s="243" t="s">
        <v>43</v>
      </c>
      <c r="CW37" s="413">
        <v>0.92</v>
      </c>
      <c r="CX37" s="787" t="s">
        <v>43</v>
      </c>
      <c r="CY37" s="787">
        <v>0.9</v>
      </c>
      <c r="CZ37" s="414" t="s">
        <v>47</v>
      </c>
      <c r="DA37" s="414">
        <v>1.07</v>
      </c>
      <c r="DB37" s="243" t="s">
        <v>43</v>
      </c>
      <c r="DC37" s="243">
        <v>0.91</v>
      </c>
      <c r="DD37" s="412" t="s">
        <v>371</v>
      </c>
      <c r="DE37" s="412">
        <v>0.87</v>
      </c>
      <c r="DF37" s="415" t="s">
        <v>44</v>
      </c>
      <c r="DG37" s="415">
        <v>1</v>
      </c>
      <c r="DH37" s="415" t="s">
        <v>44</v>
      </c>
      <c r="DI37" s="415">
        <v>1</v>
      </c>
      <c r="DJ37" s="415" t="s">
        <v>43</v>
      </c>
      <c r="DK37" s="415">
        <v>0.87</v>
      </c>
      <c r="DL37" s="415" t="s">
        <v>44</v>
      </c>
      <c r="DM37" s="416" t="s">
        <v>44</v>
      </c>
      <c r="DN37" s="228">
        <v>0.01</v>
      </c>
      <c r="DO37" s="416" t="s">
        <v>44</v>
      </c>
      <c r="DP37" s="228">
        <v>0.01</v>
      </c>
      <c r="DQ37" s="416" t="s">
        <v>43</v>
      </c>
      <c r="DR37" s="435">
        <v>1.12</v>
      </c>
      <c r="DS37" s="417" t="s">
        <v>45</v>
      </c>
      <c r="DT37" s="222" t="s">
        <v>372</v>
      </c>
      <c r="DU37" s="222">
        <v>0.88</v>
      </c>
      <c r="DV37" s="222" t="s">
        <v>372</v>
      </c>
      <c r="DW37" s="222">
        <v>0.91</v>
      </c>
      <c r="DX37" s="222" t="s">
        <v>372</v>
      </c>
      <c r="DY37" s="443">
        <v>0.91</v>
      </c>
      <c r="DZ37" s="417" t="s">
        <v>44</v>
      </c>
      <c r="EA37" s="417">
        <v>1</v>
      </c>
      <c r="EB37" s="417" t="s">
        <v>43</v>
      </c>
      <c r="EC37" s="417">
        <v>1.09</v>
      </c>
      <c r="ED37" s="417" t="s">
        <v>47</v>
      </c>
      <c r="EE37" s="417">
        <v>1</v>
      </c>
      <c r="EF37" s="417" t="s">
        <v>46</v>
      </c>
      <c r="EG37" s="99">
        <f t="shared" si="75"/>
        <v>5.428801839172359E-05</v>
      </c>
      <c r="EH37" s="99">
        <v>2.94</v>
      </c>
      <c r="EI37" s="99">
        <v>0.91</v>
      </c>
      <c r="EJ37" s="99">
        <f t="shared" si="76"/>
        <v>20.89</v>
      </c>
      <c r="EK37" s="99">
        <f t="shared" si="36"/>
        <v>1.1189</v>
      </c>
      <c r="EL37" s="444">
        <f t="shared" si="77"/>
        <v>32819.0245597</v>
      </c>
      <c r="EM37" s="444">
        <f t="shared" si="37"/>
        <v>113003.79039818932</v>
      </c>
      <c r="EN37" s="708">
        <f t="shared" si="38"/>
        <v>18.036170443325855</v>
      </c>
      <c r="EO37" s="99">
        <f t="shared" si="78"/>
        <v>1500</v>
      </c>
      <c r="EP37" s="444">
        <f t="shared" si="79"/>
        <v>12</v>
      </c>
      <c r="EQ37" s="444">
        <f t="shared" si="39"/>
        <v>0.32178</v>
      </c>
      <c r="ER37" s="444">
        <f t="shared" si="40"/>
        <v>3.1077133445211014</v>
      </c>
      <c r="ES37" s="444">
        <f t="shared" si="41"/>
        <v>3.2697547683923704</v>
      </c>
      <c r="ET37" s="444">
        <f t="shared" si="42"/>
        <v>39.71601777787757</v>
      </c>
      <c r="EU37" s="708">
        <f t="shared" si="43"/>
        <v>39.71601777787757</v>
      </c>
      <c r="EV37" s="99">
        <f t="shared" si="44"/>
        <v>1951</v>
      </c>
      <c r="EW37" s="444">
        <f t="shared" si="45"/>
        <v>2911</v>
      </c>
      <c r="EX37" s="712"/>
      <c r="EY37" s="99"/>
      <c r="EZ37" s="99"/>
      <c r="FA37" s="99"/>
      <c r="FB37" s="99"/>
      <c r="FC37" s="99"/>
      <c r="FD37" s="99"/>
      <c r="FE37" s="99"/>
      <c r="FF37" s="99"/>
      <c r="FG37" s="99"/>
      <c r="FH37" s="99"/>
      <c r="FI37" s="99"/>
      <c r="FJ37" s="99"/>
      <c r="FK37" s="99"/>
      <c r="FL37" s="99"/>
      <c r="FM37" s="99"/>
      <c r="FN37" s="99"/>
      <c r="FO37" s="390"/>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390"/>
    </row>
    <row r="38" spans="1:229" s="244" customFormat="1" ht="15.75" customHeight="1">
      <c r="A38" s="248" t="s">
        <v>182</v>
      </c>
      <c r="B38" s="248" t="s">
        <v>182</v>
      </c>
      <c r="C38" s="317" t="s">
        <v>44</v>
      </c>
      <c r="D38" s="317">
        <v>3</v>
      </c>
      <c r="E38" s="374" t="s">
        <v>41</v>
      </c>
      <c r="F38" s="223" t="s">
        <v>40</v>
      </c>
      <c r="G38" s="224">
        <v>1500</v>
      </c>
      <c r="H38" s="224">
        <v>625</v>
      </c>
      <c r="I38" s="225">
        <f t="shared" si="80"/>
        <v>0.5833333333333334</v>
      </c>
      <c r="J38" s="221">
        <v>125</v>
      </c>
      <c r="K38" s="240">
        <v>8170.48</v>
      </c>
      <c r="L38" s="227">
        <f t="shared" si="1"/>
        <v>99036.10388079999</v>
      </c>
      <c r="M38" s="227">
        <f t="shared" si="2"/>
        <v>81704.79999999999</v>
      </c>
      <c r="N38" s="227">
        <f t="shared" si="3"/>
        <v>17331.3038808</v>
      </c>
      <c r="O38" s="225">
        <f t="shared" si="4"/>
        <v>80389.58624212297</v>
      </c>
      <c r="P38" s="227">
        <f t="shared" si="67"/>
        <v>80.38958624212297</v>
      </c>
      <c r="Q38" s="225">
        <f t="shared" si="68"/>
        <v>3357.156063755932</v>
      </c>
      <c r="R38" s="238">
        <v>20</v>
      </c>
      <c r="S38" s="228">
        <f t="shared" si="5"/>
        <v>19807.22077616</v>
      </c>
      <c r="T38" s="222">
        <v>4</v>
      </c>
      <c r="U38" s="222">
        <v>1.5</v>
      </c>
      <c r="V38" s="222">
        <f t="shared" si="6"/>
        <v>0.058600000000000006</v>
      </c>
      <c r="W38" s="222">
        <v>1</v>
      </c>
      <c r="X38" s="229">
        <f t="shared" si="69"/>
        <v>1160.7031374829762</v>
      </c>
      <c r="Y38" s="325">
        <v>10</v>
      </c>
      <c r="Z38" s="229">
        <f t="shared" si="7"/>
        <v>8038.958624212297</v>
      </c>
      <c r="AA38" s="222">
        <v>10</v>
      </c>
      <c r="AB38" s="228">
        <f t="shared" si="8"/>
        <v>8038.958624212297</v>
      </c>
      <c r="AC38" s="222" t="s">
        <v>44</v>
      </c>
      <c r="AD38" s="222">
        <v>30</v>
      </c>
      <c r="AE38" s="222" t="s">
        <v>47</v>
      </c>
      <c r="AF38" s="222">
        <v>0.6</v>
      </c>
      <c r="AG38" s="229">
        <f t="shared" si="70"/>
        <v>9485.97117657051</v>
      </c>
      <c r="AH38" s="229">
        <f t="shared" si="9"/>
        <v>63400</v>
      </c>
      <c r="AI38" s="229">
        <f t="shared" si="71"/>
        <v>70175.41666666667</v>
      </c>
      <c r="AJ38" s="230">
        <f t="shared" si="28"/>
        <v>-0.10686777076761311</v>
      </c>
      <c r="AK38" s="231">
        <v>10</v>
      </c>
      <c r="AL38" s="232">
        <v>28</v>
      </c>
      <c r="AM38" s="379">
        <f t="shared" si="81"/>
        <v>4.226666666666667</v>
      </c>
      <c r="AN38" s="233">
        <f t="shared" si="82"/>
        <v>11.228066666666667</v>
      </c>
      <c r="AO38" s="801">
        <f t="shared" si="29"/>
        <v>-1.6564826498422713</v>
      </c>
      <c r="AP38" s="761">
        <v>0</v>
      </c>
      <c r="AQ38" s="760">
        <v>6340</v>
      </c>
      <c r="AR38" s="224">
        <f>SUM(AP38,AQ38)</f>
        <v>6340</v>
      </c>
      <c r="AS38" s="249">
        <v>0.5416666666666666</v>
      </c>
      <c r="AT38" s="240">
        <v>7017</v>
      </c>
      <c r="AU38" s="235">
        <f t="shared" si="13"/>
        <v>7017.541666666667</v>
      </c>
      <c r="AV38" s="225">
        <f t="shared" si="72"/>
        <v>0.09654971767178681</v>
      </c>
      <c r="AW38" s="365">
        <f>37.5+23.5</f>
        <v>61</v>
      </c>
      <c r="AX38" s="360">
        <f t="shared" si="30"/>
        <v>12.200000000000001</v>
      </c>
      <c r="AY38" s="236">
        <v>3</v>
      </c>
      <c r="AZ38" s="236">
        <v>30</v>
      </c>
      <c r="BA38" s="221">
        <v>12.5</v>
      </c>
      <c r="BB38" s="221">
        <v>9</v>
      </c>
      <c r="BC38" s="236">
        <v>20</v>
      </c>
      <c r="BD38" s="232">
        <f t="shared" si="83"/>
        <v>12.67974546405725</v>
      </c>
      <c r="BE38" s="221">
        <v>0</v>
      </c>
      <c r="BF38" s="221">
        <v>0</v>
      </c>
      <c r="BG38" s="237">
        <f t="shared" si="31"/>
        <v>0</v>
      </c>
      <c r="BH38" s="222">
        <v>115</v>
      </c>
      <c r="BI38" s="222">
        <v>73</v>
      </c>
      <c r="BJ38" s="229">
        <f t="shared" si="32"/>
        <v>42</v>
      </c>
      <c r="BK38" s="221">
        <v>0</v>
      </c>
      <c r="BL38" s="221">
        <v>0</v>
      </c>
      <c r="BM38" s="238">
        <f t="shared" si="33"/>
        <v>0</v>
      </c>
      <c r="BN38" s="96">
        <f t="shared" si="34"/>
        <v>0.0014305335476368166</v>
      </c>
      <c r="BO38" s="250">
        <v>26</v>
      </c>
      <c r="BP38" s="239">
        <v>5</v>
      </c>
      <c r="BQ38" s="221">
        <v>0</v>
      </c>
      <c r="BR38" s="96">
        <f t="shared" si="15"/>
        <v>0.9583333333333334</v>
      </c>
      <c r="BS38" s="232">
        <f t="shared" si="84"/>
        <v>95.83333333333333</v>
      </c>
      <c r="BT38" s="232">
        <f t="shared" si="52"/>
        <v>0.6347826086956522</v>
      </c>
      <c r="BU38" s="221">
        <f t="shared" si="73"/>
        <v>5</v>
      </c>
      <c r="BV38" s="245">
        <v>56</v>
      </c>
      <c r="BW38" s="245">
        <v>56</v>
      </c>
      <c r="BX38" s="240">
        <f>BV38/BW38</f>
        <v>1</v>
      </c>
      <c r="BY38" s="221">
        <f t="shared" si="85"/>
        <v>5.6</v>
      </c>
      <c r="BZ38" s="71">
        <f t="shared" si="20"/>
        <v>0.09999999999999999</v>
      </c>
      <c r="CA38" s="694"/>
      <c r="CB38" s="694"/>
      <c r="CC38" s="240">
        <v>32</v>
      </c>
      <c r="CD38" s="251">
        <v>100</v>
      </c>
      <c r="CE38" s="238">
        <v>0</v>
      </c>
      <c r="CF38" s="242">
        <v>100</v>
      </c>
      <c r="CG38" s="221">
        <v>9</v>
      </c>
      <c r="CH38" s="221">
        <v>6</v>
      </c>
      <c r="CI38" s="237">
        <f t="shared" si="74"/>
        <v>15</v>
      </c>
      <c r="CJ38" s="221">
        <v>5</v>
      </c>
      <c r="CK38" s="412" t="s">
        <v>46</v>
      </c>
      <c r="CL38" s="412">
        <v>6.2</v>
      </c>
      <c r="CM38" s="222" t="s">
        <v>42</v>
      </c>
      <c r="CN38" s="222">
        <v>0</v>
      </c>
      <c r="CO38" s="222" t="s">
        <v>369</v>
      </c>
      <c r="CP38" s="222">
        <v>7.07</v>
      </c>
      <c r="CQ38" s="222" t="s">
        <v>45</v>
      </c>
      <c r="CR38" s="222">
        <v>1.1</v>
      </c>
      <c r="CS38" s="248" t="s">
        <v>376</v>
      </c>
      <c r="CT38" s="222" t="s">
        <v>44</v>
      </c>
      <c r="CU38" s="429">
        <v>4.68</v>
      </c>
      <c r="CV38" s="413" t="s">
        <v>43</v>
      </c>
      <c r="CW38" s="413">
        <v>0.92</v>
      </c>
      <c r="CX38" s="787" t="s">
        <v>47</v>
      </c>
      <c r="CY38" s="787">
        <v>1.14</v>
      </c>
      <c r="CZ38" s="414" t="s">
        <v>45</v>
      </c>
      <c r="DA38" s="414">
        <v>1.15</v>
      </c>
      <c r="DB38" s="413" t="s">
        <v>43</v>
      </c>
      <c r="DC38" s="243">
        <v>0.91</v>
      </c>
      <c r="DD38" s="412" t="s">
        <v>371</v>
      </c>
      <c r="DE38" s="412">
        <v>0.87</v>
      </c>
      <c r="DF38" s="415" t="s">
        <v>44</v>
      </c>
      <c r="DG38" s="415">
        <v>1</v>
      </c>
      <c r="DH38" s="415" t="s">
        <v>44</v>
      </c>
      <c r="DI38" s="415">
        <v>1</v>
      </c>
      <c r="DJ38" s="415" t="s">
        <v>43</v>
      </c>
      <c r="DK38" s="415">
        <v>0.87</v>
      </c>
      <c r="DL38" s="415" t="s">
        <v>44</v>
      </c>
      <c r="DM38" s="416" t="s">
        <v>44</v>
      </c>
      <c r="DN38" s="228">
        <v>0.01</v>
      </c>
      <c r="DO38" s="416" t="s">
        <v>44</v>
      </c>
      <c r="DP38" s="228">
        <v>0.01</v>
      </c>
      <c r="DQ38" s="416" t="s">
        <v>43</v>
      </c>
      <c r="DR38" s="435">
        <v>1.12</v>
      </c>
      <c r="DS38" s="417" t="s">
        <v>45</v>
      </c>
      <c r="DT38" s="222" t="s">
        <v>372</v>
      </c>
      <c r="DU38" s="222">
        <v>0.88</v>
      </c>
      <c r="DV38" s="222" t="s">
        <v>372</v>
      </c>
      <c r="DW38" s="222">
        <v>0.91</v>
      </c>
      <c r="DX38" s="222" t="s">
        <v>372</v>
      </c>
      <c r="DY38" s="443">
        <v>0.91</v>
      </c>
      <c r="DZ38" s="417" t="s">
        <v>44</v>
      </c>
      <c r="EA38" s="417">
        <v>1</v>
      </c>
      <c r="EB38" s="417" t="s">
        <v>43</v>
      </c>
      <c r="EC38" s="417">
        <v>1.09</v>
      </c>
      <c r="ED38" s="417" t="s">
        <v>47</v>
      </c>
      <c r="EE38" s="417">
        <v>1</v>
      </c>
      <c r="EF38" s="417" t="s">
        <v>46</v>
      </c>
      <c r="EG38" s="99">
        <f t="shared" si="75"/>
        <v>7.39061184958978E-05</v>
      </c>
      <c r="EH38" s="99">
        <v>2.94</v>
      </c>
      <c r="EI38" s="99">
        <v>0.91</v>
      </c>
      <c r="EJ38" s="99">
        <f t="shared" si="76"/>
        <v>20.89</v>
      </c>
      <c r="EK38" s="99">
        <f t="shared" si="36"/>
        <v>1.1189</v>
      </c>
      <c r="EL38" s="444">
        <f t="shared" si="77"/>
        <v>99036.10388079999</v>
      </c>
      <c r="EM38" s="444">
        <f t="shared" si="37"/>
        <v>388860.11421704135</v>
      </c>
      <c r="EN38" s="708">
        <f t="shared" si="38"/>
        <v>84.49307653817985</v>
      </c>
      <c r="EO38" s="99">
        <f t="shared" si="78"/>
        <v>1500</v>
      </c>
      <c r="EP38" s="444">
        <f t="shared" si="79"/>
        <v>12</v>
      </c>
      <c r="EQ38" s="444">
        <f t="shared" si="39"/>
        <v>0.32178</v>
      </c>
      <c r="ER38" s="444">
        <f t="shared" si="40"/>
        <v>3.1077133445211014</v>
      </c>
      <c r="ES38" s="444">
        <f t="shared" si="41"/>
        <v>3.2697547683923704</v>
      </c>
      <c r="ET38" s="444">
        <f t="shared" si="42"/>
        <v>39.71601777787757</v>
      </c>
      <c r="EU38" s="708">
        <f t="shared" si="43"/>
        <v>39.71601777787757</v>
      </c>
      <c r="EV38" s="99">
        <f t="shared" si="44"/>
        <v>6340</v>
      </c>
      <c r="EW38" s="444">
        <f t="shared" si="45"/>
        <v>7017.541666666667</v>
      </c>
      <c r="EX38" s="712"/>
      <c r="EY38" s="99"/>
      <c r="EZ38" s="99"/>
      <c r="FA38" s="99"/>
      <c r="FB38" s="99"/>
      <c r="FC38" s="99"/>
      <c r="FD38" s="99"/>
      <c r="FE38" s="99"/>
      <c r="FF38" s="99"/>
      <c r="FG38" s="99"/>
      <c r="FH38" s="99"/>
      <c r="FI38" s="99"/>
      <c r="FJ38" s="99"/>
      <c r="FK38" s="99"/>
      <c r="FL38" s="99"/>
      <c r="FM38" s="99"/>
      <c r="FN38" s="99"/>
      <c r="FO38" s="390"/>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390"/>
    </row>
    <row r="39" spans="1:229" s="244" customFormat="1" ht="15.75" customHeight="1">
      <c r="A39" s="248" t="s">
        <v>94</v>
      </c>
      <c r="B39" s="248" t="s">
        <v>94</v>
      </c>
      <c r="C39" s="317" t="s">
        <v>44</v>
      </c>
      <c r="D39" s="317">
        <v>3</v>
      </c>
      <c r="E39" s="374" t="s">
        <v>41</v>
      </c>
      <c r="F39" s="223" t="s">
        <v>40</v>
      </c>
      <c r="G39" s="224">
        <v>1500</v>
      </c>
      <c r="H39" s="224">
        <v>625</v>
      </c>
      <c r="I39" s="225">
        <f t="shared" si="80"/>
        <v>0.5833333333333334</v>
      </c>
      <c r="J39" s="221">
        <v>125</v>
      </c>
      <c r="K39" s="240">
        <v>921.87</v>
      </c>
      <c r="L39" s="227">
        <f t="shared" si="1"/>
        <v>11174.1798627</v>
      </c>
      <c r="M39" s="227">
        <f t="shared" si="2"/>
        <v>9218.7</v>
      </c>
      <c r="N39" s="227">
        <f t="shared" si="3"/>
        <v>1955.4798627000002</v>
      </c>
      <c r="O39" s="225">
        <f t="shared" si="4"/>
        <v>9070.305278150845</v>
      </c>
      <c r="P39" s="227">
        <f t="shared" si="67"/>
        <v>9.070305278150846</v>
      </c>
      <c r="Q39" s="225">
        <f t="shared" si="68"/>
        <v>378.78575805762716</v>
      </c>
      <c r="R39" s="238">
        <v>20</v>
      </c>
      <c r="S39" s="228">
        <f t="shared" si="5"/>
        <v>2234.83597254</v>
      </c>
      <c r="T39" s="222">
        <v>4</v>
      </c>
      <c r="U39" s="222">
        <v>1.5</v>
      </c>
      <c r="V39" s="222">
        <f t="shared" si="6"/>
        <v>0.058600000000000006</v>
      </c>
      <c r="W39" s="222">
        <v>1</v>
      </c>
      <c r="X39" s="229">
        <f t="shared" si="69"/>
        <v>130.96138799084403</v>
      </c>
      <c r="Y39" s="325">
        <v>10</v>
      </c>
      <c r="Z39" s="229">
        <f t="shared" si="7"/>
        <v>907.0305278150845</v>
      </c>
      <c r="AA39" s="222">
        <v>10</v>
      </c>
      <c r="AB39" s="228">
        <f t="shared" si="8"/>
        <v>907.0305278150845</v>
      </c>
      <c r="AC39" s="222" t="s">
        <v>44</v>
      </c>
      <c r="AD39" s="222">
        <v>30</v>
      </c>
      <c r="AE39" s="222" t="s">
        <v>47</v>
      </c>
      <c r="AF39" s="222">
        <v>0.6</v>
      </c>
      <c r="AG39" s="229">
        <f t="shared" si="70"/>
        <v>1070.2960228217996</v>
      </c>
      <c r="AH39" s="229">
        <f t="shared" si="9"/>
        <v>9005</v>
      </c>
      <c r="AI39" s="229">
        <f t="shared" si="71"/>
        <v>15081.472222222219</v>
      </c>
      <c r="AJ39" s="230">
        <f t="shared" si="28"/>
        <v>-0.6747886976371148</v>
      </c>
      <c r="AK39" s="231">
        <v>10</v>
      </c>
      <c r="AL39" s="232">
        <v>28</v>
      </c>
      <c r="AM39" s="379">
        <f t="shared" si="81"/>
        <v>0.6003333333333334</v>
      </c>
      <c r="AN39" s="233">
        <f t="shared" si="82"/>
        <v>2.413035555555555</v>
      </c>
      <c r="AO39" s="801">
        <f t="shared" si="29"/>
        <v>-3.0194928743290754</v>
      </c>
      <c r="AP39" s="762">
        <v>284.5</v>
      </c>
      <c r="AQ39" s="762">
        <v>616</v>
      </c>
      <c r="AR39" s="224">
        <f>SUM(AP39,AQ39)</f>
        <v>900.5</v>
      </c>
      <c r="AS39" s="234">
        <v>686.147222222222</v>
      </c>
      <c r="AT39" s="234">
        <v>822</v>
      </c>
      <c r="AU39" s="235">
        <f t="shared" si="13"/>
        <v>1508.147222222222</v>
      </c>
      <c r="AV39" s="225">
        <f t="shared" si="72"/>
        <v>0.4029097512952794</v>
      </c>
      <c r="AW39" s="366">
        <f>25.1+39.9</f>
        <v>65</v>
      </c>
      <c r="AX39" s="360">
        <f t="shared" si="30"/>
        <v>13</v>
      </c>
      <c r="AY39" s="236">
        <v>3</v>
      </c>
      <c r="AZ39" s="236">
        <v>30</v>
      </c>
      <c r="BA39" s="221">
        <v>12.5</v>
      </c>
      <c r="BB39" s="221">
        <v>9</v>
      </c>
      <c r="BC39" s="236">
        <v>20</v>
      </c>
      <c r="BD39" s="232">
        <f t="shared" si="83"/>
        <v>10.072521130650577</v>
      </c>
      <c r="BE39" s="221">
        <v>0</v>
      </c>
      <c r="BF39" s="221">
        <v>0</v>
      </c>
      <c r="BG39" s="237">
        <f t="shared" si="31"/>
        <v>0</v>
      </c>
      <c r="BH39" s="222">
        <v>19</v>
      </c>
      <c r="BI39" s="222">
        <v>13</v>
      </c>
      <c r="BJ39" s="229">
        <f t="shared" si="32"/>
        <v>6</v>
      </c>
      <c r="BK39" s="221">
        <v>0</v>
      </c>
      <c r="BL39" s="221">
        <v>0</v>
      </c>
      <c r="BM39" s="238">
        <f t="shared" si="33"/>
        <v>0</v>
      </c>
      <c r="BN39" s="96">
        <f t="shared" si="34"/>
        <v>0.002094747576552739</v>
      </c>
      <c r="BO39" s="250">
        <v>62</v>
      </c>
      <c r="BP39" s="239">
        <v>13</v>
      </c>
      <c r="BQ39" s="221">
        <v>0</v>
      </c>
      <c r="BR39" s="96">
        <f t="shared" si="15"/>
        <v>0.59375</v>
      </c>
      <c r="BS39" s="232">
        <f t="shared" si="84"/>
        <v>59.375</v>
      </c>
      <c r="BT39" s="232">
        <f t="shared" si="52"/>
        <v>0.6842105263157895</v>
      </c>
      <c r="BU39" s="221">
        <f t="shared" si="73"/>
        <v>5</v>
      </c>
      <c r="BV39" s="240">
        <v>24</v>
      </c>
      <c r="BW39" s="240">
        <v>24</v>
      </c>
      <c r="BX39" s="240">
        <f>BV39/BW39</f>
        <v>1</v>
      </c>
      <c r="BY39" s="221">
        <f t="shared" si="85"/>
        <v>2.4</v>
      </c>
      <c r="BZ39" s="71">
        <f t="shared" si="20"/>
        <v>0.09999999999999999</v>
      </c>
      <c r="CA39" s="694"/>
      <c r="CB39" s="694"/>
      <c r="CC39" s="240">
        <v>83</v>
      </c>
      <c r="CD39" s="251">
        <v>100</v>
      </c>
      <c r="CE39" s="238">
        <v>0</v>
      </c>
      <c r="CF39" s="242">
        <v>100</v>
      </c>
      <c r="CG39" s="221">
        <v>9</v>
      </c>
      <c r="CH39" s="221">
        <v>6</v>
      </c>
      <c r="CI39" s="237">
        <f t="shared" si="74"/>
        <v>15</v>
      </c>
      <c r="CJ39" s="221">
        <v>5</v>
      </c>
      <c r="CK39" s="412" t="s">
        <v>46</v>
      </c>
      <c r="CL39" s="412">
        <v>6.2</v>
      </c>
      <c r="CM39" s="222" t="s">
        <v>42</v>
      </c>
      <c r="CN39" s="222">
        <v>0</v>
      </c>
      <c r="CO39" s="222" t="s">
        <v>369</v>
      </c>
      <c r="CP39" s="222">
        <v>7.07</v>
      </c>
      <c r="CQ39" s="222" t="s">
        <v>45</v>
      </c>
      <c r="CR39" s="222">
        <v>1.1</v>
      </c>
      <c r="CS39" s="248" t="s">
        <v>94</v>
      </c>
      <c r="CT39" s="222" t="s">
        <v>44</v>
      </c>
      <c r="CU39" s="429">
        <v>4.68</v>
      </c>
      <c r="CV39" s="413" t="s">
        <v>43</v>
      </c>
      <c r="CW39" s="413">
        <v>0.92</v>
      </c>
      <c r="CX39" s="787" t="s">
        <v>47</v>
      </c>
      <c r="CY39" s="787">
        <v>1.14</v>
      </c>
      <c r="CZ39" s="414" t="s">
        <v>44</v>
      </c>
      <c r="DA39" s="414">
        <v>1</v>
      </c>
      <c r="DB39" s="413" t="s">
        <v>43</v>
      </c>
      <c r="DC39" s="243">
        <v>0.91</v>
      </c>
      <c r="DD39" s="412" t="s">
        <v>371</v>
      </c>
      <c r="DE39" s="412">
        <v>0.87</v>
      </c>
      <c r="DF39" s="415" t="s">
        <v>44</v>
      </c>
      <c r="DG39" s="415">
        <v>1</v>
      </c>
      <c r="DH39" s="415" t="s">
        <v>44</v>
      </c>
      <c r="DI39" s="415">
        <v>1</v>
      </c>
      <c r="DJ39" s="415" t="s">
        <v>43</v>
      </c>
      <c r="DK39" s="415">
        <v>0.87</v>
      </c>
      <c r="DL39" s="415" t="s">
        <v>44</v>
      </c>
      <c r="DM39" s="416" t="s">
        <v>44</v>
      </c>
      <c r="DN39" s="228">
        <v>0.01</v>
      </c>
      <c r="DO39" s="416" t="s">
        <v>44</v>
      </c>
      <c r="DP39" s="228">
        <v>0.01</v>
      </c>
      <c r="DQ39" s="416" t="s">
        <v>43</v>
      </c>
      <c r="DR39" s="435">
        <v>1.12</v>
      </c>
      <c r="DS39" s="417" t="s">
        <v>45</v>
      </c>
      <c r="DT39" s="222" t="s">
        <v>372</v>
      </c>
      <c r="DU39" s="222">
        <v>0.88</v>
      </c>
      <c r="DV39" s="222" t="s">
        <v>372</v>
      </c>
      <c r="DW39" s="222">
        <v>0.91</v>
      </c>
      <c r="DX39" s="222" t="s">
        <v>372</v>
      </c>
      <c r="DY39" s="443">
        <v>0.91</v>
      </c>
      <c r="DZ39" s="417" t="s">
        <v>44</v>
      </c>
      <c r="EA39" s="417">
        <v>1</v>
      </c>
      <c r="EB39" s="417" t="s">
        <v>43</v>
      </c>
      <c r="EC39" s="417">
        <v>1.09</v>
      </c>
      <c r="ED39" s="417" t="s">
        <v>47</v>
      </c>
      <c r="EE39" s="417">
        <v>1</v>
      </c>
      <c r="EF39" s="417" t="s">
        <v>46</v>
      </c>
      <c r="EG39" s="99">
        <f t="shared" si="75"/>
        <v>6.426618999643289E-05</v>
      </c>
      <c r="EH39" s="99">
        <v>2.94</v>
      </c>
      <c r="EI39" s="99">
        <v>0.91</v>
      </c>
      <c r="EJ39" s="99">
        <f t="shared" si="76"/>
        <v>20.89</v>
      </c>
      <c r="EK39" s="99">
        <f t="shared" si="36"/>
        <v>1.1189</v>
      </c>
      <c r="EL39" s="444">
        <f t="shared" si="77"/>
        <v>11174.1798627</v>
      </c>
      <c r="EM39" s="444">
        <f t="shared" si="37"/>
        <v>33849.20704351383</v>
      </c>
      <c r="EN39" s="708">
        <f t="shared" si="38"/>
        <v>6.395557138995939</v>
      </c>
      <c r="EO39" s="99">
        <f t="shared" si="78"/>
        <v>1500</v>
      </c>
      <c r="EP39" s="444">
        <f t="shared" si="79"/>
        <v>12</v>
      </c>
      <c r="EQ39" s="444">
        <f t="shared" si="39"/>
        <v>0.32178</v>
      </c>
      <c r="ER39" s="444">
        <f t="shared" si="40"/>
        <v>3.1077133445211014</v>
      </c>
      <c r="ES39" s="444">
        <f t="shared" si="41"/>
        <v>3.2697547683923704</v>
      </c>
      <c r="ET39" s="444">
        <f t="shared" si="42"/>
        <v>39.71601777787757</v>
      </c>
      <c r="EU39" s="708">
        <f t="shared" si="43"/>
        <v>39.71601777787757</v>
      </c>
      <c r="EV39" s="99">
        <f t="shared" si="44"/>
        <v>900.5</v>
      </c>
      <c r="EW39" s="444">
        <f t="shared" si="45"/>
        <v>1508.147222222222</v>
      </c>
      <c r="EX39" s="712"/>
      <c r="EY39" s="99"/>
      <c r="EZ39" s="99"/>
      <c r="FA39" s="99"/>
      <c r="FB39" s="99"/>
      <c r="FC39" s="99"/>
      <c r="FD39" s="99"/>
      <c r="FE39" s="99"/>
      <c r="FF39" s="99"/>
      <c r="FG39" s="99"/>
      <c r="FH39" s="99"/>
      <c r="FI39" s="99"/>
      <c r="FJ39" s="99"/>
      <c r="FK39" s="99"/>
      <c r="FL39" s="99"/>
      <c r="FM39" s="99"/>
      <c r="FN39" s="99"/>
      <c r="FO39" s="390"/>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390"/>
    </row>
    <row r="40" spans="1:229" s="244" customFormat="1" ht="15.75" customHeight="1">
      <c r="A40" s="248" t="s">
        <v>183</v>
      </c>
      <c r="B40" s="248" t="s">
        <v>183</v>
      </c>
      <c r="C40" s="317" t="s">
        <v>44</v>
      </c>
      <c r="D40" s="317">
        <v>3</v>
      </c>
      <c r="E40" s="374" t="s">
        <v>41</v>
      </c>
      <c r="F40" s="223" t="s">
        <v>40</v>
      </c>
      <c r="G40" s="224">
        <v>1500</v>
      </c>
      <c r="H40" s="224">
        <v>625</v>
      </c>
      <c r="I40" s="225">
        <f t="shared" si="80"/>
        <v>0.5833333333333334</v>
      </c>
      <c r="J40" s="221">
        <v>125</v>
      </c>
      <c r="K40" s="240">
        <v>851.63</v>
      </c>
      <c r="L40" s="227">
        <f t="shared" si="1"/>
        <v>10322.7860723</v>
      </c>
      <c r="M40" s="227">
        <f t="shared" si="2"/>
        <v>8516.3</v>
      </c>
      <c r="N40" s="227">
        <f t="shared" si="3"/>
        <v>1806.4860723</v>
      </c>
      <c r="O40" s="225">
        <f t="shared" si="4"/>
        <v>8379.211910607357</v>
      </c>
      <c r="P40" s="227">
        <f t="shared" si="67"/>
        <v>8.379211910607356</v>
      </c>
      <c r="Q40" s="225">
        <f t="shared" si="68"/>
        <v>349.9249516033898</v>
      </c>
      <c r="R40" s="238">
        <v>20</v>
      </c>
      <c r="S40" s="228">
        <f t="shared" si="5"/>
        <v>2064.55721446</v>
      </c>
      <c r="T40" s="222">
        <v>4</v>
      </c>
      <c r="U40" s="222">
        <v>1.5</v>
      </c>
      <c r="V40" s="222">
        <f t="shared" si="6"/>
        <v>0.058600000000000006</v>
      </c>
      <c r="W40" s="222">
        <v>1</v>
      </c>
      <c r="X40" s="229">
        <f t="shared" si="69"/>
        <v>120.98305276735601</v>
      </c>
      <c r="Y40" s="325">
        <v>10</v>
      </c>
      <c r="Z40" s="229">
        <f t="shared" si="7"/>
        <v>837.9211910607357</v>
      </c>
      <c r="AA40" s="222">
        <v>10</v>
      </c>
      <c r="AB40" s="228">
        <f t="shared" si="8"/>
        <v>837.9211910607357</v>
      </c>
      <c r="AC40" s="222" t="s">
        <v>44</v>
      </c>
      <c r="AD40" s="222">
        <v>30</v>
      </c>
      <c r="AE40" s="222" t="s">
        <v>47</v>
      </c>
      <c r="AF40" s="222">
        <v>0.6</v>
      </c>
      <c r="AG40" s="229">
        <f t="shared" si="70"/>
        <v>988.7470054516681</v>
      </c>
      <c r="AH40" s="229">
        <f t="shared" si="9"/>
        <v>8091</v>
      </c>
      <c r="AI40" s="229">
        <f t="shared" si="71"/>
        <v>8936.699999999999</v>
      </c>
      <c r="AJ40" s="230">
        <f t="shared" si="28"/>
        <v>-0.10452354467927313</v>
      </c>
      <c r="AK40" s="231">
        <v>10</v>
      </c>
      <c r="AL40" s="232">
        <v>28</v>
      </c>
      <c r="AM40" s="379">
        <f t="shared" si="81"/>
        <v>0.5394</v>
      </c>
      <c r="AN40" s="233">
        <f t="shared" si="82"/>
        <v>1.429872</v>
      </c>
      <c r="AO40" s="801">
        <f t="shared" si="29"/>
        <v>-1.650856507230256</v>
      </c>
      <c r="AP40" s="761">
        <v>0.1</v>
      </c>
      <c r="AQ40" s="760">
        <v>809</v>
      </c>
      <c r="AR40" s="224">
        <f>SUM(AP40,AQ40)</f>
        <v>809.1</v>
      </c>
      <c r="AS40" s="243">
        <v>7.67</v>
      </c>
      <c r="AT40" s="252">
        <v>886</v>
      </c>
      <c r="AU40" s="235">
        <f t="shared" si="13"/>
        <v>893.67</v>
      </c>
      <c r="AV40" s="225">
        <f t="shared" si="72"/>
        <v>0.09463224680251092</v>
      </c>
      <c r="AW40" s="366">
        <f>25.1+39.9</f>
        <v>65</v>
      </c>
      <c r="AX40" s="360">
        <f t="shared" si="30"/>
        <v>13</v>
      </c>
      <c r="AY40" s="236">
        <v>3</v>
      </c>
      <c r="AZ40" s="236">
        <v>30</v>
      </c>
      <c r="BA40" s="221">
        <v>12.5</v>
      </c>
      <c r="BB40" s="221">
        <v>9</v>
      </c>
      <c r="BC40" s="236">
        <v>20</v>
      </c>
      <c r="BD40" s="232">
        <f t="shared" si="83"/>
        <v>10.356212965773523</v>
      </c>
      <c r="BE40" s="221">
        <v>0</v>
      </c>
      <c r="BF40" s="221">
        <v>0</v>
      </c>
      <c r="BG40" s="237">
        <f t="shared" si="31"/>
        <v>0</v>
      </c>
      <c r="BH40" s="222">
        <v>20</v>
      </c>
      <c r="BI40" s="222">
        <v>13</v>
      </c>
      <c r="BJ40" s="229">
        <f t="shared" si="32"/>
        <v>7</v>
      </c>
      <c r="BK40" s="221">
        <v>0</v>
      </c>
      <c r="BL40" s="221">
        <v>0</v>
      </c>
      <c r="BM40" s="238">
        <f t="shared" si="33"/>
        <v>0</v>
      </c>
      <c r="BN40" s="96">
        <f t="shared" si="34"/>
        <v>0.002386859314857729</v>
      </c>
      <c r="BO40" s="250">
        <v>16</v>
      </c>
      <c r="BP40" s="239">
        <v>6</v>
      </c>
      <c r="BQ40" s="221">
        <v>0</v>
      </c>
      <c r="BR40" s="96">
        <f t="shared" si="15"/>
        <v>0.7692307692307693</v>
      </c>
      <c r="BS40" s="232">
        <f t="shared" si="84"/>
        <v>76.92307692307692</v>
      </c>
      <c r="BT40" s="232">
        <f t="shared" si="52"/>
        <v>0.65</v>
      </c>
      <c r="BU40" s="221">
        <f t="shared" si="73"/>
        <v>5</v>
      </c>
      <c r="BV40" s="240">
        <v>25</v>
      </c>
      <c r="BW40" s="240">
        <v>25</v>
      </c>
      <c r="BX40" s="240">
        <f>BV40/BW40</f>
        <v>1</v>
      </c>
      <c r="BY40" s="221">
        <f t="shared" si="85"/>
        <v>2.5</v>
      </c>
      <c r="BZ40" s="71">
        <f t="shared" si="20"/>
        <v>0.1</v>
      </c>
      <c r="CA40" s="694"/>
      <c r="CB40" s="694"/>
      <c r="CC40" s="240">
        <v>22</v>
      </c>
      <c r="CD40" s="251">
        <v>100</v>
      </c>
      <c r="CE40" s="238">
        <v>0</v>
      </c>
      <c r="CF40" s="242">
        <v>100</v>
      </c>
      <c r="CG40" s="221">
        <v>9</v>
      </c>
      <c r="CH40" s="221">
        <v>6</v>
      </c>
      <c r="CI40" s="237">
        <f t="shared" si="74"/>
        <v>15</v>
      </c>
      <c r="CJ40" s="221">
        <v>5</v>
      </c>
      <c r="CK40" s="412" t="s">
        <v>46</v>
      </c>
      <c r="CL40" s="412">
        <v>6.2</v>
      </c>
      <c r="CM40" s="222" t="s">
        <v>42</v>
      </c>
      <c r="CN40" s="222">
        <v>0</v>
      </c>
      <c r="CO40" s="222" t="s">
        <v>369</v>
      </c>
      <c r="CP40" s="222">
        <v>7.07</v>
      </c>
      <c r="CQ40" s="222" t="s">
        <v>45</v>
      </c>
      <c r="CR40" s="222">
        <v>1.1</v>
      </c>
      <c r="CS40" s="248" t="s">
        <v>377</v>
      </c>
      <c r="CT40" s="222" t="s">
        <v>44</v>
      </c>
      <c r="CU40" s="429">
        <v>4.68</v>
      </c>
      <c r="CV40" s="413" t="s">
        <v>43</v>
      </c>
      <c r="CW40" s="413">
        <v>0.92</v>
      </c>
      <c r="CX40" s="787" t="s">
        <v>44</v>
      </c>
      <c r="CY40" s="787">
        <v>1</v>
      </c>
      <c r="CZ40" s="414" t="s">
        <v>47</v>
      </c>
      <c r="DA40" s="414">
        <v>1.07</v>
      </c>
      <c r="DB40" s="413" t="s">
        <v>43</v>
      </c>
      <c r="DC40" s="243">
        <v>0.91</v>
      </c>
      <c r="DD40" s="412" t="s">
        <v>371</v>
      </c>
      <c r="DE40" s="412">
        <v>0.87</v>
      </c>
      <c r="DF40" s="415" t="s">
        <v>44</v>
      </c>
      <c r="DG40" s="415">
        <v>1</v>
      </c>
      <c r="DH40" s="415" t="s">
        <v>44</v>
      </c>
      <c r="DI40" s="415">
        <v>1</v>
      </c>
      <c r="DJ40" s="415" t="s">
        <v>43</v>
      </c>
      <c r="DK40" s="415">
        <v>0.87</v>
      </c>
      <c r="DL40" s="415" t="s">
        <v>44</v>
      </c>
      <c r="DM40" s="416" t="s">
        <v>44</v>
      </c>
      <c r="DN40" s="228">
        <v>0.01</v>
      </c>
      <c r="DO40" s="416" t="s">
        <v>44</v>
      </c>
      <c r="DP40" s="228">
        <v>0.01</v>
      </c>
      <c r="DQ40" s="416" t="s">
        <v>43</v>
      </c>
      <c r="DR40" s="435">
        <v>1.12</v>
      </c>
      <c r="DS40" s="417" t="s">
        <v>45</v>
      </c>
      <c r="DT40" s="222" t="s">
        <v>372</v>
      </c>
      <c r="DU40" s="222">
        <v>0.88</v>
      </c>
      <c r="DV40" s="222" t="s">
        <v>372</v>
      </c>
      <c r="DW40" s="222">
        <v>0.91</v>
      </c>
      <c r="DX40" s="222" t="s">
        <v>372</v>
      </c>
      <c r="DY40" s="443">
        <v>0.91</v>
      </c>
      <c r="DZ40" s="417" t="s">
        <v>44</v>
      </c>
      <c r="EA40" s="417">
        <v>1</v>
      </c>
      <c r="EB40" s="417" t="s">
        <v>43</v>
      </c>
      <c r="EC40" s="417">
        <v>1.09</v>
      </c>
      <c r="ED40" s="417" t="s">
        <v>47</v>
      </c>
      <c r="EE40" s="417">
        <v>1</v>
      </c>
      <c r="EF40" s="417" t="s">
        <v>46</v>
      </c>
      <c r="EG40" s="99">
        <f t="shared" si="75"/>
        <v>6.032002043524842E-05</v>
      </c>
      <c r="EH40" s="99">
        <v>2.94</v>
      </c>
      <c r="EI40" s="99">
        <v>0.91</v>
      </c>
      <c r="EJ40" s="99">
        <f t="shared" si="76"/>
        <v>20.89</v>
      </c>
      <c r="EK40" s="99">
        <f t="shared" si="36"/>
        <v>1.1189</v>
      </c>
      <c r="EL40" s="444">
        <f t="shared" si="77"/>
        <v>10322.7860723</v>
      </c>
      <c r="EM40" s="444">
        <f t="shared" si="37"/>
        <v>30976.859205748187</v>
      </c>
      <c r="EN40" s="708">
        <f t="shared" si="38"/>
        <v>5.493462854112998</v>
      </c>
      <c r="EO40" s="99">
        <f t="shared" si="78"/>
        <v>1500</v>
      </c>
      <c r="EP40" s="444">
        <f t="shared" si="79"/>
        <v>12</v>
      </c>
      <c r="EQ40" s="444">
        <f t="shared" si="39"/>
        <v>0.32178</v>
      </c>
      <c r="ER40" s="444">
        <f t="shared" si="40"/>
        <v>3.1077133445211014</v>
      </c>
      <c r="ES40" s="444">
        <f t="shared" si="41"/>
        <v>3.2697547683923704</v>
      </c>
      <c r="ET40" s="444">
        <f t="shared" si="42"/>
        <v>39.71601777787757</v>
      </c>
      <c r="EU40" s="708">
        <f t="shared" si="43"/>
        <v>39.71601777787757</v>
      </c>
      <c r="EV40" s="99">
        <f t="shared" si="44"/>
        <v>809.1</v>
      </c>
      <c r="EW40" s="444">
        <f t="shared" si="45"/>
        <v>893.67</v>
      </c>
      <c r="EX40" s="712"/>
      <c r="EY40" s="99"/>
      <c r="EZ40" s="99"/>
      <c r="FA40" s="99"/>
      <c r="FB40" s="99"/>
      <c r="FC40" s="99"/>
      <c r="FD40" s="99"/>
      <c r="FE40" s="99"/>
      <c r="FF40" s="99"/>
      <c r="FG40" s="99"/>
      <c r="FH40" s="99"/>
      <c r="FI40" s="99"/>
      <c r="FJ40" s="99"/>
      <c r="FK40" s="99"/>
      <c r="FL40" s="99"/>
      <c r="FM40" s="99"/>
      <c r="FN40" s="99"/>
      <c r="FO40" s="390"/>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390"/>
    </row>
    <row r="41" spans="1:229" s="445" customFormat="1" ht="15.75" customHeight="1">
      <c r="A41" s="448"/>
      <c r="B41" s="448"/>
      <c r="C41" s="515"/>
      <c r="D41" s="515"/>
      <c r="E41" s="492"/>
      <c r="F41" s="494"/>
      <c r="G41" s="495"/>
      <c r="H41" s="495"/>
      <c r="I41" s="455"/>
      <c r="J41" s="496"/>
      <c r="K41" s="505"/>
      <c r="L41" s="498"/>
      <c r="M41" s="498"/>
      <c r="N41" s="498"/>
      <c r="O41" s="455"/>
      <c r="P41" s="498"/>
      <c r="Q41" s="455"/>
      <c r="R41" s="446"/>
      <c r="S41" s="499"/>
      <c r="T41" s="493"/>
      <c r="U41" s="493"/>
      <c r="V41" s="493"/>
      <c r="W41" s="493"/>
      <c r="X41" s="473"/>
      <c r="Y41" s="516"/>
      <c r="Z41" s="473"/>
      <c r="AA41" s="493"/>
      <c r="AB41" s="499"/>
      <c r="AC41" s="493"/>
      <c r="AD41" s="493"/>
      <c r="AE41" s="517"/>
      <c r="AF41" s="493"/>
      <c r="AG41" s="473"/>
      <c r="AH41" s="473"/>
      <c r="AI41" s="473"/>
      <c r="AJ41" s="462"/>
      <c r="AK41" s="500"/>
      <c r="AL41" s="477"/>
      <c r="AM41" s="466"/>
      <c r="AN41" s="465"/>
      <c r="AO41" s="467"/>
      <c r="AP41" s="763"/>
      <c r="AQ41" s="764"/>
      <c r="AR41" s="495"/>
      <c r="AS41" s="509"/>
      <c r="AT41" s="518"/>
      <c r="AU41" s="502"/>
      <c r="AV41" s="455"/>
      <c r="AW41" s="458"/>
      <c r="AX41" s="455"/>
      <c r="AY41" s="503"/>
      <c r="AZ41" s="503"/>
      <c r="BA41" s="496"/>
      <c r="BB41" s="496"/>
      <c r="BC41" s="503"/>
      <c r="BD41" s="477"/>
      <c r="BE41" s="496"/>
      <c r="BF41" s="496"/>
      <c r="BG41" s="472"/>
      <c r="BH41" s="493"/>
      <c r="BI41" s="493"/>
      <c r="BJ41" s="473"/>
      <c r="BK41" s="496"/>
      <c r="BL41" s="496"/>
      <c r="BM41" s="446"/>
      <c r="BN41" s="477"/>
      <c r="BO41" s="519"/>
      <c r="BP41" s="504"/>
      <c r="BQ41" s="496"/>
      <c r="BR41" s="477"/>
      <c r="BS41" s="477"/>
      <c r="BT41" s="477"/>
      <c r="BU41" s="496"/>
      <c r="BV41" s="505"/>
      <c r="BW41" s="505"/>
      <c r="BX41" s="505"/>
      <c r="BY41" s="496"/>
      <c r="BZ41" s="474"/>
      <c r="CA41" s="693"/>
      <c r="CB41" s="693"/>
      <c r="CC41" s="505"/>
      <c r="CD41" s="520"/>
      <c r="CE41" s="446"/>
      <c r="CF41" s="507"/>
      <c r="CG41" s="496"/>
      <c r="CH41" s="496"/>
      <c r="CI41" s="472"/>
      <c r="CJ41" s="496"/>
      <c r="CK41" s="508"/>
      <c r="CL41" s="508"/>
      <c r="CM41" s="493"/>
      <c r="CN41" s="493"/>
      <c r="CO41" s="493"/>
      <c r="CP41" s="493"/>
      <c r="CQ41" s="493"/>
      <c r="CR41" s="493"/>
      <c r="CS41" s="448"/>
      <c r="CT41" s="493"/>
      <c r="CU41" s="521"/>
      <c r="CV41" s="510"/>
      <c r="CW41" s="510"/>
      <c r="CX41" s="785"/>
      <c r="CY41" s="785"/>
      <c r="CZ41" s="486"/>
      <c r="DA41" s="486"/>
      <c r="DB41" s="510"/>
      <c r="DC41" s="509"/>
      <c r="DD41" s="508"/>
      <c r="DE41" s="508"/>
      <c r="DF41" s="511"/>
      <c r="DG41" s="511"/>
      <c r="DH41" s="511"/>
      <c r="DI41" s="511"/>
      <c r="DJ41" s="511"/>
      <c r="DK41" s="511"/>
      <c r="DL41" s="511"/>
      <c r="DM41" s="512"/>
      <c r="DN41" s="499"/>
      <c r="DO41" s="512"/>
      <c r="DP41" s="499"/>
      <c r="DQ41" s="512"/>
      <c r="DR41" s="522"/>
      <c r="DS41" s="513"/>
      <c r="DT41" s="493"/>
      <c r="DU41" s="493"/>
      <c r="DV41" s="493"/>
      <c r="DW41" s="493"/>
      <c r="DX41" s="493"/>
      <c r="DY41" s="514"/>
      <c r="DZ41" s="513"/>
      <c r="EA41" s="513"/>
      <c r="EB41" s="513"/>
      <c r="EC41" s="523"/>
      <c r="ED41" s="523"/>
      <c r="EE41" s="523"/>
      <c r="EF41" s="513"/>
      <c r="EL41" s="488"/>
      <c r="EM41" s="488"/>
      <c r="EN41" s="488"/>
      <c r="EP41" s="488"/>
      <c r="EQ41" s="488"/>
      <c r="ER41" s="488"/>
      <c r="ES41" s="488"/>
      <c r="ET41" s="488"/>
      <c r="EU41" s="702" t="s">
        <v>421</v>
      </c>
      <c r="EW41" s="488"/>
      <c r="EX41" s="714" t="s">
        <v>424</v>
      </c>
      <c r="FO41" s="488"/>
      <c r="HU41" s="488"/>
    </row>
    <row r="42" spans="1:229" s="277" customFormat="1" ht="17.25" customHeight="1">
      <c r="A42" s="253" t="s">
        <v>48</v>
      </c>
      <c r="B42" s="253" t="s">
        <v>48</v>
      </c>
      <c r="C42" s="254" t="s">
        <v>47</v>
      </c>
      <c r="D42" s="254">
        <v>5.06</v>
      </c>
      <c r="E42" s="375" t="s">
        <v>49</v>
      </c>
      <c r="F42" s="253" t="s">
        <v>50</v>
      </c>
      <c r="G42" s="256">
        <v>1280</v>
      </c>
      <c r="H42" s="256">
        <v>1240</v>
      </c>
      <c r="I42" s="257">
        <f t="shared" si="80"/>
        <v>0.03125</v>
      </c>
      <c r="J42" s="255">
        <v>176</v>
      </c>
      <c r="K42" s="258">
        <v>378</v>
      </c>
      <c r="L42" s="259">
        <v>18462</v>
      </c>
      <c r="M42" s="259">
        <f>L42*((100-R42)/100)</f>
        <v>12923.4</v>
      </c>
      <c r="N42" s="259">
        <f>(R42/100)*L42</f>
        <v>5538.599999999999</v>
      </c>
      <c r="O42" s="257">
        <f>L42-S42+X42</f>
        <v>13437.382080000001</v>
      </c>
      <c r="P42" s="260">
        <f t="shared" si="67"/>
        <v>13.43738208</v>
      </c>
      <c r="Q42" s="271">
        <v>307.314</v>
      </c>
      <c r="R42" s="271">
        <v>30</v>
      </c>
      <c r="S42" s="259">
        <f>(R42/100)*L42</f>
        <v>5538.599999999999</v>
      </c>
      <c r="T42" s="258">
        <v>6</v>
      </c>
      <c r="U42" s="258">
        <v>3.2</v>
      </c>
      <c r="V42" s="258">
        <f>(T42+U42+(0.02*AD42*AF42))/100</f>
        <v>0.0928</v>
      </c>
      <c r="W42" s="258">
        <v>1</v>
      </c>
      <c r="X42" s="261">
        <f>S42*V42*W42</f>
        <v>513.9820799999999</v>
      </c>
      <c r="Y42" s="262">
        <v>50</v>
      </c>
      <c r="Z42" s="261">
        <f aca="true" t="shared" si="86" ref="Z42:Z47">(Y42/100)*O42</f>
        <v>6718.691040000001</v>
      </c>
      <c r="AA42" s="262">
        <v>7</v>
      </c>
      <c r="AB42" s="259">
        <f>(AA42/100)*O42</f>
        <v>940.6167456000002</v>
      </c>
      <c r="AC42" s="258" t="s">
        <v>45</v>
      </c>
      <c r="AD42" s="258">
        <v>10</v>
      </c>
      <c r="AE42" s="258" t="s">
        <v>44</v>
      </c>
      <c r="AF42" s="258">
        <v>0.4</v>
      </c>
      <c r="AG42" s="261">
        <f aca="true" t="shared" si="87" ref="AG42:AG47">AB42*(1+(AD42/100)*AF42)</f>
        <v>978.2414154240003</v>
      </c>
      <c r="AH42" s="261">
        <f aca="true" t="shared" si="88" ref="AH42:AH47">AR42*AK42</f>
        <v>87000</v>
      </c>
      <c r="AI42" s="261">
        <f aca="true" t="shared" si="89" ref="AI42:AI47">AU42*AK42</f>
        <v>85500</v>
      </c>
      <c r="AJ42" s="263">
        <f aca="true" t="shared" si="90" ref="AJ42:AJ47">(AH42-AI42)/AH42</f>
        <v>0.017241379310344827</v>
      </c>
      <c r="AK42" s="264">
        <v>15</v>
      </c>
      <c r="AL42" s="265">
        <v>8</v>
      </c>
      <c r="AM42" s="380">
        <f t="shared" si="81"/>
        <v>4.53125</v>
      </c>
      <c r="AN42" s="266">
        <f t="shared" si="82"/>
        <v>4.596774193548387</v>
      </c>
      <c r="AO42" s="800">
        <f t="shared" si="29"/>
        <v>-0.01446051167964403</v>
      </c>
      <c r="AP42" s="765">
        <v>5800</v>
      </c>
      <c r="AQ42" s="765"/>
      <c r="AR42" s="256">
        <v>5800</v>
      </c>
      <c r="AS42" s="255">
        <v>5700</v>
      </c>
      <c r="AT42" s="255"/>
      <c r="AU42" s="264">
        <v>5700</v>
      </c>
      <c r="AV42" s="257">
        <f aca="true" t="shared" si="91" ref="AV42:AV47">(AU42-AR42)/AU42</f>
        <v>-0.017543859649122806</v>
      </c>
      <c r="AW42" s="362">
        <f>39.5+18.5</f>
        <v>58</v>
      </c>
      <c r="AX42" s="363">
        <f t="shared" si="30"/>
        <v>17.4</v>
      </c>
      <c r="AY42" s="267">
        <v>5</v>
      </c>
      <c r="AZ42" s="268">
        <v>11</v>
      </c>
      <c r="BA42" s="268">
        <v>6</v>
      </c>
      <c r="BB42" s="268">
        <v>2.5</v>
      </c>
      <c r="BC42" s="268">
        <v>8</v>
      </c>
      <c r="BD42" s="269">
        <f t="shared" si="83"/>
        <v>2.3167900137931037</v>
      </c>
      <c r="BE42" s="255">
        <v>0</v>
      </c>
      <c r="BF42" s="270">
        <v>0</v>
      </c>
      <c r="BG42" s="256">
        <f>BE42-BF42</f>
        <v>0</v>
      </c>
      <c r="BH42" s="255">
        <v>306</v>
      </c>
      <c r="BI42" s="255">
        <v>306</v>
      </c>
      <c r="BJ42" s="261">
        <f aca="true" t="shared" si="92" ref="BJ42:BJ47">(BH42-BI42)</f>
        <v>0</v>
      </c>
      <c r="BK42" s="255">
        <v>0</v>
      </c>
      <c r="BL42" s="255">
        <v>0</v>
      </c>
      <c r="BM42" s="271">
        <f aca="true" t="shared" si="93" ref="BM42:BM47">BK42-BL42</f>
        <v>0</v>
      </c>
      <c r="BN42" s="96">
        <f t="shared" si="34"/>
        <v>0.022772292860187837</v>
      </c>
      <c r="BO42" s="255"/>
      <c r="BP42" s="255">
        <v>142</v>
      </c>
      <c r="BQ42" s="255">
        <v>0</v>
      </c>
      <c r="BR42" s="96">
        <f t="shared" si="15"/>
        <v>0.6830357142857143</v>
      </c>
      <c r="BS42" s="269">
        <f t="shared" si="84"/>
        <v>68.30357142857143</v>
      </c>
      <c r="BT42" s="269">
        <f t="shared" si="52"/>
        <v>1</v>
      </c>
      <c r="BU42" s="272">
        <f aca="true" t="shared" si="94" ref="BU42:BU47">CJ42</f>
        <v>29.09090909090909</v>
      </c>
      <c r="BV42" s="255">
        <v>38</v>
      </c>
      <c r="BW42" s="255">
        <v>38</v>
      </c>
      <c r="BX42" s="273">
        <f aca="true" t="shared" si="95" ref="BX42:BX47">IF(OR(ISBLANK(BV42),ISBLANK(BW42)),"",BV42/BW42)</f>
        <v>1</v>
      </c>
      <c r="BY42" s="255">
        <f t="shared" si="85"/>
        <v>19</v>
      </c>
      <c r="BZ42" s="71">
        <f t="shared" si="20"/>
        <v>0.5</v>
      </c>
      <c r="CA42" s="695"/>
      <c r="CB42" s="695"/>
      <c r="CC42" s="274"/>
      <c r="CD42" s="275">
        <v>90</v>
      </c>
      <c r="CE42" s="275">
        <v>0</v>
      </c>
      <c r="CF42" s="276">
        <v>100</v>
      </c>
      <c r="CG42" s="275">
        <v>5</v>
      </c>
      <c r="CH42" s="275">
        <v>5</v>
      </c>
      <c r="CI42" s="256">
        <f>SUM(CG42,CH42)</f>
        <v>10</v>
      </c>
      <c r="CJ42" s="269">
        <f aca="true" t="shared" si="96" ref="CJ42:CJ74">(G42/176)*4</f>
        <v>29.09090909090909</v>
      </c>
      <c r="CK42" s="418" t="s">
        <v>45</v>
      </c>
      <c r="CL42" s="418">
        <v>1.24</v>
      </c>
      <c r="CM42" s="419" t="s">
        <v>42</v>
      </c>
      <c r="CN42" s="259">
        <v>0</v>
      </c>
      <c r="CO42" s="258" t="s">
        <v>42</v>
      </c>
      <c r="CP42" s="258">
        <v>0</v>
      </c>
      <c r="CQ42" s="419" t="s">
        <v>42</v>
      </c>
      <c r="CR42" s="426">
        <v>0</v>
      </c>
      <c r="CS42" s="253" t="s">
        <v>48</v>
      </c>
      <c r="CT42" s="271" t="s">
        <v>47</v>
      </c>
      <c r="CU42" s="271">
        <v>3.12</v>
      </c>
      <c r="CV42" s="258" t="s">
        <v>47</v>
      </c>
      <c r="CW42" s="430">
        <v>1.1</v>
      </c>
      <c r="CX42" s="788" t="s">
        <v>44</v>
      </c>
      <c r="CY42" s="788">
        <v>1</v>
      </c>
      <c r="CZ42" s="258" t="s">
        <v>43</v>
      </c>
      <c r="DA42" s="258">
        <v>0.95</v>
      </c>
      <c r="DB42" s="258" t="s">
        <v>47</v>
      </c>
      <c r="DC42" s="258">
        <v>1.11</v>
      </c>
      <c r="DD42" s="258" t="s">
        <v>42</v>
      </c>
      <c r="DE42" s="258">
        <v>1.74</v>
      </c>
      <c r="DF42" s="258" t="s">
        <v>44</v>
      </c>
      <c r="DG42" s="258">
        <v>1</v>
      </c>
      <c r="DH42" s="258" t="s">
        <v>44</v>
      </c>
      <c r="DI42" s="258">
        <v>1</v>
      </c>
      <c r="DJ42" s="418" t="s">
        <v>44</v>
      </c>
      <c r="DK42" s="418">
        <v>1</v>
      </c>
      <c r="DL42" s="418" t="s">
        <v>45</v>
      </c>
      <c r="DM42" s="258" t="s">
        <v>47</v>
      </c>
      <c r="DN42" s="259">
        <v>0.01</v>
      </c>
      <c r="DO42" s="258" t="s">
        <v>45</v>
      </c>
      <c r="DP42" s="259">
        <v>0.76</v>
      </c>
      <c r="DQ42" s="258" t="s">
        <v>43</v>
      </c>
      <c r="DR42" s="259">
        <v>1.12</v>
      </c>
      <c r="DS42" s="258" t="s">
        <v>45</v>
      </c>
      <c r="DT42" s="258" t="s">
        <v>45</v>
      </c>
      <c r="DU42" s="258">
        <v>0.81</v>
      </c>
      <c r="DV42" s="258" t="s">
        <v>45</v>
      </c>
      <c r="DW42" s="258">
        <v>0.85</v>
      </c>
      <c r="DX42" s="258" t="s">
        <v>45</v>
      </c>
      <c r="DY42" s="258">
        <v>0.84</v>
      </c>
      <c r="DZ42" s="258" t="s">
        <v>47</v>
      </c>
      <c r="EA42" s="258">
        <v>0.9</v>
      </c>
      <c r="EB42" s="258" t="s">
        <v>42</v>
      </c>
      <c r="EC42" s="420">
        <v>0.8</v>
      </c>
      <c r="ED42" s="420" t="s">
        <v>44</v>
      </c>
      <c r="EE42" s="420">
        <v>1</v>
      </c>
      <c r="EF42" s="258" t="s">
        <v>44</v>
      </c>
      <c r="EG42" s="99">
        <f>CW42*CY42*DA42*DC42*DE42*DG42*DI42*DK42*DN42*DP42*DR42*DU42*DW42*DY42*EA42*EC42*EE42</f>
        <v>0.0071537846020236304</v>
      </c>
      <c r="EH42" s="99">
        <v>2.94</v>
      </c>
      <c r="EI42" s="99">
        <v>0.91</v>
      </c>
      <c r="EJ42" s="99">
        <f>SUM(CL42,CN42,CP42,CR42,CU42,CW42,CW42)</f>
        <v>6.5600000000000005</v>
      </c>
      <c r="EK42" s="99">
        <f t="shared" si="36"/>
        <v>0.9756</v>
      </c>
      <c r="EL42" s="444">
        <f>L42</f>
        <v>18462</v>
      </c>
      <c r="EM42" s="444">
        <f t="shared" si="37"/>
        <v>14527.187609719911</v>
      </c>
      <c r="EN42" s="708">
        <f t="shared" si="38"/>
        <v>305.53765083738097</v>
      </c>
      <c r="EO42" s="99">
        <f>G42</f>
        <v>1280</v>
      </c>
      <c r="EP42" s="444">
        <f>G42/J42</f>
        <v>7.2727272727272725</v>
      </c>
      <c r="EQ42" s="444">
        <f t="shared" si="39"/>
        <v>0.29312000000000005</v>
      </c>
      <c r="ER42" s="444">
        <f t="shared" si="40"/>
        <v>3.411572052401746</v>
      </c>
      <c r="ES42" s="444">
        <f t="shared" si="41"/>
        <v>1.9816695566014366</v>
      </c>
      <c r="ET42" s="444">
        <f t="shared" si="42"/>
        <v>10.312013403130196</v>
      </c>
      <c r="EU42" s="708">
        <f t="shared" si="43"/>
        <v>10.312013403130196</v>
      </c>
      <c r="EV42" s="99">
        <f t="shared" si="44"/>
        <v>5800</v>
      </c>
      <c r="EW42" s="444">
        <f t="shared" si="45"/>
        <v>5700</v>
      </c>
      <c r="EX42" s="712"/>
      <c r="EY42" s="99"/>
      <c r="EZ42" s="99"/>
      <c r="FA42" s="99"/>
      <c r="FB42" s="99"/>
      <c r="FC42" s="99"/>
      <c r="FD42" s="99"/>
      <c r="FE42" s="99"/>
      <c r="FF42" s="99"/>
      <c r="FG42" s="99"/>
      <c r="FH42" s="99"/>
      <c r="FI42" s="99"/>
      <c r="FJ42" s="99"/>
      <c r="FK42" s="99"/>
      <c r="FL42" s="99"/>
      <c r="FM42" s="99"/>
      <c r="FN42" s="99"/>
      <c r="FO42" s="391"/>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391"/>
    </row>
    <row r="43" spans="1:229" s="277" customFormat="1" ht="13.5" customHeight="1">
      <c r="A43" s="253" t="s">
        <v>48</v>
      </c>
      <c r="B43" s="253" t="s">
        <v>48</v>
      </c>
      <c r="C43" s="254" t="s">
        <v>47</v>
      </c>
      <c r="D43" s="254">
        <v>5.06</v>
      </c>
      <c r="E43" s="375" t="s">
        <v>54</v>
      </c>
      <c r="F43" s="253" t="s">
        <v>50</v>
      </c>
      <c r="G43" s="256">
        <v>360</v>
      </c>
      <c r="H43" s="256">
        <v>344</v>
      </c>
      <c r="I43" s="257">
        <f t="shared" si="80"/>
        <v>0.044444444444444446</v>
      </c>
      <c r="J43" s="255">
        <v>176</v>
      </c>
      <c r="K43" s="258">
        <v>230</v>
      </c>
      <c r="L43" s="259">
        <v>12918</v>
      </c>
      <c r="M43" s="259">
        <f>L43*((100-R43)/100)</f>
        <v>9042.599999999999</v>
      </c>
      <c r="N43" s="259">
        <f>(R43/100)*L43</f>
        <v>3875.3999999999996</v>
      </c>
      <c r="O43" s="257">
        <f>L43-S43+X43</f>
        <v>9382.08504</v>
      </c>
      <c r="P43" s="260">
        <f t="shared" si="67"/>
        <v>9.38208504</v>
      </c>
      <c r="Q43" s="271">
        <v>186.99</v>
      </c>
      <c r="R43" s="271">
        <v>30</v>
      </c>
      <c r="S43" s="259">
        <f>(R43/100)*L43</f>
        <v>3875.3999999999996</v>
      </c>
      <c r="T43" s="258">
        <v>6</v>
      </c>
      <c r="U43" s="258">
        <v>2.6</v>
      </c>
      <c r="V43" s="258">
        <f>(T43+U43+(0.02*AD43*AF43))/100</f>
        <v>0.0876</v>
      </c>
      <c r="W43" s="258">
        <v>1</v>
      </c>
      <c r="X43" s="261">
        <f>S43*V43*W43</f>
        <v>339.48503999999997</v>
      </c>
      <c r="Y43" s="262">
        <v>50</v>
      </c>
      <c r="Z43" s="261">
        <f t="shared" si="86"/>
        <v>4691.04252</v>
      </c>
      <c r="AA43" s="262">
        <v>5</v>
      </c>
      <c r="AB43" s="259">
        <f>(AA43/100)*O43</f>
        <v>469.10425200000003</v>
      </c>
      <c r="AC43" s="258" t="s">
        <v>47</v>
      </c>
      <c r="AD43" s="258">
        <v>20</v>
      </c>
      <c r="AE43" s="258" t="s">
        <v>44</v>
      </c>
      <c r="AF43" s="258">
        <v>0.4</v>
      </c>
      <c r="AG43" s="261">
        <f t="shared" si="87"/>
        <v>506.63259216000006</v>
      </c>
      <c r="AH43" s="261">
        <f t="shared" si="88"/>
        <v>42990</v>
      </c>
      <c r="AI43" s="261">
        <f t="shared" si="89"/>
        <v>41385</v>
      </c>
      <c r="AJ43" s="263">
        <f t="shared" si="90"/>
        <v>0.037334263782274946</v>
      </c>
      <c r="AK43" s="264">
        <v>15</v>
      </c>
      <c r="AL43" s="265">
        <v>6</v>
      </c>
      <c r="AM43" s="380">
        <f t="shared" si="81"/>
        <v>7.961111111111111</v>
      </c>
      <c r="AN43" s="266">
        <f t="shared" si="82"/>
        <v>8.020348837209303</v>
      </c>
      <c r="AO43" s="800">
        <f t="shared" si="29"/>
        <v>-0.007440886739479777</v>
      </c>
      <c r="AP43" s="765">
        <v>2866</v>
      </c>
      <c r="AQ43" s="765"/>
      <c r="AR43" s="256">
        <v>2866</v>
      </c>
      <c r="AS43" s="255">
        <v>2759</v>
      </c>
      <c r="AT43" s="255"/>
      <c r="AU43" s="264">
        <v>2759</v>
      </c>
      <c r="AV43" s="257">
        <f t="shared" si="91"/>
        <v>-0.03878216745197535</v>
      </c>
      <c r="AW43" s="364">
        <f>25.1+39.9</f>
        <v>65</v>
      </c>
      <c r="AX43" s="363">
        <f t="shared" si="30"/>
        <v>19.5</v>
      </c>
      <c r="AY43" s="255">
        <v>6</v>
      </c>
      <c r="AZ43" s="268">
        <v>16</v>
      </c>
      <c r="BA43" s="268">
        <v>4.6</v>
      </c>
      <c r="BB43" s="268">
        <v>1.1</v>
      </c>
      <c r="BC43" s="268">
        <v>6</v>
      </c>
      <c r="BD43" s="269">
        <f t="shared" si="83"/>
        <v>3.273581660851361</v>
      </c>
      <c r="BE43" s="255">
        <v>11</v>
      </c>
      <c r="BF43" s="255">
        <v>11</v>
      </c>
      <c r="BG43" s="256">
        <f>BE43-BF43</f>
        <v>0</v>
      </c>
      <c r="BH43" s="255">
        <v>116</v>
      </c>
      <c r="BI43" s="255">
        <v>116</v>
      </c>
      <c r="BJ43" s="261">
        <f t="shared" si="92"/>
        <v>0</v>
      </c>
      <c r="BK43" s="255">
        <v>20</v>
      </c>
      <c r="BL43" s="255">
        <v>20</v>
      </c>
      <c r="BM43" s="271">
        <f t="shared" si="93"/>
        <v>0</v>
      </c>
      <c r="BN43" s="96">
        <f t="shared" si="34"/>
        <v>0.0123639894016565</v>
      </c>
      <c r="BO43" s="255"/>
      <c r="BP43" s="255">
        <v>21</v>
      </c>
      <c r="BQ43" s="255">
        <v>0</v>
      </c>
      <c r="BR43" s="96">
        <f t="shared" si="15"/>
        <v>0.8467153284671532</v>
      </c>
      <c r="BS43" s="269">
        <f t="shared" si="84"/>
        <v>87.5</v>
      </c>
      <c r="BT43" s="269">
        <f t="shared" si="52"/>
        <v>1</v>
      </c>
      <c r="BU43" s="272">
        <f t="shared" si="94"/>
        <v>8.181818181818182</v>
      </c>
      <c r="BV43" s="255">
        <v>22</v>
      </c>
      <c r="BW43" s="255">
        <v>39</v>
      </c>
      <c r="BX43" s="273">
        <f t="shared" si="95"/>
        <v>0.5641025641025641</v>
      </c>
      <c r="BY43" s="255">
        <f t="shared" si="85"/>
        <v>11</v>
      </c>
      <c r="BZ43" s="71">
        <f t="shared" si="20"/>
        <v>0.5</v>
      </c>
      <c r="CA43" s="695"/>
      <c r="CB43" s="695"/>
      <c r="CC43" s="274"/>
      <c r="CD43" s="275">
        <v>90</v>
      </c>
      <c r="CE43" s="278">
        <v>0</v>
      </c>
      <c r="CF43" s="279">
        <v>100</v>
      </c>
      <c r="CG43" s="278">
        <v>5</v>
      </c>
      <c r="CH43" s="278">
        <v>5</v>
      </c>
      <c r="CI43" s="256">
        <f>SUM(CG43,CH43)</f>
        <v>10</v>
      </c>
      <c r="CJ43" s="269">
        <f t="shared" si="96"/>
        <v>8.181818181818182</v>
      </c>
      <c r="CK43" s="418" t="s">
        <v>47</v>
      </c>
      <c r="CL43" s="418">
        <v>2.48</v>
      </c>
      <c r="CM43" s="258" t="s">
        <v>47</v>
      </c>
      <c r="CN43" s="259">
        <v>2.03</v>
      </c>
      <c r="CO43" s="258" t="s">
        <v>47</v>
      </c>
      <c r="CP43" s="258">
        <v>2.83</v>
      </c>
      <c r="CQ43" s="258" t="s">
        <v>45</v>
      </c>
      <c r="CR43" s="258">
        <v>1.1</v>
      </c>
      <c r="CS43" s="253" t="s">
        <v>48</v>
      </c>
      <c r="CT43" s="271" t="s">
        <v>47</v>
      </c>
      <c r="CU43" s="271">
        <v>3.12</v>
      </c>
      <c r="CV43" s="258" t="s">
        <v>44</v>
      </c>
      <c r="CW43" s="430">
        <v>1</v>
      </c>
      <c r="CX43" s="788" t="s">
        <v>44</v>
      </c>
      <c r="CY43" s="788">
        <v>1</v>
      </c>
      <c r="CZ43" s="258" t="s">
        <v>45</v>
      </c>
      <c r="DA43" s="258">
        <v>1</v>
      </c>
      <c r="DB43" s="258" t="s">
        <v>47</v>
      </c>
      <c r="DC43" s="258">
        <v>1.11</v>
      </c>
      <c r="DD43" s="258" t="s">
        <v>47</v>
      </c>
      <c r="DE43" s="258">
        <v>1.17</v>
      </c>
      <c r="DF43" s="258" t="s">
        <v>44</v>
      </c>
      <c r="DG43" s="258">
        <v>1</v>
      </c>
      <c r="DH43" s="258" t="s">
        <v>44</v>
      </c>
      <c r="DI43" s="258">
        <v>1</v>
      </c>
      <c r="DJ43" s="418" t="s">
        <v>47</v>
      </c>
      <c r="DK43" s="418">
        <v>1.15</v>
      </c>
      <c r="DL43" s="418" t="s">
        <v>45</v>
      </c>
      <c r="DM43" s="258" t="s">
        <v>47</v>
      </c>
      <c r="DN43" s="259">
        <v>0.01</v>
      </c>
      <c r="DO43" s="258" t="s">
        <v>47</v>
      </c>
      <c r="DP43" s="259">
        <v>0.88</v>
      </c>
      <c r="DQ43" s="418" t="s">
        <v>46</v>
      </c>
      <c r="DR43" s="436">
        <v>1.29</v>
      </c>
      <c r="DS43" s="258" t="s">
        <v>43</v>
      </c>
      <c r="DT43" s="258" t="s">
        <v>47</v>
      </c>
      <c r="DU43" s="258">
        <v>0.88</v>
      </c>
      <c r="DV43" s="258" t="s">
        <v>47</v>
      </c>
      <c r="DW43" s="258">
        <v>0.91</v>
      </c>
      <c r="DX43" s="258" t="s">
        <v>45</v>
      </c>
      <c r="DY43" s="258">
        <v>0.84</v>
      </c>
      <c r="DZ43" s="258" t="s">
        <v>45</v>
      </c>
      <c r="EA43" s="258">
        <v>0.78</v>
      </c>
      <c r="EB43" s="258" t="s">
        <v>45</v>
      </c>
      <c r="EC43" s="420">
        <v>0.86</v>
      </c>
      <c r="ED43" s="420" t="s">
        <v>43</v>
      </c>
      <c r="EE43" s="420">
        <v>1.14</v>
      </c>
      <c r="EF43" s="258" t="s">
        <v>47</v>
      </c>
      <c r="EG43" s="99">
        <f>CW43*CY43*DA43*DC43*DE43*DG43*DI43*DK43*DN43*DP43*DR43*DU43*DW43*DY43*EA43*EC43*EE43</f>
        <v>0.008721281792004845</v>
      </c>
      <c r="EH43" s="99">
        <v>2.94</v>
      </c>
      <c r="EI43" s="99">
        <v>0.91</v>
      </c>
      <c r="EJ43" s="99">
        <f>SUM(CL43,CN43,CP43,CR43,CU43,CW43,CW43)</f>
        <v>13.559999999999999</v>
      </c>
      <c r="EK43" s="99">
        <f t="shared" si="36"/>
        <v>1.0456</v>
      </c>
      <c r="EL43" s="444">
        <f>L43</f>
        <v>12918</v>
      </c>
      <c r="EM43" s="444">
        <f t="shared" si="37"/>
        <v>19891.419886812317</v>
      </c>
      <c r="EN43" s="708">
        <f t="shared" si="38"/>
        <v>510.02731354337925</v>
      </c>
      <c r="EO43" s="99">
        <f>G43</f>
        <v>360</v>
      </c>
      <c r="EP43" s="444">
        <f>G43/J43</f>
        <v>2.0454545454545454</v>
      </c>
      <c r="EQ43" s="444">
        <f t="shared" si="39"/>
        <v>0.30712</v>
      </c>
      <c r="ER43" s="444">
        <f t="shared" si="40"/>
        <v>3.256056264652253</v>
      </c>
      <c r="ES43" s="444">
        <f t="shared" si="41"/>
        <v>0.5573445627941541</v>
      </c>
      <c r="ET43" s="444">
        <f t="shared" si="42"/>
        <v>0.14906123208711197</v>
      </c>
      <c r="EU43" s="708">
        <f t="shared" si="43"/>
        <v>0.14906123208711197</v>
      </c>
      <c r="EV43" s="99">
        <f t="shared" si="44"/>
        <v>2866</v>
      </c>
      <c r="EW43" s="444">
        <f t="shared" si="45"/>
        <v>2759</v>
      </c>
      <c r="EX43" s="712"/>
      <c r="EY43" s="99"/>
      <c r="EZ43" s="99"/>
      <c r="FA43" s="99"/>
      <c r="FB43" s="99"/>
      <c r="FC43" s="99"/>
      <c r="FD43" s="99"/>
      <c r="FE43" s="99"/>
      <c r="FF43" s="99"/>
      <c r="FG43" s="99"/>
      <c r="FH43" s="99"/>
      <c r="FI43" s="99"/>
      <c r="FJ43" s="99"/>
      <c r="FK43" s="99"/>
      <c r="FL43" s="99"/>
      <c r="FM43" s="99"/>
      <c r="FN43" s="99"/>
      <c r="FO43" s="391"/>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391"/>
    </row>
    <row r="44" spans="1:229" s="277" customFormat="1" ht="15" customHeight="1">
      <c r="A44" s="253" t="s">
        <v>176</v>
      </c>
      <c r="B44" s="253" t="s">
        <v>176</v>
      </c>
      <c r="C44" s="254" t="s">
        <v>47</v>
      </c>
      <c r="D44" s="254">
        <v>5.06</v>
      </c>
      <c r="E44" s="375" t="s">
        <v>51</v>
      </c>
      <c r="F44" s="253" t="s">
        <v>52</v>
      </c>
      <c r="G44" s="264">
        <f>SUM(10*176,15*6.769)</f>
        <v>1861.535</v>
      </c>
      <c r="H44" s="256">
        <v>1155</v>
      </c>
      <c r="I44" s="257">
        <f t="shared" si="80"/>
        <v>0.37954430080551804</v>
      </c>
      <c r="J44" s="255">
        <f aca="true" t="shared" si="97" ref="J44:J74">8*22</f>
        <v>176</v>
      </c>
      <c r="K44" s="255">
        <v>183.8</v>
      </c>
      <c r="L44" s="269">
        <f>K44*(0.65+0.4)*29.5</f>
        <v>5693.205</v>
      </c>
      <c r="M44" s="269">
        <f aca="true" t="shared" si="98" ref="M44:M74">L44*((100-R44)/100)</f>
        <v>2846.6025</v>
      </c>
      <c r="N44" s="259">
        <f aca="true" t="shared" si="99" ref="N44:N74">(R44/100)*L44</f>
        <v>2846.6025</v>
      </c>
      <c r="O44" s="257">
        <f aca="true" t="shared" si="100" ref="O44:O74">L44-S44+X44</f>
        <v>3095.964879</v>
      </c>
      <c r="P44" s="260">
        <f t="shared" si="67"/>
        <v>3.0959648790000003</v>
      </c>
      <c r="Q44" s="256">
        <f aca="true" t="shared" si="101" ref="Q44:Q58">K44*(0.65+0.4)</f>
        <v>192.99</v>
      </c>
      <c r="R44" s="286">
        <v>50</v>
      </c>
      <c r="S44" s="259">
        <f aca="true" t="shared" si="102" ref="S44:S74">(R44/100)*L44</f>
        <v>2846.6025</v>
      </c>
      <c r="T44" s="280">
        <v>8</v>
      </c>
      <c r="U44" s="280">
        <v>0.6</v>
      </c>
      <c r="V44" s="258">
        <f aca="true" t="shared" si="103" ref="V44:V74">(T44+U44+(0.02*AD44*AF44))/100</f>
        <v>0.0876</v>
      </c>
      <c r="W44" s="258">
        <v>1</v>
      </c>
      <c r="X44" s="261">
        <f>S44*V44*W44</f>
        <v>249.36237899999998</v>
      </c>
      <c r="Y44" s="286">
        <v>50</v>
      </c>
      <c r="Z44" s="261">
        <f t="shared" si="86"/>
        <v>1547.9824395</v>
      </c>
      <c r="AA44" s="280">
        <v>5</v>
      </c>
      <c r="AB44" s="259">
        <f aca="true" t="shared" si="104" ref="AB44:AB74">(AA44/100)*O44</f>
        <v>154.79824395000003</v>
      </c>
      <c r="AC44" s="258" t="s">
        <v>47</v>
      </c>
      <c r="AD44" s="258">
        <v>20</v>
      </c>
      <c r="AE44" s="258" t="s">
        <v>44</v>
      </c>
      <c r="AF44" s="259">
        <v>0.4</v>
      </c>
      <c r="AG44" s="261">
        <f t="shared" si="87"/>
        <v>167.18210346600003</v>
      </c>
      <c r="AH44" s="261">
        <f t="shared" si="88"/>
        <v>18180</v>
      </c>
      <c r="AI44" s="261">
        <f t="shared" si="89"/>
        <v>17235</v>
      </c>
      <c r="AJ44" s="263">
        <f t="shared" si="90"/>
        <v>0.05198019801980198</v>
      </c>
      <c r="AK44" s="264">
        <v>15</v>
      </c>
      <c r="AL44" s="265">
        <v>12</v>
      </c>
      <c r="AM44" s="380">
        <f t="shared" si="81"/>
        <v>0.6510755908430408</v>
      </c>
      <c r="AN44" s="266">
        <f t="shared" si="82"/>
        <v>0.9948051948051948</v>
      </c>
      <c r="AO44" s="800">
        <f t="shared" si="29"/>
        <v>-0.5279411619733403</v>
      </c>
      <c r="AP44" s="766">
        <v>1212</v>
      </c>
      <c r="AQ44" s="765"/>
      <c r="AR44" s="282">
        <v>1212</v>
      </c>
      <c r="AS44" s="281">
        <v>1149</v>
      </c>
      <c r="AT44" s="255"/>
      <c r="AU44" s="283">
        <v>1149</v>
      </c>
      <c r="AV44" s="257">
        <f t="shared" si="91"/>
        <v>-0.05483028720626632</v>
      </c>
      <c r="AW44" s="362">
        <f>41.9+18.9</f>
        <v>60.8</v>
      </c>
      <c r="AX44" s="363">
        <f t="shared" si="30"/>
        <v>30.4</v>
      </c>
      <c r="AY44" s="255">
        <v>14.56</v>
      </c>
      <c r="AZ44" s="255">
        <v>10.13</v>
      </c>
      <c r="BA44" s="284">
        <v>4</v>
      </c>
      <c r="BB44" s="255">
        <v>2.61</v>
      </c>
      <c r="BC44" s="255">
        <v>1.42</v>
      </c>
      <c r="BD44" s="269">
        <f t="shared" si="83"/>
        <v>2.554426467821782</v>
      </c>
      <c r="BE44" s="256">
        <v>7</v>
      </c>
      <c r="BF44" s="256">
        <v>7</v>
      </c>
      <c r="BG44" s="256">
        <f t="shared" si="31"/>
        <v>0</v>
      </c>
      <c r="BH44" s="256">
        <v>0</v>
      </c>
      <c r="BI44" s="264"/>
      <c r="BJ44" s="261">
        <f t="shared" si="92"/>
        <v>0</v>
      </c>
      <c r="BK44" s="255">
        <v>18</v>
      </c>
      <c r="BL44" s="269">
        <v>18</v>
      </c>
      <c r="BM44" s="271">
        <f t="shared" si="93"/>
        <v>0</v>
      </c>
      <c r="BN44" s="96">
        <f t="shared" si="34"/>
        <v>0</v>
      </c>
      <c r="BO44" s="255"/>
      <c r="BP44" s="255">
        <v>14.56</v>
      </c>
      <c r="BQ44" s="255">
        <v>3</v>
      </c>
      <c r="BR44" s="96">
        <f t="shared" si="15"/>
        <v>0</v>
      </c>
      <c r="BS44" s="269">
        <f t="shared" si="84"/>
        <v>58.74060150375939</v>
      </c>
      <c r="BT44" s="269">
        <f t="shared" si="52"/>
        <v>1</v>
      </c>
      <c r="BU44" s="272">
        <f t="shared" si="94"/>
        <v>42.30761363636364</v>
      </c>
      <c r="BV44" s="255">
        <v>71</v>
      </c>
      <c r="BW44" s="255">
        <v>71</v>
      </c>
      <c r="BX44" s="273">
        <f t="shared" si="95"/>
        <v>1</v>
      </c>
      <c r="BY44" s="255">
        <f t="shared" si="85"/>
        <v>35.5</v>
      </c>
      <c r="BZ44" s="71">
        <f t="shared" si="20"/>
        <v>0.5</v>
      </c>
      <c r="CA44" s="696">
        <v>1.05</v>
      </c>
      <c r="CB44" s="697"/>
      <c r="CC44" s="255"/>
      <c r="CD44" s="285">
        <v>85</v>
      </c>
      <c r="CE44" s="271">
        <v>0</v>
      </c>
      <c r="CF44" s="286">
        <v>100</v>
      </c>
      <c r="CG44" s="255">
        <v>0</v>
      </c>
      <c r="CH44" s="255">
        <v>24</v>
      </c>
      <c r="CI44" s="256">
        <f>SUM(CG44,CH44)</f>
        <v>24</v>
      </c>
      <c r="CJ44" s="269">
        <f t="shared" si="96"/>
        <v>42.30761363636364</v>
      </c>
      <c r="CK44" s="418" t="s">
        <v>45</v>
      </c>
      <c r="CL44" s="418">
        <v>1.24</v>
      </c>
      <c r="CM44" s="258" t="s">
        <v>43</v>
      </c>
      <c r="CN44" s="259">
        <v>4.05</v>
      </c>
      <c r="CO44" s="258" t="s">
        <v>42</v>
      </c>
      <c r="CP44" s="258">
        <v>0</v>
      </c>
      <c r="CQ44" s="258" t="s">
        <v>45</v>
      </c>
      <c r="CR44" s="258">
        <v>1.1</v>
      </c>
      <c r="CS44" s="253" t="s">
        <v>378</v>
      </c>
      <c r="CT44" s="258" t="s">
        <v>44</v>
      </c>
      <c r="CU44" s="258">
        <v>4.68</v>
      </c>
      <c r="CV44" s="258" t="s">
        <v>46</v>
      </c>
      <c r="CW44" s="430">
        <v>0.82</v>
      </c>
      <c r="CX44" s="788" t="s">
        <v>44</v>
      </c>
      <c r="CY44" s="788">
        <v>1</v>
      </c>
      <c r="CZ44" s="258" t="s">
        <v>47</v>
      </c>
      <c r="DA44" s="258">
        <v>1.07</v>
      </c>
      <c r="DB44" s="258" t="s">
        <v>45</v>
      </c>
      <c r="DC44" s="258">
        <v>1.23</v>
      </c>
      <c r="DD44" s="258" t="s">
        <v>44</v>
      </c>
      <c r="DE44" s="258">
        <v>1</v>
      </c>
      <c r="DF44" s="258" t="s">
        <v>44</v>
      </c>
      <c r="DG44" s="258">
        <v>1</v>
      </c>
      <c r="DH44" s="418" t="s">
        <v>44</v>
      </c>
      <c r="DI44" s="258">
        <v>1</v>
      </c>
      <c r="DJ44" s="418" t="s">
        <v>43</v>
      </c>
      <c r="DK44" s="418">
        <v>0.87</v>
      </c>
      <c r="DL44" s="418" t="s">
        <v>45</v>
      </c>
      <c r="DM44" s="258" t="s">
        <v>45</v>
      </c>
      <c r="DN44" s="259">
        <v>0.01</v>
      </c>
      <c r="DO44" s="258" t="s">
        <v>47</v>
      </c>
      <c r="DP44" s="259">
        <v>0.88</v>
      </c>
      <c r="DQ44" s="418" t="s">
        <v>46</v>
      </c>
      <c r="DR44" s="436">
        <v>1.29</v>
      </c>
      <c r="DS44" s="258" t="s">
        <v>45</v>
      </c>
      <c r="DT44" s="258" t="s">
        <v>45</v>
      </c>
      <c r="DU44" s="258">
        <v>0.81</v>
      </c>
      <c r="DV44" s="258" t="s">
        <v>45</v>
      </c>
      <c r="DW44" s="258">
        <v>0.85</v>
      </c>
      <c r="DX44" s="258" t="s">
        <v>45</v>
      </c>
      <c r="DY44" s="258">
        <v>0.84</v>
      </c>
      <c r="DZ44" s="258" t="s">
        <v>44</v>
      </c>
      <c r="EA44" s="258">
        <v>1</v>
      </c>
      <c r="EB44" s="258" t="s">
        <v>42</v>
      </c>
      <c r="EC44" s="420">
        <v>0.8</v>
      </c>
      <c r="ED44" s="420" t="s">
        <v>44</v>
      </c>
      <c r="EE44" s="420">
        <v>1</v>
      </c>
      <c r="EF44" s="258" t="s">
        <v>46</v>
      </c>
      <c r="EG44" s="99">
        <f>CW44*CY44*DA44*DC44*DE44*DG44*DI44*DK44*DN44*DP44*DR44*DU44*DW44*DY44*EA44*EC44*EE44</f>
        <v>0.004931370061491204</v>
      </c>
      <c r="EH44" s="99">
        <v>2.94</v>
      </c>
      <c r="EI44" s="99">
        <v>0.91</v>
      </c>
      <c r="EJ44" s="99">
        <f>SUM(CL44,CN44,CP44,CR44,CU44,CW44,CW44)</f>
        <v>12.71</v>
      </c>
      <c r="EK44" s="99">
        <f t="shared" si="36"/>
        <v>1.0371000000000001</v>
      </c>
      <c r="EL44" s="444">
        <f>L44</f>
        <v>5693.205</v>
      </c>
      <c r="EM44" s="444">
        <f t="shared" si="37"/>
        <v>7846.582768511459</v>
      </c>
      <c r="EN44" s="708">
        <f t="shared" si="38"/>
        <v>113.7615458479715</v>
      </c>
      <c r="EO44" s="99">
        <f>G44</f>
        <v>1861.535</v>
      </c>
      <c r="EP44" s="444">
        <f>G44/J44</f>
        <v>10.57690340909091</v>
      </c>
      <c r="EQ44" s="444">
        <f t="shared" si="39"/>
        <v>0.30542</v>
      </c>
      <c r="ER44" s="444">
        <f t="shared" si="40"/>
        <v>3.2741798179556016</v>
      </c>
      <c r="ES44" s="444">
        <f t="shared" si="41"/>
        <v>2.881990029725044</v>
      </c>
      <c r="ET44" s="444">
        <f t="shared" si="42"/>
        <v>31.997483290867667</v>
      </c>
      <c r="EU44" s="708">
        <f t="shared" si="43"/>
        <v>31.997483290867667</v>
      </c>
      <c r="EV44" s="99">
        <f t="shared" si="44"/>
        <v>1212</v>
      </c>
      <c r="EW44" s="444">
        <f t="shared" si="45"/>
        <v>1149</v>
      </c>
      <c r="EX44" s="712"/>
      <c r="EY44" s="99"/>
      <c r="EZ44" s="99"/>
      <c r="FA44" s="99"/>
      <c r="FB44" s="99"/>
      <c r="FC44" s="99"/>
      <c r="FD44" s="99"/>
      <c r="FE44" s="99"/>
      <c r="FF44" s="99"/>
      <c r="FG44" s="99"/>
      <c r="FH44" s="99"/>
      <c r="FI44" s="99"/>
      <c r="FJ44" s="99"/>
      <c r="FK44" s="99"/>
      <c r="FL44" s="99"/>
      <c r="FM44" s="99"/>
      <c r="FN44" s="99"/>
      <c r="FO44" s="391"/>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391"/>
    </row>
    <row r="45" spans="1:229" s="277" customFormat="1" ht="13.5" customHeight="1">
      <c r="A45" s="253" t="s">
        <v>48</v>
      </c>
      <c r="B45" s="253" t="s">
        <v>48</v>
      </c>
      <c r="C45" s="254" t="s">
        <v>47</v>
      </c>
      <c r="D45" s="254">
        <v>5.06</v>
      </c>
      <c r="E45" s="375" t="s">
        <v>51</v>
      </c>
      <c r="F45" s="253" t="s">
        <v>50</v>
      </c>
      <c r="G45" s="256">
        <v>460</v>
      </c>
      <c r="H45" s="256">
        <v>444</v>
      </c>
      <c r="I45" s="257">
        <v>0.044444444444444446</v>
      </c>
      <c r="J45" s="255">
        <v>176</v>
      </c>
      <c r="K45" s="258">
        <v>240</v>
      </c>
      <c r="L45" s="259">
        <v>13018</v>
      </c>
      <c r="M45" s="269">
        <f t="shared" si="98"/>
        <v>9112.599999999999</v>
      </c>
      <c r="N45" s="259">
        <f t="shared" si="99"/>
        <v>3905.3999999999996</v>
      </c>
      <c r="O45" s="257">
        <f t="shared" si="100"/>
        <v>9462.08504</v>
      </c>
      <c r="P45" s="260">
        <f t="shared" si="67"/>
        <v>9.46208504</v>
      </c>
      <c r="Q45" s="256">
        <f t="shared" si="101"/>
        <v>252</v>
      </c>
      <c r="R45" s="271">
        <v>30</v>
      </c>
      <c r="S45" s="259">
        <f t="shared" si="102"/>
        <v>3905.3999999999996</v>
      </c>
      <c r="T45" s="258">
        <v>6</v>
      </c>
      <c r="U45" s="258">
        <v>2.6</v>
      </c>
      <c r="V45" s="258">
        <v>0.0776</v>
      </c>
      <c r="W45" s="258">
        <v>1</v>
      </c>
      <c r="X45" s="261">
        <v>349.48504</v>
      </c>
      <c r="Y45" s="262">
        <v>50</v>
      </c>
      <c r="Z45" s="261">
        <f t="shared" si="86"/>
        <v>4731.04252</v>
      </c>
      <c r="AA45" s="262">
        <v>6</v>
      </c>
      <c r="AB45" s="259">
        <v>459.104252</v>
      </c>
      <c r="AC45" s="258" t="s">
        <v>47</v>
      </c>
      <c r="AD45" s="258">
        <v>20</v>
      </c>
      <c r="AE45" s="258" t="s">
        <v>44</v>
      </c>
      <c r="AF45" s="258">
        <v>0.4</v>
      </c>
      <c r="AG45" s="261">
        <f t="shared" si="87"/>
        <v>495.83259216</v>
      </c>
      <c r="AH45" s="261">
        <f t="shared" si="88"/>
        <v>42990</v>
      </c>
      <c r="AI45" s="261">
        <f t="shared" si="89"/>
        <v>41385</v>
      </c>
      <c r="AJ45" s="263">
        <f t="shared" si="90"/>
        <v>0.037334263782274946</v>
      </c>
      <c r="AK45" s="264">
        <v>15</v>
      </c>
      <c r="AL45" s="265">
        <v>7</v>
      </c>
      <c r="AM45" s="380">
        <f t="shared" si="81"/>
        <v>6.230434782608696</v>
      </c>
      <c r="AN45" s="266">
        <f t="shared" si="82"/>
        <v>6.213963963963964</v>
      </c>
      <c r="AO45" s="800">
        <f t="shared" si="29"/>
        <v>0.0026436066212758235</v>
      </c>
      <c r="AP45" s="765">
        <v>2866</v>
      </c>
      <c r="AQ45" s="765"/>
      <c r="AR45" s="256">
        <v>2866</v>
      </c>
      <c r="AS45" s="255">
        <v>2759</v>
      </c>
      <c r="AT45" s="255"/>
      <c r="AU45" s="264">
        <v>2759</v>
      </c>
      <c r="AV45" s="257">
        <f t="shared" si="91"/>
        <v>-0.03878216745197535</v>
      </c>
      <c r="AW45" s="362">
        <f>41.9+18.9</f>
        <v>60.8</v>
      </c>
      <c r="AX45" s="363">
        <f t="shared" si="30"/>
        <v>18.24</v>
      </c>
      <c r="AY45" s="255">
        <v>5</v>
      </c>
      <c r="AZ45" s="268">
        <v>15</v>
      </c>
      <c r="BA45" s="268">
        <v>3.5</v>
      </c>
      <c r="BB45" s="268">
        <v>2</v>
      </c>
      <c r="BC45" s="268">
        <v>7</v>
      </c>
      <c r="BD45" s="269">
        <f t="shared" si="83"/>
        <v>3.3014951290997905</v>
      </c>
      <c r="BE45" s="255">
        <v>10</v>
      </c>
      <c r="BF45" s="255">
        <v>11</v>
      </c>
      <c r="BG45" s="256">
        <v>0</v>
      </c>
      <c r="BH45" s="255">
        <v>114</v>
      </c>
      <c r="BI45" s="255">
        <v>114</v>
      </c>
      <c r="BJ45" s="261">
        <f t="shared" si="92"/>
        <v>0</v>
      </c>
      <c r="BK45" s="255">
        <v>20</v>
      </c>
      <c r="BL45" s="255">
        <v>20</v>
      </c>
      <c r="BM45" s="271">
        <f t="shared" si="93"/>
        <v>0</v>
      </c>
      <c r="BN45" s="96">
        <f t="shared" si="34"/>
        <v>0.012048084488574836</v>
      </c>
      <c r="BO45" s="255"/>
      <c r="BP45" s="255">
        <v>21</v>
      </c>
      <c r="BQ45" s="255">
        <v>0</v>
      </c>
      <c r="BR45" s="96">
        <f t="shared" si="15"/>
        <v>0.8444444444444444</v>
      </c>
      <c r="BS45" s="269">
        <f t="shared" si="84"/>
        <v>87.27272727272727</v>
      </c>
      <c r="BT45" s="269">
        <f t="shared" si="52"/>
        <v>1.0069444444444444</v>
      </c>
      <c r="BU45" s="272">
        <f t="shared" si="94"/>
        <v>8.181818181818182</v>
      </c>
      <c r="BV45" s="255">
        <v>24</v>
      </c>
      <c r="BW45" s="255">
        <v>31</v>
      </c>
      <c r="BX45" s="273">
        <f t="shared" si="95"/>
        <v>0.7741935483870968</v>
      </c>
      <c r="BY45" s="255">
        <f t="shared" si="85"/>
        <v>12</v>
      </c>
      <c r="BZ45" s="71">
        <f t="shared" si="20"/>
        <v>0.5</v>
      </c>
      <c r="CA45" s="695"/>
      <c r="CB45" s="695"/>
      <c r="CC45" s="274"/>
      <c r="CD45" s="275">
        <v>90</v>
      </c>
      <c r="CE45" s="278">
        <v>0</v>
      </c>
      <c r="CF45" s="279">
        <v>100</v>
      </c>
      <c r="CG45" s="278">
        <v>5</v>
      </c>
      <c r="CH45" s="278">
        <v>5</v>
      </c>
      <c r="CI45" s="256">
        <v>10</v>
      </c>
      <c r="CJ45" s="269">
        <v>8.181818181818182</v>
      </c>
      <c r="CK45" s="418" t="s">
        <v>47</v>
      </c>
      <c r="CL45" s="418">
        <v>2.48</v>
      </c>
      <c r="CM45" s="258" t="s">
        <v>47</v>
      </c>
      <c r="CN45" s="259">
        <v>2.03</v>
      </c>
      <c r="CO45" s="258" t="s">
        <v>47</v>
      </c>
      <c r="CP45" s="258">
        <v>2.83</v>
      </c>
      <c r="CQ45" s="258" t="s">
        <v>45</v>
      </c>
      <c r="CR45" s="258">
        <v>1.1</v>
      </c>
      <c r="CS45" s="253" t="s">
        <v>48</v>
      </c>
      <c r="CT45" s="271" t="s">
        <v>47</v>
      </c>
      <c r="CU45" s="271">
        <v>3.12</v>
      </c>
      <c r="CV45" s="258" t="s">
        <v>44</v>
      </c>
      <c r="CW45" s="430">
        <v>1</v>
      </c>
      <c r="CX45" s="788" t="s">
        <v>44</v>
      </c>
      <c r="CY45" s="788">
        <v>1</v>
      </c>
      <c r="CZ45" s="258" t="s">
        <v>45</v>
      </c>
      <c r="DA45" s="258">
        <v>1</v>
      </c>
      <c r="DB45" s="258" t="s">
        <v>47</v>
      </c>
      <c r="DC45" s="258">
        <v>1.11</v>
      </c>
      <c r="DD45" s="258" t="s">
        <v>47</v>
      </c>
      <c r="DE45" s="258">
        <v>1.17</v>
      </c>
      <c r="DF45" s="258" t="s">
        <v>44</v>
      </c>
      <c r="DG45" s="258">
        <v>1</v>
      </c>
      <c r="DH45" s="258" t="s">
        <v>44</v>
      </c>
      <c r="DI45" s="258">
        <v>1</v>
      </c>
      <c r="DJ45" s="418" t="s">
        <v>47</v>
      </c>
      <c r="DK45" s="418">
        <v>1.15</v>
      </c>
      <c r="DL45" s="418" t="s">
        <v>45</v>
      </c>
      <c r="DM45" s="258" t="s">
        <v>47</v>
      </c>
      <c r="DN45" s="259">
        <v>0.01</v>
      </c>
      <c r="DO45" s="258" t="s">
        <v>47</v>
      </c>
      <c r="DP45" s="259">
        <v>0.88</v>
      </c>
      <c r="DQ45" s="418" t="s">
        <v>46</v>
      </c>
      <c r="DR45" s="436">
        <v>1.29</v>
      </c>
      <c r="DS45" s="258" t="s">
        <v>43</v>
      </c>
      <c r="DT45" s="258" t="s">
        <v>47</v>
      </c>
      <c r="DU45" s="258">
        <v>0.88</v>
      </c>
      <c r="DV45" s="258" t="s">
        <v>47</v>
      </c>
      <c r="DW45" s="258">
        <v>0.91</v>
      </c>
      <c r="DX45" s="258" t="s">
        <v>45</v>
      </c>
      <c r="DY45" s="258">
        <v>0.84</v>
      </c>
      <c r="DZ45" s="258" t="s">
        <v>45</v>
      </c>
      <c r="EA45" s="258">
        <v>0.78</v>
      </c>
      <c r="EB45" s="258" t="s">
        <v>45</v>
      </c>
      <c r="EC45" s="420">
        <v>0.86</v>
      </c>
      <c r="ED45" s="420" t="s">
        <v>43</v>
      </c>
      <c r="EE45" s="420">
        <v>1.14</v>
      </c>
      <c r="EF45" s="258" t="s">
        <v>47</v>
      </c>
      <c r="EG45" s="99">
        <v>0.008721281792004845</v>
      </c>
      <c r="EH45" s="99">
        <v>2.94</v>
      </c>
      <c r="EI45" s="99">
        <v>0.91</v>
      </c>
      <c r="EJ45" s="99">
        <v>13.559999999999999</v>
      </c>
      <c r="EK45" s="99">
        <v>1.0456</v>
      </c>
      <c r="EL45" s="444">
        <v>12918</v>
      </c>
      <c r="EM45" s="444">
        <v>19891.419886812317</v>
      </c>
      <c r="EN45" s="708">
        <v>510.02731354337925</v>
      </c>
      <c r="EO45" s="99">
        <v>360</v>
      </c>
      <c r="EP45" s="444">
        <v>2.0454545454545454</v>
      </c>
      <c r="EQ45" s="444">
        <v>0.30712</v>
      </c>
      <c r="ER45" s="444">
        <v>3.256056264652253</v>
      </c>
      <c r="ES45" s="444">
        <v>0.5573445627941541</v>
      </c>
      <c r="ET45" s="444">
        <v>0.14906123208711197</v>
      </c>
      <c r="EU45" s="708">
        <v>0.14906123208711197</v>
      </c>
      <c r="EV45" s="99">
        <v>2866</v>
      </c>
      <c r="EW45" s="444">
        <v>2759</v>
      </c>
      <c r="EX45" s="712"/>
      <c r="EY45" s="99"/>
      <c r="EZ45" s="99"/>
      <c r="FA45" s="99"/>
      <c r="FB45" s="99"/>
      <c r="FC45" s="99"/>
      <c r="FD45" s="99"/>
      <c r="FE45" s="99"/>
      <c r="FF45" s="99"/>
      <c r="FG45" s="99"/>
      <c r="FH45" s="99"/>
      <c r="FI45" s="99"/>
      <c r="FJ45" s="99"/>
      <c r="FK45" s="99"/>
      <c r="FL45" s="99"/>
      <c r="FM45" s="99"/>
      <c r="FN45" s="99"/>
      <c r="FO45" s="391"/>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391"/>
    </row>
    <row r="46" spans="1:229" s="277" customFormat="1" ht="17.25" customHeight="1">
      <c r="A46" s="253" t="s">
        <v>48</v>
      </c>
      <c r="B46" s="253" t="s">
        <v>48</v>
      </c>
      <c r="C46" s="254" t="s">
        <v>47</v>
      </c>
      <c r="D46" s="254">
        <v>5.06</v>
      </c>
      <c r="E46" s="375" t="s">
        <v>54</v>
      </c>
      <c r="F46" s="253" t="s">
        <v>50</v>
      </c>
      <c r="G46" s="256">
        <v>1260</v>
      </c>
      <c r="H46" s="256">
        <v>1260</v>
      </c>
      <c r="I46" s="257">
        <f>(G46-H46)/G46</f>
        <v>0</v>
      </c>
      <c r="J46" s="255">
        <v>176</v>
      </c>
      <c r="K46" s="258">
        <v>370</v>
      </c>
      <c r="L46" s="259">
        <v>18462</v>
      </c>
      <c r="M46" s="269">
        <f t="shared" si="98"/>
        <v>12923.4</v>
      </c>
      <c r="N46" s="259">
        <f t="shared" si="99"/>
        <v>5538.599999999999</v>
      </c>
      <c r="O46" s="257">
        <f>L46-S46+X46</f>
        <v>13437.382080000001</v>
      </c>
      <c r="P46" s="260">
        <f t="shared" si="67"/>
        <v>13.43738208</v>
      </c>
      <c r="Q46" s="256">
        <f t="shared" si="101"/>
        <v>388.5</v>
      </c>
      <c r="R46" s="271">
        <v>30</v>
      </c>
      <c r="S46" s="259">
        <f t="shared" si="102"/>
        <v>5538.599999999999</v>
      </c>
      <c r="T46" s="258">
        <v>6</v>
      </c>
      <c r="U46" s="258">
        <v>3.2</v>
      </c>
      <c r="V46" s="258">
        <f>(T46+U46+(0.02*AD46*AF46))/100</f>
        <v>0.0928</v>
      </c>
      <c r="W46" s="258">
        <v>1</v>
      </c>
      <c r="X46" s="261">
        <f>S46*V46*W46</f>
        <v>513.9820799999999</v>
      </c>
      <c r="Y46" s="262">
        <v>50</v>
      </c>
      <c r="Z46" s="261">
        <f t="shared" si="86"/>
        <v>6718.691040000001</v>
      </c>
      <c r="AA46" s="262">
        <v>7</v>
      </c>
      <c r="AB46" s="259">
        <f>(AA46/100)*O46</f>
        <v>940.6167456000002</v>
      </c>
      <c r="AC46" s="258" t="s">
        <v>45</v>
      </c>
      <c r="AD46" s="258">
        <v>10</v>
      </c>
      <c r="AE46" s="258" t="s">
        <v>44</v>
      </c>
      <c r="AF46" s="258">
        <v>0.4</v>
      </c>
      <c r="AG46" s="261">
        <f t="shared" si="87"/>
        <v>978.2414154240003</v>
      </c>
      <c r="AH46" s="261">
        <f t="shared" si="88"/>
        <v>87000</v>
      </c>
      <c r="AI46" s="261">
        <f t="shared" si="89"/>
        <v>85500</v>
      </c>
      <c r="AJ46" s="263">
        <f t="shared" si="90"/>
        <v>0.017241379310344827</v>
      </c>
      <c r="AK46" s="264">
        <v>15</v>
      </c>
      <c r="AL46" s="265">
        <v>8</v>
      </c>
      <c r="AM46" s="380">
        <f t="shared" si="81"/>
        <v>4.603174603174603</v>
      </c>
      <c r="AN46" s="266">
        <f t="shared" si="82"/>
        <v>4.523809523809524</v>
      </c>
      <c r="AO46" s="800">
        <f t="shared" si="29"/>
        <v>0.01724137931034477</v>
      </c>
      <c r="AP46" s="765">
        <v>5800</v>
      </c>
      <c r="AQ46" s="765"/>
      <c r="AR46" s="256">
        <v>5800</v>
      </c>
      <c r="AS46" s="255">
        <v>5700</v>
      </c>
      <c r="AT46" s="255"/>
      <c r="AU46" s="264">
        <v>5700</v>
      </c>
      <c r="AV46" s="257">
        <f t="shared" si="91"/>
        <v>-0.017543859649122806</v>
      </c>
      <c r="AW46" s="362">
        <f>41.9+18.9</f>
        <v>60.8</v>
      </c>
      <c r="AX46" s="363">
        <f t="shared" si="30"/>
        <v>18.24</v>
      </c>
      <c r="AY46" s="267">
        <v>5</v>
      </c>
      <c r="AZ46" s="268">
        <v>11</v>
      </c>
      <c r="BA46" s="268">
        <v>6</v>
      </c>
      <c r="BB46" s="268">
        <v>2.5</v>
      </c>
      <c r="BC46" s="268">
        <v>8</v>
      </c>
      <c r="BD46" s="269">
        <f t="shared" si="83"/>
        <v>2.3167900137931037</v>
      </c>
      <c r="BE46" s="255">
        <v>1</v>
      </c>
      <c r="BF46" s="270">
        <v>1</v>
      </c>
      <c r="BG46" s="256">
        <f>BE46-BF46</f>
        <v>0</v>
      </c>
      <c r="BH46" s="255">
        <v>306</v>
      </c>
      <c r="BI46" s="255">
        <v>306</v>
      </c>
      <c r="BJ46" s="261">
        <f t="shared" si="92"/>
        <v>0</v>
      </c>
      <c r="BK46" s="255">
        <v>2</v>
      </c>
      <c r="BL46" s="255">
        <v>2</v>
      </c>
      <c r="BM46" s="271">
        <f t="shared" si="93"/>
        <v>0</v>
      </c>
      <c r="BN46" s="96">
        <f t="shared" si="34"/>
        <v>0.022772292860187837</v>
      </c>
      <c r="BO46" s="255"/>
      <c r="BP46" s="255">
        <v>130</v>
      </c>
      <c r="BQ46" s="255">
        <v>0</v>
      </c>
      <c r="BR46" s="96">
        <f t="shared" si="15"/>
        <v>0.7018348623853211</v>
      </c>
      <c r="BS46" s="269">
        <f t="shared" si="84"/>
        <v>70.3872437357631</v>
      </c>
      <c r="BT46" s="269">
        <f t="shared" si="52"/>
        <v>1</v>
      </c>
      <c r="BU46" s="272">
        <f t="shared" si="94"/>
        <v>28.636363636363637</v>
      </c>
      <c r="BV46" s="255">
        <v>32</v>
      </c>
      <c r="BW46" s="255">
        <v>31</v>
      </c>
      <c r="BX46" s="273">
        <f t="shared" si="95"/>
        <v>1.032258064516129</v>
      </c>
      <c r="BY46" s="255">
        <f t="shared" si="85"/>
        <v>16</v>
      </c>
      <c r="BZ46" s="71">
        <f t="shared" si="20"/>
        <v>0.5</v>
      </c>
      <c r="CA46" s="695"/>
      <c r="CB46" s="695"/>
      <c r="CC46" s="274"/>
      <c r="CD46" s="275">
        <v>90</v>
      </c>
      <c r="CE46" s="275">
        <v>0</v>
      </c>
      <c r="CF46" s="276">
        <v>100</v>
      </c>
      <c r="CG46" s="275">
        <v>5</v>
      </c>
      <c r="CH46" s="275">
        <v>5</v>
      </c>
      <c r="CI46" s="256">
        <f>SUM(CG46,CH46)</f>
        <v>10</v>
      </c>
      <c r="CJ46" s="269">
        <f>(G46/176)*4</f>
        <v>28.636363636363637</v>
      </c>
      <c r="CK46" s="418" t="s">
        <v>45</v>
      </c>
      <c r="CL46" s="418">
        <v>1.24</v>
      </c>
      <c r="CM46" s="419" t="s">
        <v>42</v>
      </c>
      <c r="CN46" s="259">
        <v>0</v>
      </c>
      <c r="CO46" s="258" t="s">
        <v>42</v>
      </c>
      <c r="CP46" s="258">
        <v>0</v>
      </c>
      <c r="CQ46" s="419" t="s">
        <v>42</v>
      </c>
      <c r="CR46" s="426">
        <v>0</v>
      </c>
      <c r="CS46" s="253" t="s">
        <v>48</v>
      </c>
      <c r="CT46" s="271" t="s">
        <v>47</v>
      </c>
      <c r="CU46" s="271">
        <v>3.12</v>
      </c>
      <c r="CV46" s="258" t="s">
        <v>47</v>
      </c>
      <c r="CW46" s="430">
        <v>1.1</v>
      </c>
      <c r="CX46" s="788" t="s">
        <v>44</v>
      </c>
      <c r="CY46" s="788">
        <v>1</v>
      </c>
      <c r="CZ46" s="258" t="s">
        <v>43</v>
      </c>
      <c r="DA46" s="258">
        <v>0.95</v>
      </c>
      <c r="DB46" s="258" t="s">
        <v>47</v>
      </c>
      <c r="DC46" s="258">
        <v>1.11</v>
      </c>
      <c r="DD46" s="258" t="s">
        <v>42</v>
      </c>
      <c r="DE46" s="258">
        <v>1.74</v>
      </c>
      <c r="DF46" s="258" t="s">
        <v>44</v>
      </c>
      <c r="DG46" s="258">
        <v>1</v>
      </c>
      <c r="DH46" s="258" t="s">
        <v>44</v>
      </c>
      <c r="DI46" s="258">
        <v>1</v>
      </c>
      <c r="DJ46" s="418" t="s">
        <v>44</v>
      </c>
      <c r="DK46" s="418">
        <v>1</v>
      </c>
      <c r="DL46" s="418" t="s">
        <v>45</v>
      </c>
      <c r="DM46" s="258" t="s">
        <v>47</v>
      </c>
      <c r="DN46" s="259">
        <v>0.01</v>
      </c>
      <c r="DO46" s="258" t="s">
        <v>45</v>
      </c>
      <c r="DP46" s="259">
        <v>0.76</v>
      </c>
      <c r="DQ46" s="258" t="s">
        <v>43</v>
      </c>
      <c r="DR46" s="259">
        <v>1.12</v>
      </c>
      <c r="DS46" s="258" t="s">
        <v>45</v>
      </c>
      <c r="DT46" s="258" t="s">
        <v>45</v>
      </c>
      <c r="DU46" s="258">
        <v>0.81</v>
      </c>
      <c r="DV46" s="258" t="s">
        <v>45</v>
      </c>
      <c r="DW46" s="258">
        <v>0.85</v>
      </c>
      <c r="DX46" s="258" t="s">
        <v>45</v>
      </c>
      <c r="DY46" s="258">
        <v>0.84</v>
      </c>
      <c r="DZ46" s="258" t="s">
        <v>47</v>
      </c>
      <c r="EA46" s="258">
        <v>0.9</v>
      </c>
      <c r="EB46" s="258" t="s">
        <v>42</v>
      </c>
      <c r="EC46" s="420">
        <v>0.8</v>
      </c>
      <c r="ED46" s="420" t="s">
        <v>44</v>
      </c>
      <c r="EE46" s="420">
        <v>1</v>
      </c>
      <c r="EF46" s="258" t="s">
        <v>44</v>
      </c>
      <c r="EG46" s="99">
        <f>CW46*CY46*DA46*DC46*DE46*DG46*DI46*DK46*DN46*DP46*DR46*DU46*DW46*DY46*EA46*EC46*EE46</f>
        <v>0.0071537846020236304</v>
      </c>
      <c r="EH46" s="99">
        <v>2.94</v>
      </c>
      <c r="EI46" s="99">
        <v>0.91</v>
      </c>
      <c r="EJ46" s="99">
        <f>SUM(CL46,CN46,CP46,CR46,CU46,CW46,CW46)</f>
        <v>6.5600000000000005</v>
      </c>
      <c r="EK46" s="99">
        <f>EI46+0.01*EJ46</f>
        <v>0.9756</v>
      </c>
      <c r="EL46" s="444">
        <f>L46</f>
        <v>18462</v>
      </c>
      <c r="EM46" s="444">
        <f>POWER(EL46,EK46)</f>
        <v>14527.187609719911</v>
      </c>
      <c r="EN46" s="708">
        <f>EH46*EM46*EG46</f>
        <v>305.53765083738097</v>
      </c>
      <c r="EO46" s="99">
        <f>G46</f>
        <v>1260</v>
      </c>
      <c r="EP46" s="444">
        <f>G46/J46</f>
        <v>7.159090909090909</v>
      </c>
      <c r="EQ46" s="444">
        <f>0.28+0.2*0.01*EJ46</f>
        <v>0.29312000000000005</v>
      </c>
      <c r="ER46" s="444">
        <f>1/EQ46</f>
        <v>3.411572052401746</v>
      </c>
      <c r="ES46" s="444">
        <f>(EP46/3.67)</f>
        <v>1.9507059697795393</v>
      </c>
      <c r="ET46" s="444">
        <f>POWER(ES46,ER46)</f>
        <v>9.772603512899048</v>
      </c>
      <c r="EU46" s="708">
        <f>ET46</f>
        <v>9.772603512899048</v>
      </c>
      <c r="EV46" s="99">
        <f>AR46</f>
        <v>5800</v>
      </c>
      <c r="EW46" s="444">
        <f>AU46</f>
        <v>5700</v>
      </c>
      <c r="EX46" s="712"/>
      <c r="EY46" s="99"/>
      <c r="EZ46" s="99"/>
      <c r="FA46" s="99"/>
      <c r="FB46" s="99"/>
      <c r="FC46" s="99"/>
      <c r="FD46" s="99"/>
      <c r="FE46" s="99"/>
      <c r="FF46" s="99"/>
      <c r="FG46" s="99"/>
      <c r="FH46" s="99"/>
      <c r="FI46" s="99"/>
      <c r="FJ46" s="99"/>
      <c r="FK46" s="99"/>
      <c r="FL46" s="99"/>
      <c r="FM46" s="99"/>
      <c r="FN46" s="99"/>
      <c r="FO46" s="391"/>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391"/>
    </row>
    <row r="47" spans="1:229" s="277" customFormat="1" ht="13.5" customHeight="1">
      <c r="A47" s="253" t="s">
        <v>48</v>
      </c>
      <c r="B47" s="253" t="s">
        <v>48</v>
      </c>
      <c r="C47" s="254" t="s">
        <v>47</v>
      </c>
      <c r="D47" s="254">
        <v>5.06</v>
      </c>
      <c r="E47" s="375" t="s">
        <v>54</v>
      </c>
      <c r="F47" s="253" t="s">
        <v>50</v>
      </c>
      <c r="G47" s="256">
        <v>501</v>
      </c>
      <c r="H47" s="256">
        <v>474</v>
      </c>
      <c r="I47" s="723">
        <f>(G47-H47)/G47</f>
        <v>0.05389221556886228</v>
      </c>
      <c r="J47" s="255">
        <v>176</v>
      </c>
      <c r="K47" s="258">
        <v>241</v>
      </c>
      <c r="L47" s="259">
        <v>13100</v>
      </c>
      <c r="M47" s="259">
        <f>L47*((100-R47)/100)</f>
        <v>9170</v>
      </c>
      <c r="N47" s="259">
        <f>(R47/100)*L47</f>
        <v>3930</v>
      </c>
      <c r="O47" s="723">
        <f>L47-S47+X47</f>
        <v>9514.268</v>
      </c>
      <c r="P47" s="260">
        <f t="shared" si="67"/>
        <v>9.514268</v>
      </c>
      <c r="Q47" s="256">
        <f t="shared" si="101"/>
        <v>253.05</v>
      </c>
      <c r="R47" s="271">
        <v>30</v>
      </c>
      <c r="S47" s="259">
        <f t="shared" si="102"/>
        <v>3930</v>
      </c>
      <c r="T47" s="258">
        <v>6</v>
      </c>
      <c r="U47" s="258">
        <v>2.6</v>
      </c>
      <c r="V47" s="258">
        <f>(T47+U47+(0.02*AD47*AF47))/100</f>
        <v>0.0876</v>
      </c>
      <c r="W47" s="258">
        <v>1</v>
      </c>
      <c r="X47" s="261">
        <f>S47*V47*W47</f>
        <v>344.268</v>
      </c>
      <c r="Y47" s="271">
        <v>50</v>
      </c>
      <c r="Z47" s="261">
        <f t="shared" si="86"/>
        <v>4757.134</v>
      </c>
      <c r="AA47" s="271">
        <v>5</v>
      </c>
      <c r="AB47" s="259">
        <f>(AA47/100)*O47</f>
        <v>475.71340000000004</v>
      </c>
      <c r="AC47" s="258" t="s">
        <v>47</v>
      </c>
      <c r="AD47" s="258">
        <v>20</v>
      </c>
      <c r="AE47" s="258" t="s">
        <v>44</v>
      </c>
      <c r="AF47" s="258">
        <v>0.4</v>
      </c>
      <c r="AG47" s="261">
        <f t="shared" si="87"/>
        <v>513.770472</v>
      </c>
      <c r="AH47" s="261">
        <f t="shared" si="88"/>
        <v>42990</v>
      </c>
      <c r="AI47" s="261">
        <f t="shared" si="89"/>
        <v>41385</v>
      </c>
      <c r="AJ47" s="263">
        <f t="shared" si="90"/>
        <v>0.037334263782274946</v>
      </c>
      <c r="AK47" s="264">
        <v>15</v>
      </c>
      <c r="AL47" s="265">
        <v>6</v>
      </c>
      <c r="AM47" s="380">
        <f>AR47/G47</f>
        <v>5.720558882235529</v>
      </c>
      <c r="AN47" s="266">
        <f>AU47/H47</f>
        <v>5.820675105485232</v>
      </c>
      <c r="AO47" s="800">
        <f>(AM47-AN47)/AM47</f>
        <v>-0.017501126255443554</v>
      </c>
      <c r="AP47" s="765">
        <v>2866</v>
      </c>
      <c r="AQ47" s="765"/>
      <c r="AR47" s="256">
        <v>2866</v>
      </c>
      <c r="AS47" s="255">
        <v>2759</v>
      </c>
      <c r="AT47" s="255"/>
      <c r="AU47" s="264">
        <v>2759</v>
      </c>
      <c r="AV47" s="723">
        <f t="shared" si="91"/>
        <v>-0.03878216745197535</v>
      </c>
      <c r="AW47" s="724">
        <f>25.1+39.9</f>
        <v>65</v>
      </c>
      <c r="AX47" s="718">
        <f>AW47*(R47/100)</f>
        <v>19.5</v>
      </c>
      <c r="AY47" s="255">
        <v>6</v>
      </c>
      <c r="AZ47" s="268">
        <v>16</v>
      </c>
      <c r="BA47" s="268">
        <v>4.6</v>
      </c>
      <c r="BB47" s="268">
        <v>1.1</v>
      </c>
      <c r="BC47" s="268">
        <v>6</v>
      </c>
      <c r="BD47" s="269">
        <f>O47/AR47</f>
        <v>3.319702721563154</v>
      </c>
      <c r="BE47" s="255">
        <v>11</v>
      </c>
      <c r="BF47" s="255">
        <v>11</v>
      </c>
      <c r="BG47" s="256">
        <f>BE47-BF47</f>
        <v>0</v>
      </c>
      <c r="BH47" s="255">
        <v>116</v>
      </c>
      <c r="BI47" s="255">
        <v>116</v>
      </c>
      <c r="BJ47" s="261">
        <f t="shared" si="92"/>
        <v>0</v>
      </c>
      <c r="BK47" s="255">
        <v>20</v>
      </c>
      <c r="BL47" s="255">
        <v>20</v>
      </c>
      <c r="BM47" s="271">
        <f t="shared" si="93"/>
        <v>0</v>
      </c>
      <c r="BN47" s="96">
        <f>BH47/O47</f>
        <v>0.012192214892412113</v>
      </c>
      <c r="BO47" s="255"/>
      <c r="BP47" s="255">
        <v>21</v>
      </c>
      <c r="BQ47" s="255">
        <v>0</v>
      </c>
      <c r="BR47" s="96">
        <f>BH47/(BH47+BP47)</f>
        <v>0.8467153284671532</v>
      </c>
      <c r="BS47" s="269">
        <f>SUM(BH47,BE47,BK47)*100/SUM(BH47,BE47,BK47,BP47,BQ47)</f>
        <v>87.5</v>
      </c>
      <c r="BT47" s="269">
        <f>SUM(BF47,BI47,BL47)/SUM(BE47,BH47,BK47)</f>
        <v>1</v>
      </c>
      <c r="BU47" s="272">
        <f t="shared" si="94"/>
        <v>11.386363636363637</v>
      </c>
      <c r="BV47" s="255">
        <v>22</v>
      </c>
      <c r="BW47" s="255">
        <v>39</v>
      </c>
      <c r="BX47" s="284">
        <f t="shared" si="95"/>
        <v>0.5641025641025641</v>
      </c>
      <c r="BY47" s="255">
        <f>BV47*Y47/100</f>
        <v>11</v>
      </c>
      <c r="BZ47" s="71">
        <f>BY47/BV47</f>
        <v>0.5</v>
      </c>
      <c r="CA47" s="274"/>
      <c r="CB47" s="274"/>
      <c r="CC47" s="274"/>
      <c r="CD47" s="725">
        <v>90</v>
      </c>
      <c r="CE47" s="726">
        <v>0</v>
      </c>
      <c r="CF47" s="727">
        <v>100</v>
      </c>
      <c r="CG47" s="726">
        <v>5</v>
      </c>
      <c r="CH47" s="726">
        <v>5</v>
      </c>
      <c r="CI47" s="256">
        <f>SUM(CG47,CH47)</f>
        <v>10</v>
      </c>
      <c r="CJ47" s="269">
        <f>(G47/176)*4</f>
        <v>11.386363636363637</v>
      </c>
      <c r="CK47" s="418" t="s">
        <v>47</v>
      </c>
      <c r="CL47" s="418">
        <v>2.48</v>
      </c>
      <c r="CM47" s="258" t="s">
        <v>47</v>
      </c>
      <c r="CN47" s="259">
        <v>2.03</v>
      </c>
      <c r="CO47" s="258" t="s">
        <v>47</v>
      </c>
      <c r="CP47" s="258">
        <v>2.83</v>
      </c>
      <c r="CQ47" s="258" t="s">
        <v>45</v>
      </c>
      <c r="CR47" s="258">
        <v>1.1</v>
      </c>
      <c r="CS47" s="253" t="s">
        <v>48</v>
      </c>
      <c r="CT47" s="271" t="s">
        <v>47</v>
      </c>
      <c r="CU47" s="271">
        <v>3.12</v>
      </c>
      <c r="CV47" s="258" t="s">
        <v>44</v>
      </c>
      <c r="CW47" s="430">
        <v>1</v>
      </c>
      <c r="CX47" s="788" t="s">
        <v>44</v>
      </c>
      <c r="CY47" s="788">
        <v>1</v>
      </c>
      <c r="CZ47" s="258" t="s">
        <v>45</v>
      </c>
      <c r="DA47" s="258">
        <v>1</v>
      </c>
      <c r="DB47" s="258" t="s">
        <v>47</v>
      </c>
      <c r="DC47" s="258">
        <v>1.11</v>
      </c>
      <c r="DD47" s="258" t="s">
        <v>47</v>
      </c>
      <c r="DE47" s="258">
        <v>1.17</v>
      </c>
      <c r="DF47" s="258" t="s">
        <v>44</v>
      </c>
      <c r="DG47" s="258">
        <v>1</v>
      </c>
      <c r="DH47" s="258" t="s">
        <v>44</v>
      </c>
      <c r="DI47" s="258">
        <v>1</v>
      </c>
      <c r="DJ47" s="418" t="s">
        <v>47</v>
      </c>
      <c r="DK47" s="418">
        <v>1.15</v>
      </c>
      <c r="DL47" s="418" t="s">
        <v>45</v>
      </c>
      <c r="DM47" s="258" t="s">
        <v>47</v>
      </c>
      <c r="DN47" s="259">
        <v>0.01</v>
      </c>
      <c r="DO47" s="258" t="s">
        <v>47</v>
      </c>
      <c r="DP47" s="259">
        <v>0.88</v>
      </c>
      <c r="DQ47" s="418" t="s">
        <v>46</v>
      </c>
      <c r="DR47" s="436">
        <v>1.29</v>
      </c>
      <c r="DS47" s="258" t="s">
        <v>43</v>
      </c>
      <c r="DT47" s="258" t="s">
        <v>47</v>
      </c>
      <c r="DU47" s="258">
        <v>0.88</v>
      </c>
      <c r="DV47" s="258" t="s">
        <v>47</v>
      </c>
      <c r="DW47" s="258">
        <v>0.91</v>
      </c>
      <c r="DX47" s="258" t="s">
        <v>45</v>
      </c>
      <c r="DY47" s="258">
        <v>0.84</v>
      </c>
      <c r="DZ47" s="258" t="s">
        <v>45</v>
      </c>
      <c r="EA47" s="258">
        <v>0.78</v>
      </c>
      <c r="EB47" s="258" t="s">
        <v>45</v>
      </c>
      <c r="EC47" s="420">
        <v>0.86</v>
      </c>
      <c r="ED47" s="420" t="s">
        <v>43</v>
      </c>
      <c r="EE47" s="420">
        <v>1.14</v>
      </c>
      <c r="EF47" s="258" t="s">
        <v>47</v>
      </c>
      <c r="EG47" s="99">
        <f>CW47*CY47*DA47*DC47*DE47*DG47*DI47*DK47*DN47*DP47*DR47*DU47*DW47*DY47*EA47*EC47*EE47</f>
        <v>0.008721281792004845</v>
      </c>
      <c r="EH47" s="99">
        <v>2.94</v>
      </c>
      <c r="EI47" s="99">
        <v>0.91</v>
      </c>
      <c r="EJ47" s="99">
        <f>SUM(CL47,CN47,CP47,CR47,CU47,CW47,CW47)</f>
        <v>13.559999999999999</v>
      </c>
      <c r="EK47" s="99">
        <f>EI47+0.01*EJ47</f>
        <v>1.0456</v>
      </c>
      <c r="EL47" s="444">
        <f>L47</f>
        <v>13100</v>
      </c>
      <c r="EM47" s="444">
        <f>POWER(EL47,EK47)</f>
        <v>20184.540480004744</v>
      </c>
      <c r="EN47" s="708">
        <f>EH47*EM47*EG47</f>
        <v>517.5430921826553</v>
      </c>
      <c r="EO47" s="99">
        <f>G47</f>
        <v>501</v>
      </c>
      <c r="EP47" s="444">
        <f>G47/J47</f>
        <v>2.846590909090909</v>
      </c>
      <c r="EQ47" s="444">
        <f>0.28+0.2*0.01*EJ47</f>
        <v>0.30712</v>
      </c>
      <c r="ER47" s="444">
        <f>1/EQ47</f>
        <v>3.256056264652253</v>
      </c>
      <c r="ES47" s="444">
        <f>(EP47/3.67)</f>
        <v>0.7756378498885311</v>
      </c>
      <c r="ET47" s="444">
        <f>POWER(ES47,ER47)</f>
        <v>0.43724361424992797</v>
      </c>
      <c r="EU47" s="708">
        <f>ET47</f>
        <v>0.43724361424992797</v>
      </c>
      <c r="EV47" s="99">
        <f>AR47</f>
        <v>2866</v>
      </c>
      <c r="EW47" s="444">
        <f>AU47</f>
        <v>2759</v>
      </c>
      <c r="EX47" s="712"/>
      <c r="EY47" s="99"/>
      <c r="EZ47" s="99"/>
      <c r="FA47" s="99"/>
      <c r="FB47" s="99"/>
      <c r="FC47" s="99"/>
      <c r="FD47" s="99"/>
      <c r="FE47" s="99"/>
      <c r="FF47" s="99"/>
      <c r="FG47" s="99"/>
      <c r="FH47" s="99"/>
      <c r="FI47" s="99"/>
      <c r="FJ47" s="99"/>
      <c r="FK47" s="99"/>
      <c r="FL47" s="99"/>
      <c r="FM47" s="99"/>
      <c r="FN47" s="99"/>
      <c r="FO47" s="391"/>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391"/>
    </row>
    <row r="48" spans="1:229" s="538" customFormat="1" ht="15.75" customHeight="1">
      <c r="A48" s="491"/>
      <c r="B48" s="491"/>
      <c r="C48" s="524"/>
      <c r="D48" s="524"/>
      <c r="E48" s="492"/>
      <c r="F48" s="491"/>
      <c r="G48" s="500"/>
      <c r="H48" s="472"/>
      <c r="I48" s="455"/>
      <c r="J48" s="496"/>
      <c r="K48" s="496"/>
      <c r="L48" s="477"/>
      <c r="M48" s="477"/>
      <c r="N48" s="499"/>
      <c r="O48" s="455"/>
      <c r="P48" s="498"/>
      <c r="Q48" s="525"/>
      <c r="R48" s="507"/>
      <c r="S48" s="499"/>
      <c r="T48" s="526"/>
      <c r="U48" s="526"/>
      <c r="V48" s="493"/>
      <c r="W48" s="493"/>
      <c r="X48" s="473"/>
      <c r="Y48" s="507"/>
      <c r="Z48" s="473"/>
      <c r="AA48" s="526"/>
      <c r="AB48" s="499"/>
      <c r="AC48" s="493"/>
      <c r="AD48" s="493"/>
      <c r="AE48" s="493"/>
      <c r="AF48" s="499"/>
      <c r="AG48" s="473"/>
      <c r="AH48" s="473"/>
      <c r="AI48" s="473"/>
      <c r="AJ48" s="462"/>
      <c r="AK48" s="500"/>
      <c r="AL48" s="527"/>
      <c r="AM48" s="528"/>
      <c r="AN48" s="465"/>
      <c r="AO48" s="467"/>
      <c r="AP48" s="767"/>
      <c r="AQ48" s="768"/>
      <c r="AR48" s="529"/>
      <c r="AS48" s="519"/>
      <c r="AT48" s="496"/>
      <c r="AU48" s="502"/>
      <c r="AV48" s="455"/>
      <c r="AW48" s="498"/>
      <c r="AX48" s="455"/>
      <c r="AY48" s="496"/>
      <c r="AZ48" s="496"/>
      <c r="BA48" s="530"/>
      <c r="BB48" s="496"/>
      <c r="BC48" s="496"/>
      <c r="BD48" s="477"/>
      <c r="BE48" s="472"/>
      <c r="BF48" s="472"/>
      <c r="BG48" s="472"/>
      <c r="BH48" s="496"/>
      <c r="BI48" s="477"/>
      <c r="BJ48" s="473"/>
      <c r="BK48" s="496"/>
      <c r="BL48" s="477"/>
      <c r="BM48" s="446"/>
      <c r="BN48" s="477"/>
      <c r="BO48" s="496"/>
      <c r="BP48" s="496"/>
      <c r="BQ48" s="496"/>
      <c r="BR48" s="477"/>
      <c r="BS48" s="477"/>
      <c r="BT48" s="477"/>
      <c r="BU48" s="531"/>
      <c r="BV48" s="496"/>
      <c r="BW48" s="496"/>
      <c r="BX48" s="505"/>
      <c r="BY48" s="532"/>
      <c r="BZ48" s="474"/>
      <c r="CA48" s="693"/>
      <c r="CB48" s="698"/>
      <c r="CC48" s="496"/>
      <c r="CD48" s="533"/>
      <c r="CE48" s="446"/>
      <c r="CF48" s="507"/>
      <c r="CG48" s="496"/>
      <c r="CH48" s="496"/>
      <c r="CI48" s="472"/>
      <c r="CJ48" s="477"/>
      <c r="CK48" s="508"/>
      <c r="CL48" s="508"/>
      <c r="CM48" s="493"/>
      <c r="CN48" s="499"/>
      <c r="CO48" s="493"/>
      <c r="CP48" s="493"/>
      <c r="CQ48" s="493"/>
      <c r="CR48" s="493"/>
      <c r="CS48" s="491"/>
      <c r="CT48" s="493"/>
      <c r="CU48" s="493"/>
      <c r="CV48" s="493"/>
      <c r="CW48" s="534"/>
      <c r="CX48" s="789"/>
      <c r="CY48" s="790"/>
      <c r="CZ48" s="493"/>
      <c r="DA48" s="493"/>
      <c r="DB48" s="493"/>
      <c r="DC48" s="493"/>
      <c r="DD48" s="493"/>
      <c r="DE48" s="493"/>
      <c r="DF48" s="493"/>
      <c r="DG48" s="493"/>
      <c r="DH48" s="508"/>
      <c r="DI48" s="493"/>
      <c r="DJ48" s="508"/>
      <c r="DK48" s="508"/>
      <c r="DL48" s="508"/>
      <c r="DM48" s="493"/>
      <c r="DN48" s="499"/>
      <c r="DO48" s="493"/>
      <c r="DP48" s="499"/>
      <c r="DQ48" s="508"/>
      <c r="DR48" s="535"/>
      <c r="DS48" s="493"/>
      <c r="DT48" s="493"/>
      <c r="DU48" s="493"/>
      <c r="DV48" s="493"/>
      <c r="DW48" s="493"/>
      <c r="DX48" s="493"/>
      <c r="DY48" s="493"/>
      <c r="DZ48" s="493"/>
      <c r="EA48" s="493"/>
      <c r="EB48" s="493"/>
      <c r="EC48" s="536"/>
      <c r="ED48" s="536"/>
      <c r="EE48" s="536"/>
      <c r="EF48" s="493"/>
      <c r="EG48" s="445"/>
      <c r="EH48" s="445"/>
      <c r="EI48" s="445"/>
      <c r="EJ48" s="445"/>
      <c r="EK48" s="445"/>
      <c r="EL48" s="488"/>
      <c r="EM48" s="488"/>
      <c r="EN48" s="488"/>
      <c r="EO48" s="445"/>
      <c r="EP48" s="488"/>
      <c r="EQ48" s="488"/>
      <c r="ER48" s="488"/>
      <c r="ES48" s="488"/>
      <c r="ET48" s="488"/>
      <c r="EU48" s="702" t="s">
        <v>421</v>
      </c>
      <c r="EV48" s="445"/>
      <c r="EW48" s="488"/>
      <c r="EX48" s="714" t="s">
        <v>425</v>
      </c>
      <c r="EY48" s="445"/>
      <c r="EZ48" s="445"/>
      <c r="FA48" s="445"/>
      <c r="FB48" s="445"/>
      <c r="FC48" s="445"/>
      <c r="FD48" s="445"/>
      <c r="FE48" s="445"/>
      <c r="FF48" s="445"/>
      <c r="FG48" s="445"/>
      <c r="FH48" s="445"/>
      <c r="FI48" s="445"/>
      <c r="FJ48" s="445"/>
      <c r="FK48" s="445"/>
      <c r="FL48" s="445"/>
      <c r="FM48" s="445"/>
      <c r="FN48" s="445"/>
      <c r="FO48" s="537"/>
      <c r="FQ48" s="445"/>
      <c r="FR48" s="445"/>
      <c r="FS48" s="445"/>
      <c r="FT48" s="445"/>
      <c r="FU48" s="445"/>
      <c r="FV48" s="445"/>
      <c r="FW48" s="445"/>
      <c r="FX48" s="445"/>
      <c r="FY48" s="445"/>
      <c r="FZ48" s="445"/>
      <c r="GA48" s="445"/>
      <c r="GB48" s="445"/>
      <c r="GC48" s="445"/>
      <c r="GD48" s="445"/>
      <c r="GE48" s="445"/>
      <c r="GF48" s="445"/>
      <c r="GG48" s="445"/>
      <c r="GH48" s="445"/>
      <c r="GI48" s="445"/>
      <c r="GJ48" s="445"/>
      <c r="GK48" s="445"/>
      <c r="GL48" s="445"/>
      <c r="GM48" s="445"/>
      <c r="GN48" s="445"/>
      <c r="GO48" s="445"/>
      <c r="GP48" s="445"/>
      <c r="GQ48" s="445"/>
      <c r="GR48" s="445"/>
      <c r="GS48" s="445"/>
      <c r="GT48" s="445"/>
      <c r="GU48" s="445"/>
      <c r="GV48" s="445"/>
      <c r="GW48" s="445"/>
      <c r="GX48" s="445"/>
      <c r="GY48" s="445"/>
      <c r="GZ48" s="445"/>
      <c r="HA48" s="445"/>
      <c r="HB48" s="445"/>
      <c r="HC48" s="445"/>
      <c r="HD48" s="445"/>
      <c r="HE48" s="445"/>
      <c r="HF48" s="445"/>
      <c r="HG48" s="445"/>
      <c r="HH48" s="445"/>
      <c r="HI48" s="445"/>
      <c r="HJ48" s="445"/>
      <c r="HK48" s="445"/>
      <c r="HL48" s="445"/>
      <c r="HM48" s="445"/>
      <c r="HN48" s="445"/>
      <c r="HO48" s="445"/>
      <c r="HP48" s="445"/>
      <c r="HQ48" s="445"/>
      <c r="HR48" s="445"/>
      <c r="HS48" s="445"/>
      <c r="HT48" s="445"/>
      <c r="HU48" s="537"/>
    </row>
    <row r="49" spans="1:229" s="311" customFormat="1" ht="18" customHeight="1">
      <c r="A49" s="287" t="s">
        <v>177</v>
      </c>
      <c r="B49" s="287" t="s">
        <v>177</v>
      </c>
      <c r="C49" s="287" t="s">
        <v>45</v>
      </c>
      <c r="D49" s="287">
        <v>5.79</v>
      </c>
      <c r="E49" s="376" t="s">
        <v>51</v>
      </c>
      <c r="F49" s="287" t="s">
        <v>52</v>
      </c>
      <c r="G49" s="289">
        <f>234*8</f>
        <v>1872</v>
      </c>
      <c r="H49" s="289">
        <v>1528</v>
      </c>
      <c r="I49" s="290">
        <f t="shared" si="80"/>
        <v>0.18376068376068377</v>
      </c>
      <c r="J49" s="288">
        <f t="shared" si="97"/>
        <v>176</v>
      </c>
      <c r="K49" s="288">
        <v>78.25</v>
      </c>
      <c r="L49" s="291">
        <f aca="true" t="shared" si="105" ref="L49:L56">K49*(0.65+0.4)*29.5</f>
        <v>2423.7937500000003</v>
      </c>
      <c r="M49" s="291">
        <f t="shared" si="98"/>
        <v>969.5175000000002</v>
      </c>
      <c r="N49" s="292">
        <f t="shared" si="99"/>
        <v>1454.2762500000001</v>
      </c>
      <c r="O49" s="290">
        <f t="shared" si="100"/>
        <v>1095.7486785</v>
      </c>
      <c r="P49" s="293">
        <f t="shared" si="67"/>
        <v>1.0957486785000001</v>
      </c>
      <c r="Q49" s="290">
        <f t="shared" si="101"/>
        <v>82.16250000000001</v>
      </c>
      <c r="R49" s="310">
        <v>60</v>
      </c>
      <c r="S49" s="292">
        <f t="shared" si="102"/>
        <v>1454.2762500000001</v>
      </c>
      <c r="T49" s="294">
        <v>8</v>
      </c>
      <c r="U49" s="294">
        <v>0.6</v>
      </c>
      <c r="V49" s="295">
        <f t="shared" si="103"/>
        <v>0.0868</v>
      </c>
      <c r="W49" s="295">
        <v>1</v>
      </c>
      <c r="X49" s="296">
        <f aca="true" t="shared" si="106" ref="X49:X56">S49*V49*W49</f>
        <v>126.23117850000001</v>
      </c>
      <c r="Y49" s="310">
        <v>30</v>
      </c>
      <c r="Z49" s="296">
        <f aca="true" t="shared" si="107" ref="Z49:Z74">(Y49/100)*O49</f>
        <v>328.72460355000004</v>
      </c>
      <c r="AA49" s="294">
        <v>3</v>
      </c>
      <c r="AB49" s="292">
        <f t="shared" si="104"/>
        <v>32.872460355</v>
      </c>
      <c r="AC49" s="295" t="s">
        <v>47</v>
      </c>
      <c r="AD49" s="295">
        <v>20</v>
      </c>
      <c r="AE49" s="295" t="s">
        <v>43</v>
      </c>
      <c r="AF49" s="292">
        <v>0.2</v>
      </c>
      <c r="AG49" s="296">
        <f aca="true" t="shared" si="108" ref="AG49:AG56">AB49*(1+(AD49/100)*AF49)</f>
        <v>34.1873587692</v>
      </c>
      <c r="AH49" s="296">
        <f aca="true" t="shared" si="109" ref="AH49:AH74">AR49*AK49</f>
        <v>87648</v>
      </c>
      <c r="AI49" s="296">
        <f aca="true" t="shared" si="110" ref="AI49:AI56">AU49*AK49</f>
        <v>98846</v>
      </c>
      <c r="AJ49" s="297">
        <f t="shared" si="28"/>
        <v>-0.12776104417670683</v>
      </c>
      <c r="AK49" s="298">
        <v>22</v>
      </c>
      <c r="AL49" s="299">
        <v>4</v>
      </c>
      <c r="AM49" s="381">
        <f t="shared" si="81"/>
        <v>2.128205128205128</v>
      </c>
      <c r="AN49" s="300">
        <f t="shared" si="82"/>
        <v>2.9404450261780104</v>
      </c>
      <c r="AO49" s="802">
        <f t="shared" si="29"/>
        <v>-0.3816548918185832</v>
      </c>
      <c r="AP49" s="769">
        <v>3984</v>
      </c>
      <c r="AQ49" s="770"/>
      <c r="AR49" s="302">
        <v>3984</v>
      </c>
      <c r="AS49" s="301">
        <v>4493</v>
      </c>
      <c r="AT49" s="288"/>
      <c r="AU49" s="303">
        <v>4493</v>
      </c>
      <c r="AV49" s="290">
        <f aca="true" t="shared" si="111" ref="AV49:AV56">(AU49-AR49)/AU49</f>
        <v>0.11328733585577565</v>
      </c>
      <c r="AW49" s="293">
        <f>43+15</f>
        <v>58</v>
      </c>
      <c r="AX49" s="361">
        <f t="shared" si="30"/>
        <v>34.8</v>
      </c>
      <c r="AY49" s="288">
        <v>0</v>
      </c>
      <c r="AZ49" s="288">
        <v>24.4</v>
      </c>
      <c r="BA49" s="304">
        <v>3</v>
      </c>
      <c r="BB49" s="288">
        <v>20</v>
      </c>
      <c r="BC49" s="288">
        <v>0.53</v>
      </c>
      <c r="BD49" s="291">
        <f t="shared" si="83"/>
        <v>0.27503731890060246</v>
      </c>
      <c r="BE49" s="288">
        <v>3.446</v>
      </c>
      <c r="BF49" s="288">
        <v>3.446</v>
      </c>
      <c r="BG49" s="289">
        <f t="shared" si="31"/>
        <v>0</v>
      </c>
      <c r="BH49" s="288">
        <v>3</v>
      </c>
      <c r="BI49" s="291">
        <v>3</v>
      </c>
      <c r="BJ49" s="296">
        <f t="shared" si="32"/>
        <v>0</v>
      </c>
      <c r="BK49" s="288">
        <v>3</v>
      </c>
      <c r="BL49" s="291">
        <v>3</v>
      </c>
      <c r="BM49" s="305">
        <f t="shared" si="33"/>
        <v>0</v>
      </c>
      <c r="BN49" s="96">
        <f t="shared" si="34"/>
        <v>0.002737854089047847</v>
      </c>
      <c r="BO49" s="288"/>
      <c r="BP49" s="288">
        <v>1.12</v>
      </c>
      <c r="BQ49" s="288">
        <v>3</v>
      </c>
      <c r="BR49" s="96">
        <f t="shared" si="15"/>
        <v>0.7281553398058253</v>
      </c>
      <c r="BS49" s="291">
        <f t="shared" si="84"/>
        <v>69.62995724605632</v>
      </c>
      <c r="BT49" s="291">
        <f t="shared" si="52"/>
        <v>1</v>
      </c>
      <c r="BU49" s="306">
        <f aca="true" t="shared" si="112" ref="BU49:BU56">CJ49</f>
        <v>42.54545454545455</v>
      </c>
      <c r="BV49" s="288">
        <v>45</v>
      </c>
      <c r="BW49" s="288">
        <v>45</v>
      </c>
      <c r="BX49" s="304">
        <f>BV49/BW49</f>
        <v>1</v>
      </c>
      <c r="BY49" s="307">
        <f t="shared" si="85"/>
        <v>13.5</v>
      </c>
      <c r="BZ49" s="71">
        <f t="shared" si="20"/>
        <v>0.3</v>
      </c>
      <c r="CA49" s="288">
        <v>0.89</v>
      </c>
      <c r="CB49" s="308">
        <v>22.51</v>
      </c>
      <c r="CC49" s="288"/>
      <c r="CD49" s="309">
        <v>90</v>
      </c>
      <c r="CE49" s="305">
        <v>0</v>
      </c>
      <c r="CF49" s="310">
        <v>100</v>
      </c>
      <c r="CG49" s="288">
        <v>0</v>
      </c>
      <c r="CH49" s="288">
        <v>24</v>
      </c>
      <c r="CI49" s="289">
        <f aca="true" t="shared" si="113" ref="CI49:CI56">SUM(CG49,CH49)</f>
        <v>24</v>
      </c>
      <c r="CJ49" s="291">
        <f t="shared" si="96"/>
        <v>42.54545454545455</v>
      </c>
      <c r="CK49" s="421" t="s">
        <v>45</v>
      </c>
      <c r="CL49" s="421">
        <v>1.24</v>
      </c>
      <c r="CM49" s="295" t="s">
        <v>43</v>
      </c>
      <c r="CN49" s="295">
        <v>4.05</v>
      </c>
      <c r="CO49" s="295" t="s">
        <v>42</v>
      </c>
      <c r="CP49" s="295">
        <v>0</v>
      </c>
      <c r="CQ49" s="295" t="s">
        <v>45</v>
      </c>
      <c r="CR49" s="295">
        <v>1.1</v>
      </c>
      <c r="CS49" s="287" t="s">
        <v>379</v>
      </c>
      <c r="CT49" s="295" t="s">
        <v>44</v>
      </c>
      <c r="CU49" s="295">
        <v>4.68</v>
      </c>
      <c r="CV49" s="295" t="s">
        <v>46</v>
      </c>
      <c r="CW49" s="431">
        <v>0.82</v>
      </c>
      <c r="CX49" s="791" t="s">
        <v>44</v>
      </c>
      <c r="CY49" s="791">
        <v>1</v>
      </c>
      <c r="CZ49" s="295" t="s">
        <v>45</v>
      </c>
      <c r="DA49" s="295">
        <v>1.15</v>
      </c>
      <c r="DB49" s="295" t="s">
        <v>45</v>
      </c>
      <c r="DC49" s="295">
        <v>1.23</v>
      </c>
      <c r="DD49" s="295" t="s">
        <v>44</v>
      </c>
      <c r="DE49" s="295">
        <v>1</v>
      </c>
      <c r="DF49" s="295" t="s">
        <v>44</v>
      </c>
      <c r="DG49" s="295">
        <v>1</v>
      </c>
      <c r="DH49" s="421" t="s">
        <v>44</v>
      </c>
      <c r="DI49" s="421">
        <v>1</v>
      </c>
      <c r="DJ49" s="421" t="s">
        <v>43</v>
      </c>
      <c r="DK49" s="421">
        <v>0.87</v>
      </c>
      <c r="DL49" s="421" t="s">
        <v>45</v>
      </c>
      <c r="DM49" s="295" t="s">
        <v>45</v>
      </c>
      <c r="DN49" s="292">
        <v>0.01</v>
      </c>
      <c r="DO49" s="295" t="s">
        <v>47</v>
      </c>
      <c r="DP49" s="292">
        <v>0.88</v>
      </c>
      <c r="DQ49" s="421" t="s">
        <v>46</v>
      </c>
      <c r="DR49" s="437">
        <v>1.29</v>
      </c>
      <c r="DS49" s="295" t="s">
        <v>45</v>
      </c>
      <c r="DT49" s="295" t="s">
        <v>45</v>
      </c>
      <c r="DU49" s="295">
        <v>0.81</v>
      </c>
      <c r="DV49" s="295" t="s">
        <v>45</v>
      </c>
      <c r="DW49" s="295">
        <v>0.85</v>
      </c>
      <c r="DX49" s="295" t="s">
        <v>45</v>
      </c>
      <c r="DY49" s="295">
        <v>0.84</v>
      </c>
      <c r="DZ49" s="295" t="s">
        <v>44</v>
      </c>
      <c r="EA49" s="295">
        <v>1</v>
      </c>
      <c r="EB49" s="295" t="s">
        <v>42</v>
      </c>
      <c r="EC49" s="422">
        <v>0.8</v>
      </c>
      <c r="ED49" s="422" t="s">
        <v>44</v>
      </c>
      <c r="EE49" s="422">
        <v>1</v>
      </c>
      <c r="EF49" s="295" t="s">
        <v>46</v>
      </c>
      <c r="EG49" s="99">
        <f aca="true" t="shared" si="114" ref="EG49:EG56">CW49*CY49*DA49*DC49*DE49*DG49*DI49*DK49*DN49*DP49*DR49*DU49*DW49*DY49*EA49*EC49*EE49</f>
        <v>0.00530007062683634</v>
      </c>
      <c r="EH49" s="99">
        <v>2.94</v>
      </c>
      <c r="EI49" s="99">
        <v>0.91</v>
      </c>
      <c r="EJ49" s="99">
        <f aca="true" t="shared" si="115" ref="EJ49:EJ56">SUM(CL49,CN49,CP49,CR49,CU49,CW49,CW49)</f>
        <v>12.71</v>
      </c>
      <c r="EK49" s="99">
        <f t="shared" si="36"/>
        <v>1.0371000000000001</v>
      </c>
      <c r="EL49" s="444">
        <f aca="true" t="shared" si="116" ref="EL49:EL56">L49</f>
        <v>2423.7937500000003</v>
      </c>
      <c r="EM49" s="444">
        <f t="shared" si="37"/>
        <v>3236.3870169941347</v>
      </c>
      <c r="EN49" s="708">
        <f t="shared" si="38"/>
        <v>50.430054511584586</v>
      </c>
      <c r="EO49" s="99">
        <f aca="true" t="shared" si="117" ref="EO49:EO56">G49</f>
        <v>1872</v>
      </c>
      <c r="EP49" s="444">
        <f aca="true" t="shared" si="118" ref="EP49:EP56">G49/J49</f>
        <v>10.636363636363637</v>
      </c>
      <c r="EQ49" s="444">
        <f t="shared" si="39"/>
        <v>0.30542</v>
      </c>
      <c r="ER49" s="444">
        <f t="shared" si="40"/>
        <v>3.2741798179556016</v>
      </c>
      <c r="ES49" s="444">
        <f t="shared" si="41"/>
        <v>2.8981917265296016</v>
      </c>
      <c r="ET49" s="444">
        <f t="shared" si="42"/>
        <v>32.59021792614055</v>
      </c>
      <c r="EU49" s="708">
        <f t="shared" si="43"/>
        <v>32.59021792614055</v>
      </c>
      <c r="EV49" s="99">
        <f t="shared" si="44"/>
        <v>3984</v>
      </c>
      <c r="EW49" s="444">
        <f t="shared" si="45"/>
        <v>4493</v>
      </c>
      <c r="EX49" s="712"/>
      <c r="EY49" s="99"/>
      <c r="EZ49" s="99"/>
      <c r="FA49" s="99"/>
      <c r="FB49" s="99"/>
      <c r="FC49" s="99"/>
      <c r="FD49" s="99"/>
      <c r="FE49" s="99"/>
      <c r="FF49" s="99"/>
      <c r="FG49" s="99"/>
      <c r="FH49" s="99"/>
      <c r="FI49" s="99"/>
      <c r="FJ49" s="99"/>
      <c r="FK49" s="99"/>
      <c r="FL49" s="99"/>
      <c r="FM49" s="99"/>
      <c r="FN49" s="99"/>
      <c r="FO49" s="392"/>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392"/>
    </row>
    <row r="50" spans="1:229" s="311" customFormat="1" ht="16.5" customHeight="1">
      <c r="A50" s="287" t="s">
        <v>178</v>
      </c>
      <c r="B50" s="287" t="s">
        <v>178</v>
      </c>
      <c r="C50" s="287" t="s">
        <v>45</v>
      </c>
      <c r="D50" s="287">
        <v>5.79</v>
      </c>
      <c r="E50" s="376" t="s">
        <v>51</v>
      </c>
      <c r="F50" s="287" t="s">
        <v>53</v>
      </c>
      <c r="G50" s="289">
        <f>205*8</f>
        <v>1640</v>
      </c>
      <c r="H50" s="289">
        <v>1560</v>
      </c>
      <c r="I50" s="290">
        <f t="shared" si="80"/>
        <v>0.04878048780487805</v>
      </c>
      <c r="J50" s="288">
        <f t="shared" si="97"/>
        <v>176</v>
      </c>
      <c r="K50" s="288">
        <v>82</v>
      </c>
      <c r="L50" s="291">
        <f t="shared" si="105"/>
        <v>2539.9500000000003</v>
      </c>
      <c r="M50" s="291">
        <f t="shared" si="98"/>
        <v>1015.9800000000001</v>
      </c>
      <c r="N50" s="292">
        <f t="shared" si="99"/>
        <v>1523.97</v>
      </c>
      <c r="O50" s="290">
        <f t="shared" si="100"/>
        <v>1148.2605960000003</v>
      </c>
      <c r="P50" s="293">
        <f t="shared" si="67"/>
        <v>1.1482605960000003</v>
      </c>
      <c r="Q50" s="290">
        <f t="shared" si="101"/>
        <v>86.10000000000001</v>
      </c>
      <c r="R50" s="310">
        <v>60</v>
      </c>
      <c r="S50" s="292">
        <f t="shared" si="102"/>
        <v>1523.97</v>
      </c>
      <c r="T50" s="294">
        <v>8</v>
      </c>
      <c r="U50" s="294">
        <v>0.6</v>
      </c>
      <c r="V50" s="295">
        <f t="shared" si="103"/>
        <v>0.0868</v>
      </c>
      <c r="W50" s="295">
        <v>1</v>
      </c>
      <c r="X50" s="296">
        <f t="shared" si="106"/>
        <v>132.280596</v>
      </c>
      <c r="Y50" s="310">
        <v>30</v>
      </c>
      <c r="Z50" s="296">
        <f t="shared" si="107"/>
        <v>344.4781788000001</v>
      </c>
      <c r="AA50" s="294">
        <v>3</v>
      </c>
      <c r="AB50" s="292">
        <f t="shared" si="104"/>
        <v>34.44781788000001</v>
      </c>
      <c r="AC50" s="295" t="s">
        <v>47</v>
      </c>
      <c r="AD50" s="295">
        <v>20</v>
      </c>
      <c r="AE50" s="295" t="s">
        <v>43</v>
      </c>
      <c r="AF50" s="292">
        <v>0.2</v>
      </c>
      <c r="AG50" s="296">
        <f t="shared" si="108"/>
        <v>35.825730595200014</v>
      </c>
      <c r="AH50" s="296">
        <f t="shared" si="109"/>
        <v>109692</v>
      </c>
      <c r="AI50" s="296">
        <f t="shared" si="110"/>
        <v>66748</v>
      </c>
      <c r="AJ50" s="297">
        <f t="shared" si="28"/>
        <v>0.39149618933012437</v>
      </c>
      <c r="AK50" s="298">
        <v>22</v>
      </c>
      <c r="AL50" s="299">
        <v>5</v>
      </c>
      <c r="AM50" s="381">
        <f t="shared" si="81"/>
        <v>3.040243902439024</v>
      </c>
      <c r="AN50" s="300">
        <f t="shared" si="82"/>
        <v>1.9448717948717948</v>
      </c>
      <c r="AO50" s="802">
        <f t="shared" si="29"/>
        <v>0.36029086570602814</v>
      </c>
      <c r="AP50" s="769">
        <v>4986</v>
      </c>
      <c r="AQ50" s="770"/>
      <c r="AR50" s="302">
        <v>4986</v>
      </c>
      <c r="AS50" s="301">
        <v>3034</v>
      </c>
      <c r="AT50" s="288"/>
      <c r="AU50" s="303">
        <v>3034</v>
      </c>
      <c r="AV50" s="290">
        <f t="shared" si="111"/>
        <v>-0.6433750823994726</v>
      </c>
      <c r="AW50" s="293">
        <f>43+16</f>
        <v>59</v>
      </c>
      <c r="AX50" s="361">
        <f t="shared" si="30"/>
        <v>35.4</v>
      </c>
      <c r="AY50" s="288">
        <v>0.98</v>
      </c>
      <c r="AZ50" s="288">
        <v>28.92</v>
      </c>
      <c r="BA50" s="304">
        <v>2</v>
      </c>
      <c r="BB50" s="288">
        <v>12.64</v>
      </c>
      <c r="BC50" s="288">
        <v>2.92</v>
      </c>
      <c r="BD50" s="291">
        <f t="shared" si="83"/>
        <v>0.23029695066185324</v>
      </c>
      <c r="BE50" s="288">
        <v>5</v>
      </c>
      <c r="BF50" s="288">
        <v>5</v>
      </c>
      <c r="BG50" s="289">
        <f t="shared" si="31"/>
        <v>0</v>
      </c>
      <c r="BH50" s="288">
        <v>4</v>
      </c>
      <c r="BI50" s="291">
        <v>4</v>
      </c>
      <c r="BJ50" s="296">
        <f t="shared" si="32"/>
        <v>0</v>
      </c>
      <c r="BK50" s="288">
        <v>1</v>
      </c>
      <c r="BL50" s="291">
        <v>1</v>
      </c>
      <c r="BM50" s="305">
        <f t="shared" si="33"/>
        <v>0</v>
      </c>
      <c r="BN50" s="96">
        <f t="shared" si="34"/>
        <v>0.003483529796227545</v>
      </c>
      <c r="BO50" s="288"/>
      <c r="BP50" s="288">
        <v>0.94</v>
      </c>
      <c r="BQ50" s="288">
        <v>3</v>
      </c>
      <c r="BR50" s="96">
        <f t="shared" si="15"/>
        <v>0.8097165991902835</v>
      </c>
      <c r="BS50" s="291">
        <f t="shared" si="84"/>
        <v>71.73601147776183</v>
      </c>
      <c r="BT50" s="291">
        <f t="shared" si="52"/>
        <v>1</v>
      </c>
      <c r="BU50" s="306">
        <f t="shared" si="112"/>
        <v>37.27272727272727</v>
      </c>
      <c r="BV50" s="288">
        <v>50</v>
      </c>
      <c r="BW50" s="288">
        <v>50</v>
      </c>
      <c r="BX50" s="304">
        <f>IF(OR(ISBLANK(BV50),ISBLANK(BW50)),"",BV50/BW50)</f>
        <v>1</v>
      </c>
      <c r="BY50" s="307">
        <f t="shared" si="85"/>
        <v>15</v>
      </c>
      <c r="BZ50" s="71">
        <v>0</v>
      </c>
      <c r="CA50" s="288">
        <v>1.64</v>
      </c>
      <c r="CB50" s="308">
        <v>5.13</v>
      </c>
      <c r="CC50" s="288"/>
      <c r="CD50" s="309">
        <v>90</v>
      </c>
      <c r="CE50" s="305">
        <v>0</v>
      </c>
      <c r="CF50" s="310">
        <v>100</v>
      </c>
      <c r="CG50" s="288">
        <v>0</v>
      </c>
      <c r="CH50" s="288">
        <v>24</v>
      </c>
      <c r="CI50" s="289">
        <f t="shared" si="113"/>
        <v>24</v>
      </c>
      <c r="CJ50" s="291">
        <f t="shared" si="96"/>
        <v>37.27272727272727</v>
      </c>
      <c r="CK50" s="421" t="s">
        <v>45</v>
      </c>
      <c r="CL50" s="421">
        <v>1.24</v>
      </c>
      <c r="CM50" s="295" t="s">
        <v>43</v>
      </c>
      <c r="CN50" s="295">
        <v>4.05</v>
      </c>
      <c r="CO50" s="295" t="s">
        <v>42</v>
      </c>
      <c r="CP50" s="295">
        <v>0</v>
      </c>
      <c r="CQ50" s="295" t="s">
        <v>45</v>
      </c>
      <c r="CR50" s="295">
        <v>1.1</v>
      </c>
      <c r="CS50" s="287" t="s">
        <v>380</v>
      </c>
      <c r="CT50" s="295" t="s">
        <v>44</v>
      </c>
      <c r="CU50" s="295">
        <v>4.68</v>
      </c>
      <c r="CV50" s="295" t="s">
        <v>46</v>
      </c>
      <c r="CW50" s="431">
        <v>0.82</v>
      </c>
      <c r="CX50" s="791" t="s">
        <v>44</v>
      </c>
      <c r="CY50" s="791">
        <v>1</v>
      </c>
      <c r="CZ50" s="301" t="s">
        <v>45</v>
      </c>
      <c r="DA50" s="295">
        <v>1.15</v>
      </c>
      <c r="DB50" s="295" t="s">
        <v>45</v>
      </c>
      <c r="DC50" s="295">
        <v>1.23</v>
      </c>
      <c r="DD50" s="295" t="s">
        <v>44</v>
      </c>
      <c r="DE50" s="295">
        <v>1</v>
      </c>
      <c r="DF50" s="295" t="s">
        <v>44</v>
      </c>
      <c r="DG50" s="295">
        <v>1</v>
      </c>
      <c r="DH50" s="421" t="s">
        <v>44</v>
      </c>
      <c r="DI50" s="421">
        <v>1</v>
      </c>
      <c r="DJ50" s="421" t="s">
        <v>43</v>
      </c>
      <c r="DK50" s="421">
        <v>0.87</v>
      </c>
      <c r="DL50" s="421" t="s">
        <v>45</v>
      </c>
      <c r="DM50" s="295" t="s">
        <v>45</v>
      </c>
      <c r="DN50" s="292">
        <v>0.01</v>
      </c>
      <c r="DO50" s="295" t="s">
        <v>47</v>
      </c>
      <c r="DP50" s="292">
        <v>0.88</v>
      </c>
      <c r="DQ50" s="421" t="s">
        <v>43</v>
      </c>
      <c r="DR50" s="437">
        <v>1.12</v>
      </c>
      <c r="DS50" s="295" t="s">
        <v>45</v>
      </c>
      <c r="DT50" s="295" t="s">
        <v>45</v>
      </c>
      <c r="DU50" s="295">
        <v>0.81</v>
      </c>
      <c r="DV50" s="295" t="s">
        <v>45</v>
      </c>
      <c r="DW50" s="295">
        <v>0.85</v>
      </c>
      <c r="DX50" s="295" t="s">
        <v>45</v>
      </c>
      <c r="DY50" s="295">
        <v>0.84</v>
      </c>
      <c r="DZ50" s="295" t="s">
        <v>44</v>
      </c>
      <c r="EA50" s="295">
        <v>1</v>
      </c>
      <c r="EB50" s="295" t="s">
        <v>42</v>
      </c>
      <c r="EC50" s="422">
        <v>0.8</v>
      </c>
      <c r="ED50" s="422" t="s">
        <v>44</v>
      </c>
      <c r="EE50" s="422">
        <v>1</v>
      </c>
      <c r="EF50" s="295" t="s">
        <v>46</v>
      </c>
      <c r="EG50" s="99">
        <f t="shared" si="114"/>
        <v>0.004601611707020698</v>
      </c>
      <c r="EH50" s="99">
        <v>2.94</v>
      </c>
      <c r="EI50" s="99">
        <v>0.91</v>
      </c>
      <c r="EJ50" s="99">
        <f t="shared" si="115"/>
        <v>12.71</v>
      </c>
      <c r="EK50" s="99">
        <f t="shared" si="36"/>
        <v>1.0371000000000001</v>
      </c>
      <c r="EL50" s="444">
        <f t="shared" si="116"/>
        <v>2539.9500000000003</v>
      </c>
      <c r="EM50" s="444">
        <f t="shared" si="37"/>
        <v>3397.380432828101</v>
      </c>
      <c r="EN50" s="708">
        <f t="shared" si="38"/>
        <v>45.962271184340224</v>
      </c>
      <c r="EO50" s="99">
        <f t="shared" si="117"/>
        <v>1640</v>
      </c>
      <c r="EP50" s="444">
        <f t="shared" si="118"/>
        <v>9.318181818181818</v>
      </c>
      <c r="EQ50" s="444">
        <f t="shared" si="39"/>
        <v>0.30542</v>
      </c>
      <c r="ER50" s="444">
        <f t="shared" si="40"/>
        <v>3.2741798179556016</v>
      </c>
      <c r="ES50" s="444">
        <f t="shared" si="41"/>
        <v>2.539014119395591</v>
      </c>
      <c r="ET50" s="444">
        <f t="shared" si="42"/>
        <v>21.132279969731233</v>
      </c>
      <c r="EU50" s="708">
        <f t="shared" si="43"/>
        <v>21.132279969731233</v>
      </c>
      <c r="EV50" s="99">
        <f t="shared" si="44"/>
        <v>4986</v>
      </c>
      <c r="EW50" s="444">
        <f t="shared" si="45"/>
        <v>3034</v>
      </c>
      <c r="EX50" s="712"/>
      <c r="EY50" s="99"/>
      <c r="EZ50" s="99"/>
      <c r="FA50" s="99"/>
      <c r="FB50" s="99"/>
      <c r="FC50" s="99"/>
      <c r="FD50" s="99"/>
      <c r="FE50" s="99"/>
      <c r="FF50" s="99"/>
      <c r="FG50" s="99"/>
      <c r="FH50" s="99"/>
      <c r="FI50" s="99"/>
      <c r="FJ50" s="99"/>
      <c r="FK50" s="99"/>
      <c r="FL50" s="99"/>
      <c r="FM50" s="99"/>
      <c r="FN50" s="99"/>
      <c r="FO50" s="392"/>
      <c r="FQ50" s="99"/>
      <c r="FR50" s="99"/>
      <c r="FS50" s="99"/>
      <c r="FT50" s="99"/>
      <c r="FU50" s="99"/>
      <c r="FV50" s="99"/>
      <c r="FW50" s="99"/>
      <c r="FX50" s="99"/>
      <c r="FY50" s="99"/>
      <c r="FZ50" s="99"/>
      <c r="GA50" s="99"/>
      <c r="GB50" s="99"/>
      <c r="GC50" s="99"/>
      <c r="GD50" s="99"/>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H50" s="99"/>
      <c r="HI50" s="99"/>
      <c r="HJ50" s="99"/>
      <c r="HK50" s="99"/>
      <c r="HL50" s="99"/>
      <c r="HM50" s="99"/>
      <c r="HN50" s="99"/>
      <c r="HO50" s="99"/>
      <c r="HP50" s="99"/>
      <c r="HQ50" s="99"/>
      <c r="HR50" s="99"/>
      <c r="HS50" s="99"/>
      <c r="HT50" s="99"/>
      <c r="HU50" s="392"/>
    </row>
    <row r="51" spans="1:229" s="311" customFormat="1" ht="15" customHeight="1">
      <c r="A51" s="287" t="s">
        <v>178</v>
      </c>
      <c r="B51" s="287" t="s">
        <v>178</v>
      </c>
      <c r="C51" s="287" t="s">
        <v>45</v>
      </c>
      <c r="D51" s="287">
        <v>5.79</v>
      </c>
      <c r="E51" s="376" t="s">
        <v>51</v>
      </c>
      <c r="F51" s="287" t="s">
        <v>52</v>
      </c>
      <c r="G51" s="289">
        <f>170*8</f>
        <v>1360</v>
      </c>
      <c r="H51" s="289">
        <v>1256</v>
      </c>
      <c r="I51" s="290">
        <f t="shared" si="80"/>
        <v>0.07647058823529412</v>
      </c>
      <c r="J51" s="288">
        <f t="shared" si="97"/>
        <v>176</v>
      </c>
      <c r="K51" s="288">
        <v>146.4</v>
      </c>
      <c r="L51" s="291">
        <f t="shared" si="105"/>
        <v>4534.74</v>
      </c>
      <c r="M51" s="291">
        <f t="shared" si="98"/>
        <v>1813.896</v>
      </c>
      <c r="N51" s="292">
        <f t="shared" si="99"/>
        <v>2720.8439999999996</v>
      </c>
      <c r="O51" s="290">
        <f t="shared" si="100"/>
        <v>2050.0652592</v>
      </c>
      <c r="P51" s="293">
        <f t="shared" si="67"/>
        <v>2.0500652592</v>
      </c>
      <c r="Q51" s="290">
        <f t="shared" si="101"/>
        <v>153.72</v>
      </c>
      <c r="R51" s="310">
        <v>60</v>
      </c>
      <c r="S51" s="292">
        <f t="shared" si="102"/>
        <v>2720.8439999999996</v>
      </c>
      <c r="T51" s="294">
        <v>8</v>
      </c>
      <c r="U51" s="294">
        <v>0.6</v>
      </c>
      <c r="V51" s="295">
        <f t="shared" si="103"/>
        <v>0.0868</v>
      </c>
      <c r="W51" s="295">
        <v>1</v>
      </c>
      <c r="X51" s="296">
        <f t="shared" si="106"/>
        <v>236.16925919999997</v>
      </c>
      <c r="Y51" s="310">
        <v>30</v>
      </c>
      <c r="Z51" s="296">
        <f t="shared" si="107"/>
        <v>615.0195777600001</v>
      </c>
      <c r="AA51" s="294">
        <v>3</v>
      </c>
      <c r="AB51" s="292">
        <f t="shared" si="104"/>
        <v>61.501957776000005</v>
      </c>
      <c r="AC51" s="295" t="s">
        <v>47</v>
      </c>
      <c r="AD51" s="295">
        <v>20</v>
      </c>
      <c r="AE51" s="295" t="s">
        <v>43</v>
      </c>
      <c r="AF51" s="292">
        <v>0.2</v>
      </c>
      <c r="AG51" s="296">
        <f t="shared" si="108"/>
        <v>63.962036087040005</v>
      </c>
      <c r="AH51" s="296">
        <f t="shared" si="109"/>
        <v>201300</v>
      </c>
      <c r="AI51" s="296">
        <f t="shared" si="110"/>
        <v>179344</v>
      </c>
      <c r="AJ51" s="297">
        <f t="shared" si="28"/>
        <v>0.10907103825136612</v>
      </c>
      <c r="AK51" s="298">
        <v>22</v>
      </c>
      <c r="AL51" s="299">
        <v>8</v>
      </c>
      <c r="AM51" s="381">
        <f t="shared" si="81"/>
        <v>6.727941176470588</v>
      </c>
      <c r="AN51" s="300">
        <f t="shared" si="82"/>
        <v>6.490445859872612</v>
      </c>
      <c r="AO51" s="802">
        <f t="shared" si="29"/>
        <v>0.03529985033587407</v>
      </c>
      <c r="AP51" s="769">
        <v>9150</v>
      </c>
      <c r="AQ51" s="770"/>
      <c r="AR51" s="302">
        <v>9150</v>
      </c>
      <c r="AS51" s="301">
        <v>8152</v>
      </c>
      <c r="AT51" s="288"/>
      <c r="AU51" s="303">
        <v>8152</v>
      </c>
      <c r="AV51" s="290">
        <f t="shared" si="111"/>
        <v>-0.12242394504416095</v>
      </c>
      <c r="AW51" s="293">
        <f>43+17</f>
        <v>60</v>
      </c>
      <c r="AX51" s="361">
        <f t="shared" si="30"/>
        <v>36</v>
      </c>
      <c r="AY51" s="288">
        <v>1.39</v>
      </c>
      <c r="AZ51" s="288">
        <v>15.26</v>
      </c>
      <c r="BA51" s="304">
        <v>2</v>
      </c>
      <c r="BB51" s="288">
        <v>0.26</v>
      </c>
      <c r="BC51" s="288">
        <v>0.32</v>
      </c>
      <c r="BD51" s="291">
        <f t="shared" si="83"/>
        <v>0.22405084800000002</v>
      </c>
      <c r="BE51" s="288">
        <v>12</v>
      </c>
      <c r="BF51" s="288">
        <v>12</v>
      </c>
      <c r="BG51" s="289">
        <f t="shared" si="31"/>
        <v>0</v>
      </c>
      <c r="BH51" s="288">
        <v>11</v>
      </c>
      <c r="BI51" s="288">
        <v>11</v>
      </c>
      <c r="BJ51" s="296">
        <f t="shared" si="32"/>
        <v>0</v>
      </c>
      <c r="BK51" s="288">
        <v>3</v>
      </c>
      <c r="BL51" s="291">
        <v>3</v>
      </c>
      <c r="BM51" s="305">
        <f t="shared" si="33"/>
        <v>0</v>
      </c>
      <c r="BN51" s="96">
        <f t="shared" si="34"/>
        <v>0.005365682848697483</v>
      </c>
      <c r="BO51" s="288"/>
      <c r="BP51" s="288">
        <v>1.56</v>
      </c>
      <c r="BQ51" s="288">
        <v>3</v>
      </c>
      <c r="BR51" s="96">
        <f t="shared" si="15"/>
        <v>0.875796178343949</v>
      </c>
      <c r="BS51" s="291">
        <f t="shared" si="84"/>
        <v>85.07853403141361</v>
      </c>
      <c r="BT51" s="291">
        <f t="shared" si="52"/>
        <v>1</v>
      </c>
      <c r="BU51" s="306">
        <f t="shared" si="112"/>
        <v>30.90909090909091</v>
      </c>
      <c r="BV51" s="288">
        <v>16</v>
      </c>
      <c r="BW51" s="288">
        <v>16</v>
      </c>
      <c r="BX51" s="304">
        <f>BV51/BW51</f>
        <v>1</v>
      </c>
      <c r="BY51" s="307">
        <f t="shared" si="85"/>
        <v>4.8</v>
      </c>
      <c r="BZ51" s="71">
        <f t="shared" si="20"/>
        <v>0.3</v>
      </c>
      <c r="CA51" s="288">
        <v>1.12</v>
      </c>
      <c r="CB51" s="308">
        <v>8.28</v>
      </c>
      <c r="CC51" s="288"/>
      <c r="CD51" s="309">
        <v>90</v>
      </c>
      <c r="CE51" s="305">
        <v>0</v>
      </c>
      <c r="CF51" s="310">
        <v>100</v>
      </c>
      <c r="CG51" s="288">
        <v>0</v>
      </c>
      <c r="CH51" s="288">
        <v>24</v>
      </c>
      <c r="CI51" s="289">
        <f t="shared" si="113"/>
        <v>24</v>
      </c>
      <c r="CJ51" s="291">
        <f t="shared" si="96"/>
        <v>30.90909090909091</v>
      </c>
      <c r="CK51" s="421" t="s">
        <v>45</v>
      </c>
      <c r="CL51" s="421">
        <v>1.24</v>
      </c>
      <c r="CM51" s="295" t="s">
        <v>43</v>
      </c>
      <c r="CN51" s="295">
        <v>4.05</v>
      </c>
      <c r="CO51" s="295" t="s">
        <v>42</v>
      </c>
      <c r="CP51" s="295">
        <v>0</v>
      </c>
      <c r="CQ51" s="295" t="s">
        <v>45</v>
      </c>
      <c r="CR51" s="295">
        <v>1.1</v>
      </c>
      <c r="CS51" s="287" t="s">
        <v>381</v>
      </c>
      <c r="CT51" s="295" t="s">
        <v>44</v>
      </c>
      <c r="CU51" s="295">
        <v>4.68</v>
      </c>
      <c r="CV51" s="295" t="s">
        <v>46</v>
      </c>
      <c r="CW51" s="431">
        <v>0.82</v>
      </c>
      <c r="CX51" s="791" t="s">
        <v>44</v>
      </c>
      <c r="CY51" s="791">
        <v>1</v>
      </c>
      <c r="CZ51" s="301" t="s">
        <v>45</v>
      </c>
      <c r="DA51" s="295">
        <v>1.15</v>
      </c>
      <c r="DB51" s="295" t="s">
        <v>45</v>
      </c>
      <c r="DC51" s="295">
        <v>1.23</v>
      </c>
      <c r="DD51" s="295" t="s">
        <v>44</v>
      </c>
      <c r="DE51" s="295">
        <v>1</v>
      </c>
      <c r="DF51" s="295" t="s">
        <v>44</v>
      </c>
      <c r="DG51" s="295">
        <v>1</v>
      </c>
      <c r="DH51" s="421" t="s">
        <v>44</v>
      </c>
      <c r="DI51" s="421">
        <v>1</v>
      </c>
      <c r="DJ51" s="421" t="s">
        <v>43</v>
      </c>
      <c r="DK51" s="421">
        <v>0.87</v>
      </c>
      <c r="DL51" s="421" t="s">
        <v>45</v>
      </c>
      <c r="DM51" s="295" t="s">
        <v>45</v>
      </c>
      <c r="DN51" s="292">
        <v>0.01</v>
      </c>
      <c r="DO51" s="295" t="s">
        <v>47</v>
      </c>
      <c r="DP51" s="292">
        <v>0.88</v>
      </c>
      <c r="DQ51" s="421" t="s">
        <v>43</v>
      </c>
      <c r="DR51" s="437">
        <v>1.12</v>
      </c>
      <c r="DS51" s="295" t="s">
        <v>45</v>
      </c>
      <c r="DT51" s="295" t="s">
        <v>45</v>
      </c>
      <c r="DU51" s="295">
        <v>0.81</v>
      </c>
      <c r="DV51" s="295" t="s">
        <v>45</v>
      </c>
      <c r="DW51" s="295">
        <v>0.85</v>
      </c>
      <c r="DX51" s="295" t="s">
        <v>45</v>
      </c>
      <c r="DY51" s="295">
        <v>0.84</v>
      </c>
      <c r="DZ51" s="295" t="s">
        <v>44</v>
      </c>
      <c r="EA51" s="295">
        <v>1</v>
      </c>
      <c r="EB51" s="295" t="s">
        <v>42</v>
      </c>
      <c r="EC51" s="422">
        <v>0.8</v>
      </c>
      <c r="ED51" s="422" t="s">
        <v>44</v>
      </c>
      <c r="EE51" s="422">
        <v>1</v>
      </c>
      <c r="EF51" s="295" t="s">
        <v>46</v>
      </c>
      <c r="EG51" s="99">
        <f t="shared" si="114"/>
        <v>0.004601611707020698</v>
      </c>
      <c r="EH51" s="99">
        <v>2.94</v>
      </c>
      <c r="EI51" s="99">
        <v>0.91</v>
      </c>
      <c r="EJ51" s="99">
        <f t="shared" si="115"/>
        <v>12.71</v>
      </c>
      <c r="EK51" s="99">
        <f t="shared" si="36"/>
        <v>1.0371000000000001</v>
      </c>
      <c r="EL51" s="444">
        <f t="shared" si="116"/>
        <v>4534.74</v>
      </c>
      <c r="EM51" s="444">
        <f t="shared" si="37"/>
        <v>6197.413666392954</v>
      </c>
      <c r="EN51" s="708">
        <f t="shared" si="38"/>
        <v>83.84318836474021</v>
      </c>
      <c r="EO51" s="99">
        <f t="shared" si="117"/>
        <v>1360</v>
      </c>
      <c r="EP51" s="444">
        <f t="shared" si="118"/>
        <v>7.7272727272727275</v>
      </c>
      <c r="EQ51" s="444">
        <f t="shared" si="39"/>
        <v>0.30542</v>
      </c>
      <c r="ER51" s="444">
        <f t="shared" si="40"/>
        <v>3.2741798179556016</v>
      </c>
      <c r="ES51" s="444">
        <f t="shared" si="41"/>
        <v>2.1055239038890265</v>
      </c>
      <c r="ET51" s="444">
        <f t="shared" si="42"/>
        <v>11.44825681336607</v>
      </c>
      <c r="EU51" s="708">
        <f t="shared" si="43"/>
        <v>11.44825681336607</v>
      </c>
      <c r="EV51" s="99">
        <f t="shared" si="44"/>
        <v>9150</v>
      </c>
      <c r="EW51" s="444">
        <f t="shared" si="45"/>
        <v>8152</v>
      </c>
      <c r="EX51" s="712"/>
      <c r="EY51" s="99"/>
      <c r="EZ51" s="99"/>
      <c r="FA51" s="99"/>
      <c r="FB51" s="99"/>
      <c r="FC51" s="99"/>
      <c r="FD51" s="99"/>
      <c r="FE51" s="99"/>
      <c r="FF51" s="99"/>
      <c r="FG51" s="99"/>
      <c r="FH51" s="99"/>
      <c r="FI51" s="99"/>
      <c r="FJ51" s="99"/>
      <c r="FK51" s="99"/>
      <c r="FL51" s="99"/>
      <c r="FM51" s="99"/>
      <c r="FN51" s="99"/>
      <c r="FO51" s="392"/>
      <c r="FQ51" s="99"/>
      <c r="FR51" s="99"/>
      <c r="FS51" s="99"/>
      <c r="FT51" s="99"/>
      <c r="FU51" s="99"/>
      <c r="FV51" s="99"/>
      <c r="FW51" s="99"/>
      <c r="FX51" s="99"/>
      <c r="FY51" s="99"/>
      <c r="FZ51" s="99"/>
      <c r="GA51" s="99"/>
      <c r="GB51" s="99"/>
      <c r="GC51" s="99"/>
      <c r="GD51" s="99"/>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H51" s="99"/>
      <c r="HI51" s="99"/>
      <c r="HJ51" s="99"/>
      <c r="HK51" s="99"/>
      <c r="HL51" s="99"/>
      <c r="HM51" s="99"/>
      <c r="HN51" s="99"/>
      <c r="HO51" s="99"/>
      <c r="HP51" s="99"/>
      <c r="HQ51" s="99"/>
      <c r="HR51" s="99"/>
      <c r="HS51" s="99"/>
      <c r="HT51" s="99"/>
      <c r="HU51" s="392"/>
    </row>
    <row r="52" spans="1:229" s="311" customFormat="1" ht="17.25" customHeight="1">
      <c r="A52" s="287" t="s">
        <v>179</v>
      </c>
      <c r="B52" s="287" t="s">
        <v>179</v>
      </c>
      <c r="C52" s="287" t="s">
        <v>45</v>
      </c>
      <c r="D52" s="287">
        <v>5.79</v>
      </c>
      <c r="E52" s="376" t="s">
        <v>51</v>
      </c>
      <c r="F52" s="287" t="s">
        <v>52</v>
      </c>
      <c r="G52" s="289">
        <f>143*8</f>
        <v>1144</v>
      </c>
      <c r="H52" s="289">
        <v>1144</v>
      </c>
      <c r="I52" s="290">
        <f t="shared" si="80"/>
        <v>0</v>
      </c>
      <c r="J52" s="288">
        <f t="shared" si="97"/>
        <v>176</v>
      </c>
      <c r="K52" s="288">
        <v>26.6</v>
      </c>
      <c r="L52" s="291">
        <f t="shared" si="105"/>
        <v>823.9350000000001</v>
      </c>
      <c r="M52" s="291">
        <f>L52*((100-R52)/100)</f>
        <v>329.57400000000007</v>
      </c>
      <c r="N52" s="292">
        <f>(R52/100)*L52</f>
        <v>494.361</v>
      </c>
      <c r="O52" s="290">
        <f>L52-S52+X52</f>
        <v>372.48453480000006</v>
      </c>
      <c r="P52" s="293">
        <f t="shared" si="67"/>
        <v>0.37248453480000004</v>
      </c>
      <c r="Q52" s="290">
        <f t="shared" si="101"/>
        <v>27.930000000000003</v>
      </c>
      <c r="R52" s="310">
        <v>60</v>
      </c>
      <c r="S52" s="292">
        <f>(R52/100)*L52</f>
        <v>494.361</v>
      </c>
      <c r="T52" s="294">
        <v>8</v>
      </c>
      <c r="U52" s="294">
        <v>0.6</v>
      </c>
      <c r="V52" s="295">
        <f>(T52+U52+(0.02*AD52*AF52))/100</f>
        <v>0.0868</v>
      </c>
      <c r="W52" s="295">
        <v>1</v>
      </c>
      <c r="X52" s="296">
        <f t="shared" si="106"/>
        <v>42.9105348</v>
      </c>
      <c r="Y52" s="310">
        <v>30</v>
      </c>
      <c r="Z52" s="296">
        <f>(Y52/100)*O52</f>
        <v>111.74536044000001</v>
      </c>
      <c r="AA52" s="294">
        <v>3</v>
      </c>
      <c r="AB52" s="292">
        <f>(AA52/100)*O52</f>
        <v>11.174536044000002</v>
      </c>
      <c r="AC52" s="295" t="s">
        <v>47</v>
      </c>
      <c r="AD52" s="295">
        <v>20</v>
      </c>
      <c r="AE52" s="295" t="s">
        <v>43</v>
      </c>
      <c r="AF52" s="292">
        <v>0.2</v>
      </c>
      <c r="AG52" s="296">
        <f t="shared" si="108"/>
        <v>11.621517485760002</v>
      </c>
      <c r="AH52" s="296">
        <f>AR52*AK52</f>
        <v>57508</v>
      </c>
      <c r="AI52" s="296">
        <f t="shared" si="110"/>
        <v>60962</v>
      </c>
      <c r="AJ52" s="297">
        <f t="shared" si="28"/>
        <v>-0.06006120887528692</v>
      </c>
      <c r="AK52" s="298">
        <v>22</v>
      </c>
      <c r="AL52" s="299">
        <v>4</v>
      </c>
      <c r="AM52" s="381">
        <f t="shared" si="81"/>
        <v>2.284965034965035</v>
      </c>
      <c r="AN52" s="300">
        <f t="shared" si="82"/>
        <v>2.422202797202797</v>
      </c>
      <c r="AO52" s="802">
        <f t="shared" si="29"/>
        <v>-0.06006120887528684</v>
      </c>
      <c r="AP52" s="769">
        <v>2614</v>
      </c>
      <c r="AQ52" s="770"/>
      <c r="AR52" s="302">
        <v>2614</v>
      </c>
      <c r="AS52" s="301">
        <v>2771</v>
      </c>
      <c r="AT52" s="288"/>
      <c r="AU52" s="303">
        <v>2771</v>
      </c>
      <c r="AV52" s="290">
        <f t="shared" si="111"/>
        <v>0.056658246120534106</v>
      </c>
      <c r="AW52" s="293">
        <f>44+15</f>
        <v>59</v>
      </c>
      <c r="AX52" s="361">
        <f t="shared" si="30"/>
        <v>35.4</v>
      </c>
      <c r="AY52" s="288">
        <v>0</v>
      </c>
      <c r="AZ52" s="288">
        <v>8.03</v>
      </c>
      <c r="BA52" s="304">
        <v>1</v>
      </c>
      <c r="BB52" s="288">
        <v>8.86</v>
      </c>
      <c r="BC52" s="288">
        <v>0.76</v>
      </c>
      <c r="BD52" s="291">
        <f t="shared" si="83"/>
        <v>0.1424959964804897</v>
      </c>
      <c r="BE52" s="288">
        <v>1.6</v>
      </c>
      <c r="BF52" s="288">
        <v>1.48</v>
      </c>
      <c r="BG52" s="289">
        <f t="shared" si="31"/>
        <v>0.1200000000000001</v>
      </c>
      <c r="BH52" s="288">
        <v>1.2</v>
      </c>
      <c r="BI52" s="288">
        <v>1.2</v>
      </c>
      <c r="BJ52" s="296">
        <f t="shared" si="32"/>
        <v>0</v>
      </c>
      <c r="BK52" s="288">
        <v>4.7</v>
      </c>
      <c r="BL52" s="291">
        <v>4.7</v>
      </c>
      <c r="BM52" s="305">
        <f t="shared" si="33"/>
        <v>0</v>
      </c>
      <c r="BN52" s="96">
        <f t="shared" si="34"/>
        <v>0.0032216102626766016</v>
      </c>
      <c r="BO52" s="288"/>
      <c r="BP52" s="288">
        <v>13.46</v>
      </c>
      <c r="BQ52" s="288">
        <v>3</v>
      </c>
      <c r="BR52" s="96">
        <f t="shared" si="15"/>
        <v>0.08185538881309685</v>
      </c>
      <c r="BS52" s="291">
        <f t="shared" si="84"/>
        <v>31.302170283806344</v>
      </c>
      <c r="BT52" s="291">
        <f aca="true" t="shared" si="119" ref="BT52:BT74">SUM(BF52,BI52,BL52)/SUM(BE52,BH52,BK52)</f>
        <v>0.984</v>
      </c>
      <c r="BU52" s="306">
        <f t="shared" si="112"/>
        <v>26</v>
      </c>
      <c r="BV52" s="288">
        <v>7</v>
      </c>
      <c r="BW52" s="288">
        <v>7</v>
      </c>
      <c r="BX52" s="304">
        <f>BV52/BW52</f>
        <v>1</v>
      </c>
      <c r="BY52" s="307">
        <f t="shared" si="85"/>
        <v>2.1</v>
      </c>
      <c r="BZ52" s="71">
        <f t="shared" si="20"/>
        <v>0.3</v>
      </c>
      <c r="CA52" s="288">
        <v>0.94</v>
      </c>
      <c r="CB52" s="308">
        <v>0</v>
      </c>
      <c r="CC52" s="288"/>
      <c r="CD52" s="309">
        <v>90</v>
      </c>
      <c r="CE52" s="305">
        <v>0</v>
      </c>
      <c r="CF52" s="310">
        <v>100</v>
      </c>
      <c r="CG52" s="288">
        <v>0</v>
      </c>
      <c r="CH52" s="288">
        <v>24</v>
      </c>
      <c r="CI52" s="289">
        <f t="shared" si="113"/>
        <v>24</v>
      </c>
      <c r="CJ52" s="291">
        <f t="shared" si="96"/>
        <v>26</v>
      </c>
      <c r="CK52" s="421" t="s">
        <v>45</v>
      </c>
      <c r="CL52" s="421">
        <v>1.24</v>
      </c>
      <c r="CM52" s="295" t="s">
        <v>43</v>
      </c>
      <c r="CN52" s="295">
        <v>4.05</v>
      </c>
      <c r="CO52" s="295" t="s">
        <v>42</v>
      </c>
      <c r="CP52" s="295">
        <v>0</v>
      </c>
      <c r="CQ52" s="295" t="s">
        <v>45</v>
      </c>
      <c r="CR52" s="295">
        <v>1.1</v>
      </c>
      <c r="CS52" s="287" t="s">
        <v>382</v>
      </c>
      <c r="CT52" s="295" t="s">
        <v>44</v>
      </c>
      <c r="CU52" s="295">
        <v>4.68</v>
      </c>
      <c r="CV52" s="295" t="s">
        <v>46</v>
      </c>
      <c r="CW52" s="431">
        <v>0.82</v>
      </c>
      <c r="CX52" s="791" t="s">
        <v>44</v>
      </c>
      <c r="CY52" s="791">
        <v>1</v>
      </c>
      <c r="CZ52" s="301" t="s">
        <v>45</v>
      </c>
      <c r="DA52" s="295">
        <v>1.15</v>
      </c>
      <c r="DB52" s="295" t="s">
        <v>45</v>
      </c>
      <c r="DC52" s="295">
        <v>1.23</v>
      </c>
      <c r="DD52" s="295" t="s">
        <v>44</v>
      </c>
      <c r="DE52" s="295">
        <v>1</v>
      </c>
      <c r="DF52" s="295" t="s">
        <v>44</v>
      </c>
      <c r="DG52" s="295">
        <v>1</v>
      </c>
      <c r="DH52" s="421" t="s">
        <v>44</v>
      </c>
      <c r="DI52" s="421">
        <v>1</v>
      </c>
      <c r="DJ52" s="421" t="s">
        <v>43</v>
      </c>
      <c r="DK52" s="421">
        <v>0.87</v>
      </c>
      <c r="DL52" s="421" t="s">
        <v>45</v>
      </c>
      <c r="DM52" s="295" t="s">
        <v>45</v>
      </c>
      <c r="DN52" s="292">
        <v>0.01</v>
      </c>
      <c r="DO52" s="295" t="s">
        <v>47</v>
      </c>
      <c r="DP52" s="292">
        <v>0.88</v>
      </c>
      <c r="DQ52" s="421" t="s">
        <v>46</v>
      </c>
      <c r="DR52" s="437">
        <v>1.29</v>
      </c>
      <c r="DS52" s="295" t="s">
        <v>45</v>
      </c>
      <c r="DT52" s="295" t="s">
        <v>45</v>
      </c>
      <c r="DU52" s="295">
        <v>0.81</v>
      </c>
      <c r="DV52" s="295" t="s">
        <v>45</v>
      </c>
      <c r="DW52" s="295">
        <v>0.85</v>
      </c>
      <c r="DX52" s="295" t="s">
        <v>45</v>
      </c>
      <c r="DY52" s="295">
        <v>0.84</v>
      </c>
      <c r="DZ52" s="295" t="s">
        <v>44</v>
      </c>
      <c r="EA52" s="295">
        <v>1</v>
      </c>
      <c r="EB52" s="295" t="s">
        <v>42</v>
      </c>
      <c r="EC52" s="422">
        <v>0.8</v>
      </c>
      <c r="ED52" s="422" t="s">
        <v>44</v>
      </c>
      <c r="EE52" s="422">
        <v>1</v>
      </c>
      <c r="EF52" s="295" t="s">
        <v>46</v>
      </c>
      <c r="EG52" s="99">
        <f t="shared" si="114"/>
        <v>0.00530007062683634</v>
      </c>
      <c r="EH52" s="99">
        <v>2.94</v>
      </c>
      <c r="EI52" s="99">
        <v>0.91</v>
      </c>
      <c r="EJ52" s="99">
        <f t="shared" si="115"/>
        <v>12.71</v>
      </c>
      <c r="EK52" s="99">
        <f t="shared" si="36"/>
        <v>1.0371000000000001</v>
      </c>
      <c r="EL52" s="444">
        <f t="shared" si="116"/>
        <v>823.9350000000001</v>
      </c>
      <c r="EM52" s="444">
        <f t="shared" si="37"/>
        <v>1056.9941414871464</v>
      </c>
      <c r="EN52" s="708">
        <f t="shared" si="38"/>
        <v>16.470302189980313</v>
      </c>
      <c r="EO52" s="99">
        <f t="shared" si="117"/>
        <v>1144</v>
      </c>
      <c r="EP52" s="444">
        <f t="shared" si="118"/>
        <v>6.5</v>
      </c>
      <c r="EQ52" s="444">
        <f t="shared" si="39"/>
        <v>0.30542</v>
      </c>
      <c r="ER52" s="444">
        <f t="shared" si="40"/>
        <v>3.2741798179556016</v>
      </c>
      <c r="ES52" s="444">
        <f t="shared" si="41"/>
        <v>1.771117166212534</v>
      </c>
      <c r="ET52" s="444">
        <f t="shared" si="42"/>
        <v>6.498397521833874</v>
      </c>
      <c r="EU52" s="708">
        <f t="shared" si="43"/>
        <v>6.498397521833874</v>
      </c>
      <c r="EV52" s="99">
        <f t="shared" si="44"/>
        <v>2614</v>
      </c>
      <c r="EW52" s="444">
        <f t="shared" si="45"/>
        <v>2771</v>
      </c>
      <c r="EX52" s="712"/>
      <c r="EY52" s="99"/>
      <c r="EZ52" s="99"/>
      <c r="FA52" s="99"/>
      <c r="FB52" s="99"/>
      <c r="FC52" s="99"/>
      <c r="FD52" s="99"/>
      <c r="FE52" s="99"/>
      <c r="FF52" s="99"/>
      <c r="FG52" s="99"/>
      <c r="FH52" s="99"/>
      <c r="FI52" s="99"/>
      <c r="FJ52" s="99"/>
      <c r="FK52" s="99"/>
      <c r="FL52" s="99"/>
      <c r="FM52" s="99"/>
      <c r="FN52" s="99"/>
      <c r="FO52" s="392"/>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99"/>
      <c r="HT52" s="99"/>
      <c r="HU52" s="392"/>
    </row>
    <row r="53" spans="1:229" s="710" customFormat="1" ht="18" customHeight="1">
      <c r="A53" s="705" t="s">
        <v>177</v>
      </c>
      <c r="B53" s="287" t="s">
        <v>177</v>
      </c>
      <c r="C53" s="287" t="s">
        <v>45</v>
      </c>
      <c r="D53" s="287">
        <v>5.79</v>
      </c>
      <c r="E53" s="376" t="s">
        <v>51</v>
      </c>
      <c r="F53" s="287" t="s">
        <v>52</v>
      </c>
      <c r="G53" s="289">
        <f>233*8</f>
        <v>1864</v>
      </c>
      <c r="H53" s="289">
        <v>1520</v>
      </c>
      <c r="I53" s="290">
        <f>(G53-H53)/G53</f>
        <v>0.18454935622317598</v>
      </c>
      <c r="J53" s="288">
        <f t="shared" si="97"/>
        <v>176</v>
      </c>
      <c r="K53" s="288">
        <v>76</v>
      </c>
      <c r="L53" s="291">
        <f t="shared" si="105"/>
        <v>2354.1</v>
      </c>
      <c r="M53" s="291">
        <f>L53*((100-R53)/100)</f>
        <v>941.64</v>
      </c>
      <c r="N53" s="292">
        <f>(R53/100)*L53</f>
        <v>1412.4599999999998</v>
      </c>
      <c r="O53" s="290">
        <f>L53-S53+X53</f>
        <v>1064.241528</v>
      </c>
      <c r="P53" s="293">
        <f>O53/1000</f>
        <v>1.064241528</v>
      </c>
      <c r="Q53" s="290">
        <f>K53*(0.65+0.4)</f>
        <v>79.8</v>
      </c>
      <c r="R53" s="310">
        <v>60</v>
      </c>
      <c r="S53" s="292">
        <f>(R53/100)*L53</f>
        <v>1412.4599999999998</v>
      </c>
      <c r="T53" s="294">
        <v>8</v>
      </c>
      <c r="U53" s="294">
        <v>0.6</v>
      </c>
      <c r="V53" s="295">
        <f>(T53+U53+(0.02*AD53*AF53))/100</f>
        <v>0.0868</v>
      </c>
      <c r="W53" s="295">
        <v>1</v>
      </c>
      <c r="X53" s="296">
        <f t="shared" si="106"/>
        <v>122.60152799999999</v>
      </c>
      <c r="Y53" s="310">
        <v>30</v>
      </c>
      <c r="Z53" s="296">
        <f>(Y53/100)*O53</f>
        <v>319.2724584</v>
      </c>
      <c r="AA53" s="294">
        <v>3</v>
      </c>
      <c r="AB53" s="292">
        <f>(AA53/100)*O53</f>
        <v>31.927245839999998</v>
      </c>
      <c r="AC53" s="295" t="s">
        <v>47</v>
      </c>
      <c r="AD53" s="295">
        <v>20</v>
      </c>
      <c r="AE53" s="295" t="s">
        <v>43</v>
      </c>
      <c r="AF53" s="292">
        <v>0.2</v>
      </c>
      <c r="AG53" s="296">
        <f t="shared" si="108"/>
        <v>33.2043356736</v>
      </c>
      <c r="AH53" s="296">
        <f>AR53*AK53</f>
        <v>89848</v>
      </c>
      <c r="AI53" s="296">
        <f t="shared" si="110"/>
        <v>92246</v>
      </c>
      <c r="AJ53" s="297">
        <f>(AH53-AI53)/AH53</f>
        <v>-0.026689520078354553</v>
      </c>
      <c r="AK53" s="298">
        <v>22</v>
      </c>
      <c r="AL53" s="299">
        <v>4</v>
      </c>
      <c r="AM53" s="381">
        <f>AR53/G53</f>
        <v>2.1909871244635193</v>
      </c>
      <c r="AN53" s="300">
        <f>AU53/H53</f>
        <v>2.7585526315789473</v>
      </c>
      <c r="AO53" s="802">
        <f>(AM53-AN53)/AM53</f>
        <v>-0.2590455693592453</v>
      </c>
      <c r="AP53" s="769">
        <v>3890</v>
      </c>
      <c r="AQ53" s="770"/>
      <c r="AR53" s="302">
        <v>4084</v>
      </c>
      <c r="AS53" s="301">
        <v>4390</v>
      </c>
      <c r="AT53" s="288"/>
      <c r="AU53" s="303">
        <v>4193</v>
      </c>
      <c r="AV53" s="290">
        <f t="shared" si="111"/>
        <v>0.025995707130932508</v>
      </c>
      <c r="AW53" s="293">
        <v>51</v>
      </c>
      <c r="AX53" s="290">
        <f>AW53*(R53/100)</f>
        <v>30.599999999999998</v>
      </c>
      <c r="AY53" s="288">
        <v>0.5</v>
      </c>
      <c r="AZ53" s="288">
        <v>21</v>
      </c>
      <c r="BA53" s="304">
        <v>2</v>
      </c>
      <c r="BB53" s="288">
        <v>18</v>
      </c>
      <c r="BC53" s="288">
        <v>0.41</v>
      </c>
      <c r="BD53" s="291">
        <f>O53/AR53</f>
        <v>0.2605880333006856</v>
      </c>
      <c r="BE53" s="288">
        <v>2.9</v>
      </c>
      <c r="BF53" s="288">
        <v>2.9</v>
      </c>
      <c r="BG53" s="289">
        <f>BE53-BF53</f>
        <v>0</v>
      </c>
      <c r="BH53" s="288">
        <v>3</v>
      </c>
      <c r="BI53" s="291">
        <v>3</v>
      </c>
      <c r="BJ53" s="296">
        <f>(BH53-BI53)</f>
        <v>0</v>
      </c>
      <c r="BK53" s="288">
        <v>2</v>
      </c>
      <c r="BL53" s="291">
        <v>2</v>
      </c>
      <c r="BM53" s="305">
        <f>BK53-BL53</f>
        <v>0</v>
      </c>
      <c r="BN53" s="706">
        <f>BH53/O53</f>
        <v>0.002818908979842027</v>
      </c>
      <c r="BO53" s="288"/>
      <c r="BP53" s="288">
        <v>1.12</v>
      </c>
      <c r="BQ53" s="288">
        <v>3</v>
      </c>
      <c r="BR53" s="706">
        <f>BH53/(BH53+BP53)</f>
        <v>0.7281553398058253</v>
      </c>
      <c r="BS53" s="291">
        <f>SUM(BH53,BE53,BK53)*100/SUM(BH53,BE53,BK53,BP53,BQ53)</f>
        <v>65.72379367720467</v>
      </c>
      <c r="BT53" s="291">
        <f t="shared" si="119"/>
        <v>1</v>
      </c>
      <c r="BU53" s="306">
        <f t="shared" si="112"/>
        <v>42.36363636363637</v>
      </c>
      <c r="BV53" s="288">
        <v>32</v>
      </c>
      <c r="BW53" s="288">
        <v>32</v>
      </c>
      <c r="BX53" s="304">
        <f>BV53/BW53</f>
        <v>1</v>
      </c>
      <c r="BY53" s="307">
        <f>BV53*Y53/100</f>
        <v>9.6</v>
      </c>
      <c r="BZ53" s="707">
        <f>BY53/BV53</f>
        <v>0.3</v>
      </c>
      <c r="CA53" s="288">
        <v>0.79</v>
      </c>
      <c r="CB53" s="308">
        <v>11.1</v>
      </c>
      <c r="CC53" s="288"/>
      <c r="CD53" s="309">
        <v>90</v>
      </c>
      <c r="CE53" s="305">
        <v>0</v>
      </c>
      <c r="CF53" s="310">
        <v>100</v>
      </c>
      <c r="CG53" s="288">
        <v>0</v>
      </c>
      <c r="CH53" s="288">
        <v>24</v>
      </c>
      <c r="CI53" s="289">
        <f t="shared" si="113"/>
        <v>24</v>
      </c>
      <c r="CJ53" s="291">
        <f>(G53/176)*4</f>
        <v>42.36363636363637</v>
      </c>
      <c r="CK53" s="421" t="s">
        <v>45</v>
      </c>
      <c r="CL53" s="421">
        <v>1.24</v>
      </c>
      <c r="CM53" s="295" t="s">
        <v>43</v>
      </c>
      <c r="CN53" s="295">
        <v>4.05</v>
      </c>
      <c r="CO53" s="295" t="s">
        <v>42</v>
      </c>
      <c r="CP53" s="295">
        <v>0</v>
      </c>
      <c r="CQ53" s="295" t="s">
        <v>45</v>
      </c>
      <c r="CR53" s="295">
        <v>1.1</v>
      </c>
      <c r="CS53" s="287" t="s">
        <v>379</v>
      </c>
      <c r="CT53" s="295" t="s">
        <v>44</v>
      </c>
      <c r="CU53" s="295">
        <v>4.68</v>
      </c>
      <c r="CV53" s="295" t="s">
        <v>46</v>
      </c>
      <c r="CW53" s="431">
        <v>0.82</v>
      </c>
      <c r="CX53" s="791" t="s">
        <v>44</v>
      </c>
      <c r="CY53" s="791">
        <v>1</v>
      </c>
      <c r="CZ53" s="295" t="s">
        <v>45</v>
      </c>
      <c r="DA53" s="295">
        <v>1.15</v>
      </c>
      <c r="DB53" s="295" t="s">
        <v>45</v>
      </c>
      <c r="DC53" s="295">
        <v>1.23</v>
      </c>
      <c r="DD53" s="295" t="s">
        <v>44</v>
      </c>
      <c r="DE53" s="295">
        <v>1</v>
      </c>
      <c r="DF53" s="295" t="s">
        <v>44</v>
      </c>
      <c r="DG53" s="295">
        <v>1</v>
      </c>
      <c r="DH53" s="421" t="s">
        <v>44</v>
      </c>
      <c r="DI53" s="421">
        <v>1</v>
      </c>
      <c r="DJ53" s="421" t="s">
        <v>43</v>
      </c>
      <c r="DK53" s="421">
        <v>0.87</v>
      </c>
      <c r="DL53" s="421" t="s">
        <v>45</v>
      </c>
      <c r="DM53" s="295" t="s">
        <v>45</v>
      </c>
      <c r="DN53" s="292">
        <v>0.01</v>
      </c>
      <c r="DO53" s="295" t="s">
        <v>47</v>
      </c>
      <c r="DP53" s="292">
        <v>0.88</v>
      </c>
      <c r="DQ53" s="421" t="s">
        <v>46</v>
      </c>
      <c r="DR53" s="437">
        <v>1.29</v>
      </c>
      <c r="DS53" s="295" t="s">
        <v>45</v>
      </c>
      <c r="DT53" s="295" t="s">
        <v>45</v>
      </c>
      <c r="DU53" s="295">
        <v>0.81</v>
      </c>
      <c r="DV53" s="295" t="s">
        <v>45</v>
      </c>
      <c r="DW53" s="295">
        <v>0.85</v>
      </c>
      <c r="DX53" s="295" t="s">
        <v>45</v>
      </c>
      <c r="DY53" s="295">
        <v>0.84</v>
      </c>
      <c r="DZ53" s="295" t="s">
        <v>44</v>
      </c>
      <c r="EA53" s="295">
        <v>1</v>
      </c>
      <c r="EB53" s="295" t="s">
        <v>42</v>
      </c>
      <c r="EC53" s="422">
        <v>0.8</v>
      </c>
      <c r="ED53" s="422" t="s">
        <v>44</v>
      </c>
      <c r="EE53" s="422">
        <v>1</v>
      </c>
      <c r="EF53" s="295" t="s">
        <v>46</v>
      </c>
      <c r="EG53" s="99">
        <f t="shared" si="114"/>
        <v>0.00530007062683634</v>
      </c>
      <c r="EH53" s="99">
        <v>2.94</v>
      </c>
      <c r="EI53" s="99">
        <v>0.91</v>
      </c>
      <c r="EJ53" s="99">
        <f t="shared" si="115"/>
        <v>12.71</v>
      </c>
      <c r="EK53" s="99">
        <f>EI53+0.01*EJ53</f>
        <v>1.0371000000000001</v>
      </c>
      <c r="EL53" s="444">
        <f t="shared" si="116"/>
        <v>2354.1</v>
      </c>
      <c r="EM53" s="444">
        <f>POWER(EL53,EK53)</f>
        <v>3139.927434448396</v>
      </c>
      <c r="EN53" s="708">
        <f>EH53*EM53*EG53</f>
        <v>48.92700126720955</v>
      </c>
      <c r="EO53" s="99">
        <f t="shared" si="117"/>
        <v>1864</v>
      </c>
      <c r="EP53" s="444">
        <f t="shared" si="118"/>
        <v>10.590909090909092</v>
      </c>
      <c r="EQ53" s="444">
        <f>0.28+0.2*0.01*EJ53</f>
        <v>0.30542</v>
      </c>
      <c r="ER53" s="444">
        <f>1/EQ53</f>
        <v>3.2741798179556016</v>
      </c>
      <c r="ES53" s="444">
        <f>(EP53/3.67)</f>
        <v>2.8858062918008427</v>
      </c>
      <c r="ET53" s="444">
        <f>POWER(ES53,ER53)</f>
        <v>32.136420273042425</v>
      </c>
      <c r="EU53" s="708">
        <f>ET53</f>
        <v>32.136420273042425</v>
      </c>
      <c r="EV53" s="99">
        <f>AR53</f>
        <v>4084</v>
      </c>
      <c r="EW53" s="444">
        <f>AU53</f>
        <v>4193</v>
      </c>
      <c r="EX53" s="712"/>
      <c r="EY53" s="99"/>
      <c r="EZ53" s="99"/>
      <c r="FA53" s="99"/>
      <c r="FB53" s="99"/>
      <c r="FC53" s="99"/>
      <c r="FD53" s="99"/>
      <c r="FE53" s="99"/>
      <c r="FF53" s="99"/>
      <c r="FG53" s="99"/>
      <c r="FH53" s="99"/>
      <c r="FI53" s="99"/>
      <c r="FJ53" s="99"/>
      <c r="FK53" s="99"/>
      <c r="FL53" s="99"/>
      <c r="FM53" s="99"/>
      <c r="FN53" s="99"/>
      <c r="FO53" s="70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99"/>
      <c r="HT53" s="99"/>
      <c r="HU53" s="709"/>
    </row>
    <row r="54" spans="1:229" s="710" customFormat="1" ht="16.5" customHeight="1">
      <c r="A54" s="705" t="s">
        <v>178</v>
      </c>
      <c r="B54" s="287" t="s">
        <v>178</v>
      </c>
      <c r="C54" s="287" t="s">
        <v>45</v>
      </c>
      <c r="D54" s="287">
        <v>5.79</v>
      </c>
      <c r="E54" s="376" t="s">
        <v>51</v>
      </c>
      <c r="F54" s="287" t="s">
        <v>52</v>
      </c>
      <c r="G54" s="289">
        <f>200*8</f>
        <v>1600</v>
      </c>
      <c r="H54" s="289">
        <v>1550</v>
      </c>
      <c r="I54" s="290">
        <f>(G54-H54)/G54</f>
        <v>0.03125</v>
      </c>
      <c r="J54" s="288">
        <f t="shared" si="97"/>
        <v>176</v>
      </c>
      <c r="K54" s="288">
        <v>71</v>
      </c>
      <c r="L54" s="291">
        <f t="shared" si="105"/>
        <v>2199.225</v>
      </c>
      <c r="M54" s="291">
        <f>L54*((100-R54)/100)</f>
        <v>879.69</v>
      </c>
      <c r="N54" s="292">
        <f>(R54/100)*L54</f>
        <v>1319.5349999999999</v>
      </c>
      <c r="O54" s="290">
        <f>L54-S54+X54</f>
        <v>994.225638</v>
      </c>
      <c r="P54" s="293">
        <f>O54/1000</f>
        <v>0.994225638</v>
      </c>
      <c r="Q54" s="290">
        <f>K54*(0.65+0.4)</f>
        <v>74.55</v>
      </c>
      <c r="R54" s="310">
        <v>60</v>
      </c>
      <c r="S54" s="292">
        <f>(R54/100)*L54</f>
        <v>1319.5349999999999</v>
      </c>
      <c r="T54" s="294">
        <v>8</v>
      </c>
      <c r="U54" s="294">
        <v>0.6</v>
      </c>
      <c r="V54" s="295">
        <f>(T54+U54+(0.02*AD54*AF54))/100</f>
        <v>0.0868</v>
      </c>
      <c r="W54" s="295">
        <v>1</v>
      </c>
      <c r="X54" s="296">
        <f t="shared" si="106"/>
        <v>114.53563799999999</v>
      </c>
      <c r="Y54" s="310">
        <v>30</v>
      </c>
      <c r="Z54" s="296">
        <f>(Y54/100)*O54</f>
        <v>298.2676914</v>
      </c>
      <c r="AA54" s="294">
        <v>3</v>
      </c>
      <c r="AB54" s="292">
        <f>(AA54/100)*O54</f>
        <v>29.82676914</v>
      </c>
      <c r="AC54" s="295" t="s">
        <v>47</v>
      </c>
      <c r="AD54" s="295">
        <v>20</v>
      </c>
      <c r="AE54" s="295" t="s">
        <v>43</v>
      </c>
      <c r="AF54" s="292">
        <v>0.2</v>
      </c>
      <c r="AG54" s="296">
        <f t="shared" si="108"/>
        <v>31.0198399056</v>
      </c>
      <c r="AH54" s="296">
        <f>AR54*AK54</f>
        <v>87692</v>
      </c>
      <c r="AI54" s="296">
        <f t="shared" si="110"/>
        <v>69432</v>
      </c>
      <c r="AJ54" s="297">
        <f>(AH54-AI54)/AH54</f>
        <v>0.20822880080280984</v>
      </c>
      <c r="AK54" s="298">
        <v>22</v>
      </c>
      <c r="AL54" s="299">
        <v>5</v>
      </c>
      <c r="AM54" s="381">
        <f>AR54/G54</f>
        <v>2.49125</v>
      </c>
      <c r="AN54" s="300">
        <f>AU54/H54</f>
        <v>2.0361290322580645</v>
      </c>
      <c r="AO54" s="802">
        <f>(AM54-AN54)/AM54</f>
        <v>0.182687794377094</v>
      </c>
      <c r="AP54" s="769">
        <v>4945</v>
      </c>
      <c r="AQ54" s="770"/>
      <c r="AR54" s="302">
        <v>3986</v>
      </c>
      <c r="AS54" s="301">
        <v>3024</v>
      </c>
      <c r="AT54" s="288"/>
      <c r="AU54" s="303">
        <v>3156</v>
      </c>
      <c r="AV54" s="290">
        <f t="shared" si="111"/>
        <v>-0.2629911280101394</v>
      </c>
      <c r="AW54" s="293">
        <v>57</v>
      </c>
      <c r="AX54" s="290">
        <f>AW54*(R54/100)</f>
        <v>34.199999999999996</v>
      </c>
      <c r="AY54" s="288">
        <v>0.8</v>
      </c>
      <c r="AZ54" s="288">
        <v>25</v>
      </c>
      <c r="BA54" s="304">
        <v>1.2</v>
      </c>
      <c r="BB54" s="288">
        <v>10.2</v>
      </c>
      <c r="BC54" s="288">
        <v>2.5</v>
      </c>
      <c r="BD54" s="291">
        <f>O54/AR54</f>
        <v>0.24942941244355243</v>
      </c>
      <c r="BE54" s="288">
        <v>10</v>
      </c>
      <c r="BF54" s="288">
        <v>10</v>
      </c>
      <c r="BG54" s="289">
        <f>BE54-BF54</f>
        <v>0</v>
      </c>
      <c r="BH54" s="288">
        <v>8</v>
      </c>
      <c r="BI54" s="291">
        <v>8</v>
      </c>
      <c r="BJ54" s="296">
        <f>(BH54-BI54)</f>
        <v>0</v>
      </c>
      <c r="BK54" s="288">
        <v>0</v>
      </c>
      <c r="BL54" s="291">
        <v>0</v>
      </c>
      <c r="BM54" s="305">
        <f>BK54-BL54</f>
        <v>0</v>
      </c>
      <c r="BN54" s="706">
        <f>BH54/O54</f>
        <v>0.00804646319128616</v>
      </c>
      <c r="BO54" s="288"/>
      <c r="BP54" s="288">
        <v>0.94</v>
      </c>
      <c r="BQ54" s="288">
        <v>3</v>
      </c>
      <c r="BR54" s="706">
        <f>BH54/(BH54+BP54)</f>
        <v>0.894854586129754</v>
      </c>
      <c r="BS54" s="291">
        <f>SUM(BH54,BE54,BK54)*100/SUM(BH54,BE54,BK54,BP54,BQ54)</f>
        <v>82.04193254329991</v>
      </c>
      <c r="BT54" s="291">
        <f t="shared" si="119"/>
        <v>1</v>
      </c>
      <c r="BU54" s="306">
        <f t="shared" si="112"/>
        <v>36.36363636363637</v>
      </c>
      <c r="BV54" s="288">
        <v>39</v>
      </c>
      <c r="BW54" s="288">
        <v>39</v>
      </c>
      <c r="BX54" s="304">
        <f>IF(OR(ISBLANK(BV54),ISBLANK(BW54)),"",BV54/BW54)</f>
        <v>1</v>
      </c>
      <c r="BY54" s="307">
        <f>BV54*Y54/100</f>
        <v>11.7</v>
      </c>
      <c r="BZ54" s="707">
        <v>0</v>
      </c>
      <c r="CA54" s="288">
        <v>1.2</v>
      </c>
      <c r="CB54" s="308">
        <v>4.2</v>
      </c>
      <c r="CC54" s="288"/>
      <c r="CD54" s="309">
        <v>90</v>
      </c>
      <c r="CE54" s="305">
        <v>0</v>
      </c>
      <c r="CF54" s="310">
        <v>100</v>
      </c>
      <c r="CG54" s="288">
        <v>0</v>
      </c>
      <c r="CH54" s="288">
        <v>24</v>
      </c>
      <c r="CI54" s="289">
        <f t="shared" si="113"/>
        <v>24</v>
      </c>
      <c r="CJ54" s="291">
        <f>(G54/176)*4</f>
        <v>36.36363636363637</v>
      </c>
      <c r="CK54" s="421" t="s">
        <v>45</v>
      </c>
      <c r="CL54" s="421">
        <v>1.24</v>
      </c>
      <c r="CM54" s="295" t="s">
        <v>43</v>
      </c>
      <c r="CN54" s="295">
        <v>4.05</v>
      </c>
      <c r="CO54" s="295" t="s">
        <v>42</v>
      </c>
      <c r="CP54" s="295">
        <v>0</v>
      </c>
      <c r="CQ54" s="295" t="s">
        <v>45</v>
      </c>
      <c r="CR54" s="295">
        <v>1.1</v>
      </c>
      <c r="CS54" s="287" t="s">
        <v>380</v>
      </c>
      <c r="CT54" s="295" t="s">
        <v>44</v>
      </c>
      <c r="CU54" s="295">
        <v>4.68</v>
      </c>
      <c r="CV54" s="295" t="s">
        <v>46</v>
      </c>
      <c r="CW54" s="431">
        <v>0.82</v>
      </c>
      <c r="CX54" s="791" t="s">
        <v>44</v>
      </c>
      <c r="CY54" s="791">
        <v>1</v>
      </c>
      <c r="CZ54" s="301" t="s">
        <v>45</v>
      </c>
      <c r="DA54" s="295">
        <v>1.15</v>
      </c>
      <c r="DB54" s="295" t="s">
        <v>45</v>
      </c>
      <c r="DC54" s="295">
        <v>1.23</v>
      </c>
      <c r="DD54" s="295" t="s">
        <v>44</v>
      </c>
      <c r="DE54" s="295">
        <v>1</v>
      </c>
      <c r="DF54" s="295" t="s">
        <v>44</v>
      </c>
      <c r="DG54" s="295">
        <v>1</v>
      </c>
      <c r="DH54" s="421" t="s">
        <v>44</v>
      </c>
      <c r="DI54" s="421">
        <v>1</v>
      </c>
      <c r="DJ54" s="421" t="s">
        <v>43</v>
      </c>
      <c r="DK54" s="421">
        <v>0.87</v>
      </c>
      <c r="DL54" s="421" t="s">
        <v>45</v>
      </c>
      <c r="DM54" s="295" t="s">
        <v>45</v>
      </c>
      <c r="DN54" s="292">
        <v>0.01</v>
      </c>
      <c r="DO54" s="295" t="s">
        <v>47</v>
      </c>
      <c r="DP54" s="292">
        <v>0.88</v>
      </c>
      <c r="DQ54" s="421" t="s">
        <v>43</v>
      </c>
      <c r="DR54" s="437">
        <v>1.12</v>
      </c>
      <c r="DS54" s="295" t="s">
        <v>45</v>
      </c>
      <c r="DT54" s="295" t="s">
        <v>45</v>
      </c>
      <c r="DU54" s="295">
        <v>0.81</v>
      </c>
      <c r="DV54" s="295" t="s">
        <v>45</v>
      </c>
      <c r="DW54" s="295">
        <v>0.85</v>
      </c>
      <c r="DX54" s="295" t="s">
        <v>45</v>
      </c>
      <c r="DY54" s="295">
        <v>0.84</v>
      </c>
      <c r="DZ54" s="295" t="s">
        <v>44</v>
      </c>
      <c r="EA54" s="295">
        <v>1</v>
      </c>
      <c r="EB54" s="295" t="s">
        <v>42</v>
      </c>
      <c r="EC54" s="422">
        <v>0.8</v>
      </c>
      <c r="ED54" s="422" t="s">
        <v>44</v>
      </c>
      <c r="EE54" s="422">
        <v>1</v>
      </c>
      <c r="EF54" s="295" t="s">
        <v>46</v>
      </c>
      <c r="EG54" s="99">
        <f t="shared" si="114"/>
        <v>0.004601611707020698</v>
      </c>
      <c r="EH54" s="99">
        <v>2.94</v>
      </c>
      <c r="EI54" s="99">
        <v>0.91</v>
      </c>
      <c r="EJ54" s="99">
        <f t="shared" si="115"/>
        <v>12.71</v>
      </c>
      <c r="EK54" s="99">
        <f>EI54+0.01*EJ54</f>
        <v>1.0371000000000001</v>
      </c>
      <c r="EL54" s="444">
        <f t="shared" si="116"/>
        <v>2199.225</v>
      </c>
      <c r="EM54" s="444">
        <f>POWER(EL54,EK54)</f>
        <v>2925.95652076916</v>
      </c>
      <c r="EN54" s="708">
        <f>EH54*EM54*EG54</f>
        <v>39.58450039380246</v>
      </c>
      <c r="EO54" s="99">
        <f t="shared" si="117"/>
        <v>1600</v>
      </c>
      <c r="EP54" s="444">
        <f t="shared" si="118"/>
        <v>9.090909090909092</v>
      </c>
      <c r="EQ54" s="444">
        <f>0.28+0.2*0.01*EJ54</f>
        <v>0.30542</v>
      </c>
      <c r="ER54" s="444">
        <f>1/EQ54</f>
        <v>3.2741798179556016</v>
      </c>
      <c r="ES54" s="444">
        <f>(EP54/3.67)</f>
        <v>2.4770869457517963</v>
      </c>
      <c r="ET54" s="444">
        <f>POWER(ES54,ER54)</f>
        <v>19.491016634927885</v>
      </c>
      <c r="EU54" s="708">
        <f>ET54</f>
        <v>19.491016634927885</v>
      </c>
      <c r="EV54" s="99">
        <f>AR54</f>
        <v>3986</v>
      </c>
      <c r="EW54" s="444">
        <f>AU54</f>
        <v>3156</v>
      </c>
      <c r="EX54" s="712"/>
      <c r="EY54" s="99"/>
      <c r="EZ54" s="99"/>
      <c r="FA54" s="99"/>
      <c r="FB54" s="99"/>
      <c r="FC54" s="99"/>
      <c r="FD54" s="99"/>
      <c r="FE54" s="99"/>
      <c r="FF54" s="99"/>
      <c r="FG54" s="99"/>
      <c r="FH54" s="99"/>
      <c r="FI54" s="99"/>
      <c r="FJ54" s="99"/>
      <c r="FK54" s="99"/>
      <c r="FL54" s="99"/>
      <c r="FM54" s="99"/>
      <c r="FN54" s="99"/>
      <c r="FO54" s="709"/>
      <c r="FQ54" s="99"/>
      <c r="FR54" s="99"/>
      <c r="FS54" s="99"/>
      <c r="FT54" s="99"/>
      <c r="FU54" s="99"/>
      <c r="FV54" s="99"/>
      <c r="FW54" s="99"/>
      <c r="FX54" s="99"/>
      <c r="FY54" s="99"/>
      <c r="FZ54" s="99"/>
      <c r="GA54" s="99"/>
      <c r="GB54" s="99"/>
      <c r="GC54" s="99"/>
      <c r="GD54" s="99"/>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H54" s="99"/>
      <c r="HI54" s="99"/>
      <c r="HJ54" s="99"/>
      <c r="HK54" s="99"/>
      <c r="HL54" s="99"/>
      <c r="HM54" s="99"/>
      <c r="HN54" s="99"/>
      <c r="HO54" s="99"/>
      <c r="HP54" s="99"/>
      <c r="HQ54" s="99"/>
      <c r="HR54" s="99"/>
      <c r="HS54" s="99"/>
      <c r="HT54" s="99"/>
      <c r="HU54" s="709"/>
    </row>
    <row r="55" spans="1:229" s="710" customFormat="1" ht="15" customHeight="1">
      <c r="A55" s="705" t="s">
        <v>178</v>
      </c>
      <c r="B55" s="287" t="s">
        <v>178</v>
      </c>
      <c r="C55" s="287" t="s">
        <v>45</v>
      </c>
      <c r="D55" s="287">
        <v>5.79</v>
      </c>
      <c r="E55" s="376" t="s">
        <v>51</v>
      </c>
      <c r="F55" s="287" t="s">
        <v>52</v>
      </c>
      <c r="G55" s="289">
        <f>172*8</f>
        <v>1376</v>
      </c>
      <c r="H55" s="289">
        <v>1156</v>
      </c>
      <c r="I55" s="290">
        <f>(G55-H55)/G55</f>
        <v>0.15988372093023256</v>
      </c>
      <c r="J55" s="288">
        <f t="shared" si="97"/>
        <v>176</v>
      </c>
      <c r="K55" s="288">
        <v>140</v>
      </c>
      <c r="L55" s="291">
        <f t="shared" si="105"/>
        <v>4336.5</v>
      </c>
      <c r="M55" s="291">
        <f>L55*((100-R55)/100)</f>
        <v>1734.6000000000001</v>
      </c>
      <c r="N55" s="292">
        <f>(R55/100)*L55</f>
        <v>2601.9</v>
      </c>
      <c r="O55" s="290">
        <f>L55-S55+X55</f>
        <v>1960.44492</v>
      </c>
      <c r="P55" s="293">
        <f>O55/1000</f>
        <v>1.9604449199999998</v>
      </c>
      <c r="Q55" s="290">
        <f>K55*(0.65+0.4)</f>
        <v>147</v>
      </c>
      <c r="R55" s="310">
        <v>60</v>
      </c>
      <c r="S55" s="292">
        <f>(R55/100)*L55</f>
        <v>2601.9</v>
      </c>
      <c r="T55" s="294">
        <v>8</v>
      </c>
      <c r="U55" s="294">
        <v>0.6</v>
      </c>
      <c r="V55" s="295">
        <f>(T55+U55+(0.02*AD55*AF55))/100</f>
        <v>0.0868</v>
      </c>
      <c r="W55" s="295">
        <v>1</v>
      </c>
      <c r="X55" s="296">
        <f t="shared" si="106"/>
        <v>225.84492</v>
      </c>
      <c r="Y55" s="310">
        <v>30</v>
      </c>
      <c r="Z55" s="296">
        <f>(Y55/100)*O55</f>
        <v>588.133476</v>
      </c>
      <c r="AA55" s="294">
        <v>3</v>
      </c>
      <c r="AB55" s="292">
        <f>(AA55/100)*O55</f>
        <v>58.81334759999999</v>
      </c>
      <c r="AC55" s="295" t="s">
        <v>47</v>
      </c>
      <c r="AD55" s="295">
        <v>20</v>
      </c>
      <c r="AE55" s="295" t="s">
        <v>43</v>
      </c>
      <c r="AF55" s="292">
        <v>0.2</v>
      </c>
      <c r="AG55" s="296">
        <f t="shared" si="108"/>
        <v>61.165881504</v>
      </c>
      <c r="AH55" s="296">
        <f>AR55*AK55</f>
        <v>134882</v>
      </c>
      <c r="AI55" s="296">
        <f t="shared" si="110"/>
        <v>159544</v>
      </c>
      <c r="AJ55" s="297">
        <f>(AH55-AI55)/AH55</f>
        <v>-0.18284129832001306</v>
      </c>
      <c r="AK55" s="298">
        <v>22</v>
      </c>
      <c r="AL55" s="299">
        <v>8</v>
      </c>
      <c r="AM55" s="381">
        <f>AR55/G55</f>
        <v>4.455668604651163</v>
      </c>
      <c r="AN55" s="300">
        <f>AU55/H55</f>
        <v>6.273356401384083</v>
      </c>
      <c r="AO55" s="802">
        <f>(AM55-AN55)/AM55</f>
        <v>-0.40794950388264517</v>
      </c>
      <c r="AP55" s="769">
        <v>9100</v>
      </c>
      <c r="AQ55" s="770"/>
      <c r="AR55" s="302">
        <v>6131</v>
      </c>
      <c r="AS55" s="301">
        <v>899</v>
      </c>
      <c r="AT55" s="288"/>
      <c r="AU55" s="303">
        <v>7252</v>
      </c>
      <c r="AV55" s="290">
        <f t="shared" si="111"/>
        <v>0.1545780474351903</v>
      </c>
      <c r="AW55" s="293">
        <v>59</v>
      </c>
      <c r="AX55" s="290">
        <f>AW55*(R55/100)</f>
        <v>35.4</v>
      </c>
      <c r="AY55" s="288">
        <v>1.1</v>
      </c>
      <c r="AZ55" s="288">
        <v>13.1</v>
      </c>
      <c r="BA55" s="304">
        <v>1.5</v>
      </c>
      <c r="BB55" s="288">
        <v>0.5</v>
      </c>
      <c r="BC55" s="288">
        <v>0.24</v>
      </c>
      <c r="BD55" s="291">
        <f>O55/AR55</f>
        <v>0.3197594062958734</v>
      </c>
      <c r="BE55" s="288">
        <v>8</v>
      </c>
      <c r="BF55" s="288">
        <v>8</v>
      </c>
      <c r="BG55" s="289">
        <f>BE55-BF55</f>
        <v>0</v>
      </c>
      <c r="BH55" s="288">
        <v>11</v>
      </c>
      <c r="BI55" s="288">
        <v>11</v>
      </c>
      <c r="BJ55" s="296">
        <f>(BH55-BI55)</f>
        <v>0</v>
      </c>
      <c r="BK55" s="288">
        <v>4.2</v>
      </c>
      <c r="BL55" s="291">
        <v>4.2</v>
      </c>
      <c r="BM55" s="305">
        <f>BK55-BL55</f>
        <v>0</v>
      </c>
      <c r="BN55" s="706">
        <f>BH55/O55</f>
        <v>0.005610971207495083</v>
      </c>
      <c r="BO55" s="288"/>
      <c r="BP55" s="288">
        <v>1.56</v>
      </c>
      <c r="BQ55" s="288">
        <v>3</v>
      </c>
      <c r="BR55" s="706">
        <f>BH55/(BH55+BP55)</f>
        <v>0.875796178343949</v>
      </c>
      <c r="BS55" s="291">
        <f>SUM(BH55,BE55,BK55)*100/SUM(BH55,BE55,BK55,BP55,BQ55)</f>
        <v>83.5734870317003</v>
      </c>
      <c r="BT55" s="291">
        <f t="shared" si="119"/>
        <v>1</v>
      </c>
      <c r="BU55" s="306">
        <f t="shared" si="112"/>
        <v>31.272727272727273</v>
      </c>
      <c r="BV55" s="288">
        <v>11</v>
      </c>
      <c r="BW55" s="288">
        <v>11</v>
      </c>
      <c r="BX55" s="304">
        <f>BV55/BW55</f>
        <v>1</v>
      </c>
      <c r="BY55" s="307">
        <f>BV55*Y55/100</f>
        <v>3.3</v>
      </c>
      <c r="BZ55" s="707">
        <f>BY55/BV55</f>
        <v>0.3</v>
      </c>
      <c r="CA55" s="288">
        <v>1</v>
      </c>
      <c r="CB55" s="308">
        <v>7.3</v>
      </c>
      <c r="CC55" s="288"/>
      <c r="CD55" s="309">
        <v>90</v>
      </c>
      <c r="CE55" s="305">
        <v>0</v>
      </c>
      <c r="CF55" s="310">
        <v>100</v>
      </c>
      <c r="CG55" s="288">
        <v>0</v>
      </c>
      <c r="CH55" s="288">
        <v>24</v>
      </c>
      <c r="CI55" s="289">
        <f t="shared" si="113"/>
        <v>24</v>
      </c>
      <c r="CJ55" s="291">
        <f>(G55/176)*4</f>
        <v>31.272727272727273</v>
      </c>
      <c r="CK55" s="421" t="s">
        <v>45</v>
      </c>
      <c r="CL55" s="421">
        <v>1.24</v>
      </c>
      <c r="CM55" s="295" t="s">
        <v>43</v>
      </c>
      <c r="CN55" s="295">
        <v>4.05</v>
      </c>
      <c r="CO55" s="295" t="s">
        <v>42</v>
      </c>
      <c r="CP55" s="295">
        <v>0</v>
      </c>
      <c r="CQ55" s="295" t="s">
        <v>45</v>
      </c>
      <c r="CR55" s="295">
        <v>1.1</v>
      </c>
      <c r="CS55" s="287" t="s">
        <v>381</v>
      </c>
      <c r="CT55" s="295" t="s">
        <v>44</v>
      </c>
      <c r="CU55" s="295">
        <v>4.68</v>
      </c>
      <c r="CV55" s="295" t="s">
        <v>46</v>
      </c>
      <c r="CW55" s="431">
        <v>0.82</v>
      </c>
      <c r="CX55" s="791" t="s">
        <v>44</v>
      </c>
      <c r="CY55" s="791">
        <v>1</v>
      </c>
      <c r="CZ55" s="301" t="s">
        <v>45</v>
      </c>
      <c r="DA55" s="295">
        <v>1.15</v>
      </c>
      <c r="DB55" s="295" t="s">
        <v>45</v>
      </c>
      <c r="DC55" s="295">
        <v>1.23</v>
      </c>
      <c r="DD55" s="295" t="s">
        <v>44</v>
      </c>
      <c r="DE55" s="295">
        <v>1</v>
      </c>
      <c r="DF55" s="295" t="s">
        <v>44</v>
      </c>
      <c r="DG55" s="295">
        <v>1</v>
      </c>
      <c r="DH55" s="421" t="s">
        <v>44</v>
      </c>
      <c r="DI55" s="421">
        <v>1</v>
      </c>
      <c r="DJ55" s="421" t="s">
        <v>43</v>
      </c>
      <c r="DK55" s="421">
        <v>0.87</v>
      </c>
      <c r="DL55" s="421" t="s">
        <v>45</v>
      </c>
      <c r="DM55" s="295" t="s">
        <v>45</v>
      </c>
      <c r="DN55" s="292">
        <v>0.01</v>
      </c>
      <c r="DO55" s="295" t="s">
        <v>47</v>
      </c>
      <c r="DP55" s="292">
        <v>0.88</v>
      </c>
      <c r="DQ55" s="421" t="s">
        <v>43</v>
      </c>
      <c r="DR55" s="437">
        <v>1.12</v>
      </c>
      <c r="DS55" s="295" t="s">
        <v>45</v>
      </c>
      <c r="DT55" s="295" t="s">
        <v>45</v>
      </c>
      <c r="DU55" s="295">
        <v>0.81</v>
      </c>
      <c r="DV55" s="295" t="s">
        <v>45</v>
      </c>
      <c r="DW55" s="295">
        <v>0.85</v>
      </c>
      <c r="DX55" s="295" t="s">
        <v>45</v>
      </c>
      <c r="DY55" s="295">
        <v>0.84</v>
      </c>
      <c r="DZ55" s="295" t="s">
        <v>44</v>
      </c>
      <c r="EA55" s="295">
        <v>1</v>
      </c>
      <c r="EB55" s="295" t="s">
        <v>42</v>
      </c>
      <c r="EC55" s="422">
        <v>0.8</v>
      </c>
      <c r="ED55" s="422" t="s">
        <v>44</v>
      </c>
      <c r="EE55" s="422">
        <v>1</v>
      </c>
      <c r="EF55" s="295" t="s">
        <v>46</v>
      </c>
      <c r="EG55" s="99">
        <f t="shared" si="114"/>
        <v>0.004601611707020698</v>
      </c>
      <c r="EH55" s="99">
        <v>2.94</v>
      </c>
      <c r="EI55" s="99">
        <v>0.91</v>
      </c>
      <c r="EJ55" s="99">
        <f t="shared" si="115"/>
        <v>12.71</v>
      </c>
      <c r="EK55" s="99">
        <f>EI55+0.01*EJ55</f>
        <v>1.0371000000000001</v>
      </c>
      <c r="EL55" s="444">
        <f t="shared" si="116"/>
        <v>4336.5</v>
      </c>
      <c r="EM55" s="444">
        <f>POWER(EL55,EK55)</f>
        <v>5916.6682738032405</v>
      </c>
      <c r="EN55" s="708">
        <f>EH55*EM55*EG55</f>
        <v>80.04505738615535</v>
      </c>
      <c r="EO55" s="99">
        <f t="shared" si="117"/>
        <v>1376</v>
      </c>
      <c r="EP55" s="444">
        <f t="shared" si="118"/>
        <v>7.818181818181818</v>
      </c>
      <c r="EQ55" s="444">
        <f>0.28+0.2*0.01*EJ55</f>
        <v>0.30542</v>
      </c>
      <c r="ER55" s="444">
        <f>1/EQ55</f>
        <v>3.2741798179556016</v>
      </c>
      <c r="ES55" s="444">
        <f>(EP55/3.67)</f>
        <v>2.1302947733465447</v>
      </c>
      <c r="ET55" s="444">
        <f>POWER(ES55,ER55)</f>
        <v>11.895169726489007</v>
      </c>
      <c r="EU55" s="708">
        <f>ET55</f>
        <v>11.895169726489007</v>
      </c>
      <c r="EV55" s="99">
        <f>AR55</f>
        <v>6131</v>
      </c>
      <c r="EW55" s="444">
        <f>AU55</f>
        <v>7252</v>
      </c>
      <c r="EX55" s="712"/>
      <c r="EY55" s="99"/>
      <c r="EZ55" s="99"/>
      <c r="FA55" s="99"/>
      <c r="FB55" s="99"/>
      <c r="FC55" s="99"/>
      <c r="FD55" s="99"/>
      <c r="FE55" s="99"/>
      <c r="FF55" s="99"/>
      <c r="FG55" s="99"/>
      <c r="FH55" s="99"/>
      <c r="FI55" s="99"/>
      <c r="FJ55" s="99"/>
      <c r="FK55" s="99"/>
      <c r="FL55" s="99"/>
      <c r="FM55" s="99"/>
      <c r="FN55" s="99"/>
      <c r="FO55" s="709"/>
      <c r="FQ55" s="99"/>
      <c r="FR55" s="99"/>
      <c r="FS55" s="99"/>
      <c r="FT55" s="99"/>
      <c r="FU55" s="99"/>
      <c r="FV55" s="99"/>
      <c r="FW55" s="99"/>
      <c r="FX55" s="99"/>
      <c r="FY55" s="99"/>
      <c r="FZ55" s="99"/>
      <c r="GA55" s="99"/>
      <c r="GB55" s="99"/>
      <c r="GC55" s="99"/>
      <c r="GD55" s="99"/>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H55" s="99"/>
      <c r="HI55" s="99"/>
      <c r="HJ55" s="99"/>
      <c r="HK55" s="99"/>
      <c r="HL55" s="99"/>
      <c r="HM55" s="99"/>
      <c r="HN55" s="99"/>
      <c r="HO55" s="99"/>
      <c r="HP55" s="99"/>
      <c r="HQ55" s="99"/>
      <c r="HR55" s="99"/>
      <c r="HS55" s="99"/>
      <c r="HT55" s="99"/>
      <c r="HU55" s="709"/>
    </row>
    <row r="56" spans="1:229" s="710" customFormat="1" ht="17.25" customHeight="1">
      <c r="A56" s="705" t="s">
        <v>179</v>
      </c>
      <c r="B56" s="287" t="s">
        <v>179</v>
      </c>
      <c r="C56" s="287" t="s">
        <v>45</v>
      </c>
      <c r="D56" s="287">
        <v>5.79</v>
      </c>
      <c r="E56" s="376" t="s">
        <v>51</v>
      </c>
      <c r="F56" s="287" t="s">
        <v>52</v>
      </c>
      <c r="G56" s="289">
        <f>130*8</f>
        <v>1040</v>
      </c>
      <c r="H56" s="289">
        <v>944</v>
      </c>
      <c r="I56" s="290">
        <f>(G56-H56)/G56</f>
        <v>0.09230769230769231</v>
      </c>
      <c r="J56" s="288">
        <f t="shared" si="97"/>
        <v>176</v>
      </c>
      <c r="K56" s="288">
        <v>25</v>
      </c>
      <c r="L56" s="291">
        <f t="shared" si="105"/>
        <v>774.375</v>
      </c>
      <c r="M56" s="291">
        <f>L56*((100-R56)/100)</f>
        <v>309.75</v>
      </c>
      <c r="N56" s="292">
        <f>(R56/100)*L56</f>
        <v>464.625</v>
      </c>
      <c r="O56" s="290">
        <f>L56-S56+X56</f>
        <v>350.07945</v>
      </c>
      <c r="P56" s="293">
        <f>O56/1000</f>
        <v>0.35007945</v>
      </c>
      <c r="Q56" s="290">
        <f>K56*(0.65+0.4)</f>
        <v>26.25</v>
      </c>
      <c r="R56" s="310">
        <v>60</v>
      </c>
      <c r="S56" s="292">
        <f>(R56/100)*L56</f>
        <v>464.625</v>
      </c>
      <c r="T56" s="294">
        <v>8</v>
      </c>
      <c r="U56" s="294">
        <v>0.6</v>
      </c>
      <c r="V56" s="295">
        <f>(T56+U56+(0.02*AD56*AF56))/100</f>
        <v>0.0868</v>
      </c>
      <c r="W56" s="295">
        <v>1</v>
      </c>
      <c r="X56" s="296">
        <f t="shared" si="106"/>
        <v>40.32945</v>
      </c>
      <c r="Y56" s="310">
        <v>30</v>
      </c>
      <c r="Z56" s="296">
        <f>(Y56/100)*O56</f>
        <v>105.023835</v>
      </c>
      <c r="AA56" s="294">
        <v>3</v>
      </c>
      <c r="AB56" s="292">
        <f>(AA56/100)*O56</f>
        <v>10.5023835</v>
      </c>
      <c r="AC56" s="295" t="s">
        <v>47</v>
      </c>
      <c r="AD56" s="295">
        <v>20</v>
      </c>
      <c r="AE56" s="295" t="s">
        <v>43</v>
      </c>
      <c r="AF56" s="292">
        <v>0.2</v>
      </c>
      <c r="AG56" s="296">
        <f t="shared" si="108"/>
        <v>10.92247884</v>
      </c>
      <c r="AH56" s="296">
        <f>AR56*AK56</f>
        <v>26642</v>
      </c>
      <c r="AI56" s="296">
        <f t="shared" si="110"/>
        <v>31878</v>
      </c>
      <c r="AJ56" s="297">
        <f>(AH56-AI56)/AH56</f>
        <v>-0.19653179190751446</v>
      </c>
      <c r="AK56" s="298">
        <v>22</v>
      </c>
      <c r="AL56" s="299">
        <v>4</v>
      </c>
      <c r="AM56" s="381">
        <f>AR56/G56</f>
        <v>1.164423076923077</v>
      </c>
      <c r="AN56" s="300">
        <f>AU56/H56</f>
        <v>1.534957627118644</v>
      </c>
      <c r="AO56" s="802">
        <f>(AM56-AN56)/AM56</f>
        <v>-0.3182129910845497</v>
      </c>
      <c r="AP56" s="769">
        <v>1911</v>
      </c>
      <c r="AQ56" s="770"/>
      <c r="AR56" s="302">
        <v>1211</v>
      </c>
      <c r="AS56" s="301">
        <v>2001</v>
      </c>
      <c r="AT56" s="288"/>
      <c r="AU56" s="303">
        <v>1449</v>
      </c>
      <c r="AV56" s="290">
        <f t="shared" si="111"/>
        <v>0.1642512077294686</v>
      </c>
      <c r="AW56" s="293">
        <v>58</v>
      </c>
      <c r="AX56" s="290">
        <f>AW56*(R56/100)</f>
        <v>34.8</v>
      </c>
      <c r="AY56" s="288">
        <v>1</v>
      </c>
      <c r="AZ56" s="288">
        <v>6.1</v>
      </c>
      <c r="BA56" s="304">
        <v>0.5</v>
      </c>
      <c r="BB56" s="288">
        <v>7.4</v>
      </c>
      <c r="BC56" s="288">
        <v>0.62</v>
      </c>
      <c r="BD56" s="291">
        <f>O56/AR56</f>
        <v>0.2890829479768786</v>
      </c>
      <c r="BE56" s="288">
        <v>1</v>
      </c>
      <c r="BF56" s="288">
        <v>1</v>
      </c>
      <c r="BG56" s="289">
        <f>BE56-BF56</f>
        <v>0</v>
      </c>
      <c r="BH56" s="288">
        <v>1.2</v>
      </c>
      <c r="BI56" s="288">
        <v>1.2</v>
      </c>
      <c r="BJ56" s="296">
        <f>(BH56-BI56)</f>
        <v>0</v>
      </c>
      <c r="BK56" s="288">
        <v>4.7</v>
      </c>
      <c r="BL56" s="291">
        <v>4.7</v>
      </c>
      <c r="BM56" s="305">
        <f>BK56-BL56</f>
        <v>0</v>
      </c>
      <c r="BN56" s="706">
        <f>BH56/O56</f>
        <v>0.0034277933194879046</v>
      </c>
      <c r="BO56" s="288"/>
      <c r="BP56" s="288">
        <v>13.46</v>
      </c>
      <c r="BQ56" s="288">
        <v>3</v>
      </c>
      <c r="BR56" s="706">
        <f>BH56/(BH56+BP56)</f>
        <v>0.08185538881309685</v>
      </c>
      <c r="BS56" s="291">
        <f>SUM(BH56,BE56,BK56)*100/SUM(BH56,BE56,BK56,BP56,BQ56)</f>
        <v>29.537671232876715</v>
      </c>
      <c r="BT56" s="291">
        <f>SUM(BF56,BI56,BL56)/SUM(BE56,BH56,BK56)</f>
        <v>1</v>
      </c>
      <c r="BU56" s="306">
        <f t="shared" si="112"/>
        <v>23.636363636363637</v>
      </c>
      <c r="BV56" s="288">
        <v>9</v>
      </c>
      <c r="BW56" s="288">
        <v>9</v>
      </c>
      <c r="BX56" s="304">
        <f>BV56/BW56</f>
        <v>1</v>
      </c>
      <c r="BY56" s="307">
        <f>BV56*Y56/100</f>
        <v>2.7</v>
      </c>
      <c r="BZ56" s="707">
        <f>BY56/BV56</f>
        <v>0.30000000000000004</v>
      </c>
      <c r="CA56" s="288">
        <v>1</v>
      </c>
      <c r="CB56" s="308">
        <v>0.2</v>
      </c>
      <c r="CC56" s="288"/>
      <c r="CD56" s="309">
        <v>90</v>
      </c>
      <c r="CE56" s="305">
        <v>0</v>
      </c>
      <c r="CF56" s="310">
        <v>100</v>
      </c>
      <c r="CG56" s="288">
        <v>0</v>
      </c>
      <c r="CH56" s="288">
        <v>24</v>
      </c>
      <c r="CI56" s="289">
        <f t="shared" si="113"/>
        <v>24</v>
      </c>
      <c r="CJ56" s="291">
        <f>(G56/176)*4</f>
        <v>23.636363636363637</v>
      </c>
      <c r="CK56" s="421" t="s">
        <v>45</v>
      </c>
      <c r="CL56" s="421">
        <v>1.24</v>
      </c>
      <c r="CM56" s="295" t="s">
        <v>43</v>
      </c>
      <c r="CN56" s="295">
        <v>4.05</v>
      </c>
      <c r="CO56" s="295" t="s">
        <v>42</v>
      </c>
      <c r="CP56" s="295">
        <v>0</v>
      </c>
      <c r="CQ56" s="295" t="s">
        <v>45</v>
      </c>
      <c r="CR56" s="295">
        <v>1.1</v>
      </c>
      <c r="CS56" s="287" t="s">
        <v>382</v>
      </c>
      <c r="CT56" s="295" t="s">
        <v>44</v>
      </c>
      <c r="CU56" s="295">
        <v>4.68</v>
      </c>
      <c r="CV56" s="295" t="s">
        <v>46</v>
      </c>
      <c r="CW56" s="431">
        <v>0.82</v>
      </c>
      <c r="CX56" s="791" t="s">
        <v>44</v>
      </c>
      <c r="CY56" s="791">
        <v>1</v>
      </c>
      <c r="CZ56" s="301" t="s">
        <v>45</v>
      </c>
      <c r="DA56" s="295">
        <v>1.15</v>
      </c>
      <c r="DB56" s="295" t="s">
        <v>45</v>
      </c>
      <c r="DC56" s="295">
        <v>1.23</v>
      </c>
      <c r="DD56" s="295" t="s">
        <v>44</v>
      </c>
      <c r="DE56" s="295">
        <v>1</v>
      </c>
      <c r="DF56" s="295" t="s">
        <v>44</v>
      </c>
      <c r="DG56" s="295">
        <v>1</v>
      </c>
      <c r="DH56" s="421" t="s">
        <v>44</v>
      </c>
      <c r="DI56" s="421">
        <v>1</v>
      </c>
      <c r="DJ56" s="421" t="s">
        <v>43</v>
      </c>
      <c r="DK56" s="421">
        <v>0.87</v>
      </c>
      <c r="DL56" s="421" t="s">
        <v>45</v>
      </c>
      <c r="DM56" s="295" t="s">
        <v>45</v>
      </c>
      <c r="DN56" s="292">
        <v>0.01</v>
      </c>
      <c r="DO56" s="295" t="s">
        <v>47</v>
      </c>
      <c r="DP56" s="292">
        <v>0.88</v>
      </c>
      <c r="DQ56" s="421" t="s">
        <v>46</v>
      </c>
      <c r="DR56" s="437">
        <v>1.29</v>
      </c>
      <c r="DS56" s="295" t="s">
        <v>45</v>
      </c>
      <c r="DT56" s="295" t="s">
        <v>45</v>
      </c>
      <c r="DU56" s="295">
        <v>0.81</v>
      </c>
      <c r="DV56" s="295" t="s">
        <v>45</v>
      </c>
      <c r="DW56" s="295">
        <v>0.85</v>
      </c>
      <c r="DX56" s="295" t="s">
        <v>45</v>
      </c>
      <c r="DY56" s="295">
        <v>0.84</v>
      </c>
      <c r="DZ56" s="295" t="s">
        <v>44</v>
      </c>
      <c r="EA56" s="295">
        <v>1</v>
      </c>
      <c r="EB56" s="295" t="s">
        <v>42</v>
      </c>
      <c r="EC56" s="422">
        <v>0.8</v>
      </c>
      <c r="ED56" s="422" t="s">
        <v>44</v>
      </c>
      <c r="EE56" s="422">
        <v>1</v>
      </c>
      <c r="EF56" s="295" t="s">
        <v>46</v>
      </c>
      <c r="EG56" s="99">
        <f t="shared" si="114"/>
        <v>0.00530007062683634</v>
      </c>
      <c r="EH56" s="99">
        <v>2.94</v>
      </c>
      <c r="EI56" s="99">
        <v>0.91</v>
      </c>
      <c r="EJ56" s="99">
        <f t="shared" si="115"/>
        <v>12.71</v>
      </c>
      <c r="EK56" s="99">
        <f>EI56+0.01*EJ56</f>
        <v>1.0371000000000001</v>
      </c>
      <c r="EL56" s="444">
        <f t="shared" si="116"/>
        <v>774.375</v>
      </c>
      <c r="EM56" s="444">
        <f>POWER(EL56,EK56)</f>
        <v>991.1318167376419</v>
      </c>
      <c r="EN56" s="708">
        <f>EH56*EM56*EG56</f>
        <v>15.444021769889497</v>
      </c>
      <c r="EO56" s="99">
        <f t="shared" si="117"/>
        <v>1040</v>
      </c>
      <c r="EP56" s="444">
        <f t="shared" si="118"/>
        <v>5.909090909090909</v>
      </c>
      <c r="EQ56" s="444">
        <f>0.28+0.2*0.01*EJ56</f>
        <v>0.30542</v>
      </c>
      <c r="ER56" s="444">
        <f>1/EQ56</f>
        <v>3.2741798179556016</v>
      </c>
      <c r="ES56" s="444">
        <f>(EP56/3.67)</f>
        <v>1.6101065147386673</v>
      </c>
      <c r="ET56" s="444">
        <f>POWER(ES56,ER56)</f>
        <v>4.756408869086651</v>
      </c>
      <c r="EU56" s="708">
        <f>ET56</f>
        <v>4.756408869086651</v>
      </c>
      <c r="EV56" s="99">
        <f>AR56</f>
        <v>1211</v>
      </c>
      <c r="EW56" s="444">
        <f>AU56</f>
        <v>1449</v>
      </c>
      <c r="EX56" s="712"/>
      <c r="EY56" s="99"/>
      <c r="EZ56" s="99"/>
      <c r="FA56" s="99"/>
      <c r="FB56" s="99"/>
      <c r="FC56" s="99"/>
      <c r="FD56" s="99"/>
      <c r="FE56" s="99"/>
      <c r="FF56" s="99"/>
      <c r="FG56" s="99"/>
      <c r="FH56" s="99"/>
      <c r="FI56" s="99"/>
      <c r="FJ56" s="99"/>
      <c r="FK56" s="99"/>
      <c r="FL56" s="99"/>
      <c r="FM56" s="99"/>
      <c r="FN56" s="99"/>
      <c r="FO56" s="709"/>
      <c r="FQ56" s="99"/>
      <c r="FR56" s="99"/>
      <c r="FS56" s="99"/>
      <c r="FT56" s="99"/>
      <c r="FU56" s="99"/>
      <c r="FV56" s="99"/>
      <c r="FW56" s="99"/>
      <c r="FX56" s="99"/>
      <c r="FY56" s="99"/>
      <c r="FZ56" s="99"/>
      <c r="GA56" s="99"/>
      <c r="GB56" s="99"/>
      <c r="GC56" s="99"/>
      <c r="GD56" s="99"/>
      <c r="GE56" s="99"/>
      <c r="GF56" s="99"/>
      <c r="GG56" s="99"/>
      <c r="GH56" s="99"/>
      <c r="GI56" s="99"/>
      <c r="GJ56" s="99"/>
      <c r="GK56" s="99"/>
      <c r="GL56" s="99"/>
      <c r="GM56" s="99"/>
      <c r="GN56" s="99"/>
      <c r="GO56" s="99"/>
      <c r="GP56" s="99"/>
      <c r="GQ56" s="99"/>
      <c r="GR56" s="99"/>
      <c r="GS56" s="99"/>
      <c r="GT56" s="99"/>
      <c r="GU56" s="99"/>
      <c r="GV56" s="99"/>
      <c r="GW56" s="99"/>
      <c r="GX56" s="99"/>
      <c r="GY56" s="99"/>
      <c r="GZ56" s="99"/>
      <c r="HA56" s="99"/>
      <c r="HB56" s="99"/>
      <c r="HC56" s="99"/>
      <c r="HD56" s="99"/>
      <c r="HE56" s="99"/>
      <c r="HF56" s="99"/>
      <c r="HG56" s="99"/>
      <c r="HH56" s="99"/>
      <c r="HI56" s="99"/>
      <c r="HJ56" s="99"/>
      <c r="HK56" s="99"/>
      <c r="HL56" s="99"/>
      <c r="HM56" s="99"/>
      <c r="HN56" s="99"/>
      <c r="HO56" s="99"/>
      <c r="HP56" s="99"/>
      <c r="HQ56" s="99"/>
      <c r="HR56" s="99"/>
      <c r="HS56" s="99"/>
      <c r="HT56" s="99"/>
      <c r="HU56" s="709"/>
    </row>
    <row r="57" spans="1:229" s="566" customFormat="1" ht="17.25" customHeight="1">
      <c r="A57" s="539"/>
      <c r="B57" s="539"/>
      <c r="C57" s="539"/>
      <c r="D57" s="539"/>
      <c r="E57" s="540"/>
      <c r="F57" s="539"/>
      <c r="G57" s="542"/>
      <c r="H57" s="542"/>
      <c r="I57" s="543"/>
      <c r="J57" s="541"/>
      <c r="K57" s="541"/>
      <c r="L57" s="544"/>
      <c r="M57" s="544"/>
      <c r="N57" s="545"/>
      <c r="O57" s="543"/>
      <c r="P57" s="546"/>
      <c r="Q57" s="543"/>
      <c r="R57" s="547"/>
      <c r="S57" s="545"/>
      <c r="T57" s="548"/>
      <c r="U57" s="548"/>
      <c r="V57" s="549"/>
      <c r="W57" s="549"/>
      <c r="X57" s="550"/>
      <c r="Y57" s="547"/>
      <c r="Z57" s="550"/>
      <c r="AA57" s="548"/>
      <c r="AB57" s="545"/>
      <c r="AC57" s="549"/>
      <c r="AD57" s="549"/>
      <c r="AE57" s="549"/>
      <c r="AF57" s="545"/>
      <c r="AG57" s="550"/>
      <c r="AH57" s="550"/>
      <c r="AI57" s="550"/>
      <c r="AJ57" s="551"/>
      <c r="AK57" s="552"/>
      <c r="AL57" s="553"/>
      <c r="AM57" s="554"/>
      <c r="AN57" s="555"/>
      <c r="AO57" s="467"/>
      <c r="AP57" s="771"/>
      <c r="AQ57" s="772"/>
      <c r="AR57" s="557"/>
      <c r="AS57" s="556"/>
      <c r="AT57" s="541"/>
      <c r="AU57" s="558"/>
      <c r="AV57" s="543"/>
      <c r="AW57" s="546"/>
      <c r="AX57" s="455"/>
      <c r="AY57" s="541"/>
      <c r="AZ57" s="541"/>
      <c r="BA57" s="559"/>
      <c r="BB57" s="541"/>
      <c r="BC57" s="541"/>
      <c r="BD57" s="544"/>
      <c r="BE57" s="541"/>
      <c r="BF57" s="541"/>
      <c r="BG57" s="542"/>
      <c r="BH57" s="541"/>
      <c r="BI57" s="541"/>
      <c r="BJ57" s="550"/>
      <c r="BK57" s="541"/>
      <c r="BL57" s="544"/>
      <c r="BM57" s="560"/>
      <c r="BN57" s="477"/>
      <c r="BO57" s="541"/>
      <c r="BP57" s="541"/>
      <c r="BQ57" s="541"/>
      <c r="BR57" s="477"/>
      <c r="BS57" s="544"/>
      <c r="BT57" s="544"/>
      <c r="BU57" s="561"/>
      <c r="BV57" s="541"/>
      <c r="BW57" s="541"/>
      <c r="BX57" s="559"/>
      <c r="BY57" s="562"/>
      <c r="BZ57" s="474"/>
      <c r="CA57" s="693"/>
      <c r="CB57" s="699"/>
      <c r="CC57" s="541"/>
      <c r="CD57" s="563"/>
      <c r="CE57" s="560"/>
      <c r="CF57" s="547"/>
      <c r="CG57" s="541"/>
      <c r="CH57" s="541"/>
      <c r="CI57" s="542"/>
      <c r="CJ57" s="544"/>
      <c r="CK57" s="564"/>
      <c r="CL57" s="564"/>
      <c r="CM57" s="549"/>
      <c r="CN57" s="549"/>
      <c r="CO57" s="549"/>
      <c r="CP57" s="549"/>
      <c r="CQ57" s="549"/>
      <c r="CR57" s="549"/>
      <c r="CS57" s="539"/>
      <c r="CT57" s="549"/>
      <c r="CU57" s="549"/>
      <c r="CV57" s="549"/>
      <c r="CW57" s="565"/>
      <c r="CX57" s="792"/>
      <c r="CY57" s="792"/>
      <c r="CZ57" s="556"/>
      <c r="DA57" s="549"/>
      <c r="DB57" s="549"/>
      <c r="DC57" s="549"/>
      <c r="DD57" s="549"/>
      <c r="DE57" s="549"/>
      <c r="DF57" s="549"/>
      <c r="DG57" s="549"/>
      <c r="DH57" s="564"/>
      <c r="DI57" s="564"/>
      <c r="DJ57" s="564"/>
      <c r="DK57" s="564"/>
      <c r="DL57" s="564"/>
      <c r="DM57" s="549"/>
      <c r="DN57" s="545"/>
      <c r="DO57" s="549"/>
      <c r="DP57" s="545"/>
      <c r="DQ57" s="564"/>
      <c r="DR57" s="567"/>
      <c r="DS57" s="549"/>
      <c r="DT57" s="549"/>
      <c r="DU57" s="549"/>
      <c r="DV57" s="549"/>
      <c r="DW57" s="549"/>
      <c r="DX57" s="549"/>
      <c r="DY57" s="549"/>
      <c r="DZ57" s="549"/>
      <c r="EA57" s="549"/>
      <c r="EB57" s="549"/>
      <c r="EC57" s="568"/>
      <c r="ED57" s="568"/>
      <c r="EE57" s="568"/>
      <c r="EF57" s="549"/>
      <c r="EG57" s="445"/>
      <c r="EH57" s="445"/>
      <c r="EI57" s="445"/>
      <c r="EJ57" s="445"/>
      <c r="EK57" s="445"/>
      <c r="EL57" s="488"/>
      <c r="EM57" s="488"/>
      <c r="EN57" s="488"/>
      <c r="EO57" s="445"/>
      <c r="EP57" s="488"/>
      <c r="EQ57" s="488"/>
      <c r="ER57" s="488"/>
      <c r="ES57" s="488"/>
      <c r="ET57" s="488"/>
      <c r="EU57" s="702" t="s">
        <v>421</v>
      </c>
      <c r="EV57" s="445"/>
      <c r="EW57" s="488"/>
      <c r="EX57" s="714" t="s">
        <v>426</v>
      </c>
      <c r="EY57" s="445"/>
      <c r="EZ57" s="445"/>
      <c r="FA57" s="445"/>
      <c r="FB57" s="445"/>
      <c r="FC57" s="445"/>
      <c r="FD57" s="445"/>
      <c r="FE57" s="445"/>
      <c r="FF57" s="445"/>
      <c r="FG57" s="445"/>
      <c r="FH57" s="445"/>
      <c r="FI57" s="445"/>
      <c r="FJ57" s="445"/>
      <c r="FK57" s="445"/>
      <c r="FL57" s="445"/>
      <c r="FM57" s="445"/>
      <c r="FN57" s="445"/>
      <c r="FO57" s="569"/>
      <c r="FQ57" s="445"/>
      <c r="FR57" s="445"/>
      <c r="FS57" s="445"/>
      <c r="FT57" s="445"/>
      <c r="FU57" s="445"/>
      <c r="FV57" s="445"/>
      <c r="FW57" s="445"/>
      <c r="FX57" s="445"/>
      <c r="FY57" s="445"/>
      <c r="FZ57" s="445"/>
      <c r="GA57" s="445"/>
      <c r="GB57" s="445"/>
      <c r="GC57" s="445"/>
      <c r="GD57" s="445"/>
      <c r="GE57" s="445"/>
      <c r="GF57" s="445"/>
      <c r="GG57" s="445"/>
      <c r="GH57" s="445"/>
      <c r="GI57" s="445"/>
      <c r="GJ57" s="445"/>
      <c r="GK57" s="445"/>
      <c r="GL57" s="445"/>
      <c r="GM57" s="445"/>
      <c r="GN57" s="445"/>
      <c r="GO57" s="445"/>
      <c r="GP57" s="445"/>
      <c r="GQ57" s="445"/>
      <c r="GR57" s="445"/>
      <c r="GS57" s="445"/>
      <c r="GT57" s="445"/>
      <c r="GU57" s="445"/>
      <c r="GV57" s="445"/>
      <c r="GW57" s="445"/>
      <c r="GX57" s="445"/>
      <c r="GY57" s="445"/>
      <c r="GZ57" s="445"/>
      <c r="HA57" s="445"/>
      <c r="HB57" s="445"/>
      <c r="HC57" s="445"/>
      <c r="HD57" s="445"/>
      <c r="HE57" s="445"/>
      <c r="HF57" s="445"/>
      <c r="HG57" s="445"/>
      <c r="HH57" s="445"/>
      <c r="HI57" s="445"/>
      <c r="HJ57" s="445"/>
      <c r="HK57" s="445"/>
      <c r="HL57" s="445"/>
      <c r="HM57" s="445"/>
      <c r="HN57" s="445"/>
      <c r="HO57" s="445"/>
      <c r="HP57" s="445"/>
      <c r="HQ57" s="445"/>
      <c r="HR57" s="445"/>
      <c r="HS57" s="445"/>
      <c r="HT57" s="445"/>
      <c r="HU57" s="569"/>
    </row>
    <row r="58" spans="1:229" s="164" customFormat="1" ht="15" customHeight="1">
      <c r="A58" s="141" t="s">
        <v>55</v>
      </c>
      <c r="B58" s="141" t="s">
        <v>55</v>
      </c>
      <c r="C58" s="141" t="s">
        <v>42</v>
      </c>
      <c r="D58" s="141">
        <v>6.79</v>
      </c>
      <c r="E58" s="377" t="s">
        <v>51</v>
      </c>
      <c r="F58" s="141" t="s">
        <v>52</v>
      </c>
      <c r="G58" s="143">
        <f>322*8</f>
        <v>2576</v>
      </c>
      <c r="H58" s="143">
        <v>2552</v>
      </c>
      <c r="I58" s="144">
        <f t="shared" si="80"/>
        <v>0.009316770186335404</v>
      </c>
      <c r="J58" s="142">
        <f t="shared" si="97"/>
        <v>176</v>
      </c>
      <c r="K58" s="142">
        <v>81.75</v>
      </c>
      <c r="L58" s="145">
        <f>K58*(0.65+0.4)*29.5</f>
        <v>2532.20625</v>
      </c>
      <c r="M58" s="145">
        <f t="shared" si="98"/>
        <v>633.0515625</v>
      </c>
      <c r="N58" s="146">
        <f t="shared" si="99"/>
        <v>1899.1546875000001</v>
      </c>
      <c r="O58" s="144">
        <f t="shared" si="100"/>
        <v>796.378865625</v>
      </c>
      <c r="P58" s="147">
        <f t="shared" si="67"/>
        <v>0.796378865625</v>
      </c>
      <c r="Q58" s="144">
        <f t="shared" si="101"/>
        <v>85.8375</v>
      </c>
      <c r="R58" s="163">
        <v>75</v>
      </c>
      <c r="S58" s="146">
        <f t="shared" si="102"/>
        <v>1899.1546875000001</v>
      </c>
      <c r="T58" s="148">
        <v>8</v>
      </c>
      <c r="U58" s="148">
        <v>0.6</v>
      </c>
      <c r="V58" s="149">
        <f t="shared" si="103"/>
        <v>0.086</v>
      </c>
      <c r="W58" s="149">
        <v>1</v>
      </c>
      <c r="X58" s="150">
        <f aca="true" t="shared" si="120" ref="X58:X74">S58*V58*W58</f>
        <v>163.327303125</v>
      </c>
      <c r="Y58" s="163">
        <v>15</v>
      </c>
      <c r="Z58" s="150">
        <f t="shared" si="107"/>
        <v>119.45682984375</v>
      </c>
      <c r="AA58" s="148">
        <v>1</v>
      </c>
      <c r="AB58" s="146">
        <f t="shared" si="104"/>
        <v>7.96378865625</v>
      </c>
      <c r="AC58" s="149" t="s">
        <v>47</v>
      </c>
      <c r="AD58" s="149">
        <v>20</v>
      </c>
      <c r="AE58" s="149" t="s">
        <v>46</v>
      </c>
      <c r="AF58" s="146">
        <v>0</v>
      </c>
      <c r="AG58" s="150">
        <f aca="true" t="shared" si="121" ref="AG58:AG74">AB58*(1+(AD58/100)*AF58)</f>
        <v>7.96378865625</v>
      </c>
      <c r="AH58" s="150">
        <f t="shared" si="109"/>
        <v>138000</v>
      </c>
      <c r="AI58" s="150">
        <f aca="true" t="shared" si="122" ref="AI58:AI74">AU58*AK58</f>
        <v>123750</v>
      </c>
      <c r="AJ58" s="151">
        <f t="shared" si="28"/>
        <v>0.10326086956521739</v>
      </c>
      <c r="AK58" s="152">
        <v>30</v>
      </c>
      <c r="AL58" s="153">
        <v>3</v>
      </c>
      <c r="AM58" s="382">
        <f t="shared" si="81"/>
        <v>1.7857142857142858</v>
      </c>
      <c r="AN58" s="154">
        <f t="shared" si="82"/>
        <v>1.6163793103448276</v>
      </c>
      <c r="AO58" s="803">
        <f t="shared" si="29"/>
        <v>0.09482758620689657</v>
      </c>
      <c r="AP58" s="773">
        <v>4600</v>
      </c>
      <c r="AQ58" s="774"/>
      <c r="AR58" s="156">
        <v>4600</v>
      </c>
      <c r="AS58" s="155">
        <v>4125</v>
      </c>
      <c r="AT58" s="142"/>
      <c r="AU58" s="157">
        <v>4125</v>
      </c>
      <c r="AV58" s="144">
        <f aca="true" t="shared" si="123" ref="AV58:AV74">(AU58-AR58)/AU58</f>
        <v>-0.11515151515151516</v>
      </c>
      <c r="AW58" s="147">
        <f>44+15</f>
        <v>59</v>
      </c>
      <c r="AX58" s="144">
        <f t="shared" si="30"/>
        <v>44.25</v>
      </c>
      <c r="AY58" s="142">
        <v>0.66</v>
      </c>
      <c r="AZ58" s="142">
        <v>13</v>
      </c>
      <c r="BA58" s="158">
        <v>1</v>
      </c>
      <c r="BB58" s="142">
        <v>0.37</v>
      </c>
      <c r="BC58" s="142">
        <v>0.41</v>
      </c>
      <c r="BD58" s="145">
        <f t="shared" si="83"/>
        <v>0.17312584035326087</v>
      </c>
      <c r="BE58" s="142">
        <v>8.42</v>
      </c>
      <c r="BF58" s="142">
        <v>8.42</v>
      </c>
      <c r="BG58" s="143">
        <f t="shared" si="31"/>
        <v>0</v>
      </c>
      <c r="BH58" s="142">
        <v>9.8</v>
      </c>
      <c r="BI58" s="142">
        <v>9.8</v>
      </c>
      <c r="BJ58" s="150">
        <f t="shared" si="32"/>
        <v>0</v>
      </c>
      <c r="BK58" s="142">
        <v>15</v>
      </c>
      <c r="BL58" s="145">
        <v>15</v>
      </c>
      <c r="BM58" s="159">
        <f t="shared" si="33"/>
        <v>0</v>
      </c>
      <c r="BN58" s="96">
        <f t="shared" si="34"/>
        <v>0.012305700744970094</v>
      </c>
      <c r="BO58" s="142"/>
      <c r="BP58" s="142">
        <v>3.29</v>
      </c>
      <c r="BQ58" s="142">
        <v>3</v>
      </c>
      <c r="BR58" s="96">
        <f t="shared" si="15"/>
        <v>0.7486631016042782</v>
      </c>
      <c r="BS58" s="145">
        <f t="shared" si="84"/>
        <v>84.07997975196153</v>
      </c>
      <c r="BT58" s="145">
        <f t="shared" si="119"/>
        <v>1</v>
      </c>
      <c r="BU58" s="160">
        <f>CJ58</f>
        <v>58.54545454545455</v>
      </c>
      <c r="BV58" s="142">
        <v>12</v>
      </c>
      <c r="BW58" s="142">
        <v>12</v>
      </c>
      <c r="BX58" s="161">
        <f>IF(OR(ISBLANK(BV58),ISBLANK(BW58)),"",BV58/BW58)</f>
        <v>1</v>
      </c>
      <c r="BY58" s="156">
        <f t="shared" si="85"/>
        <v>1.8</v>
      </c>
      <c r="BZ58" s="71">
        <v>0</v>
      </c>
      <c r="CA58" s="719">
        <v>1.1</v>
      </c>
      <c r="CB58" s="720">
        <v>0.94</v>
      </c>
      <c r="CC58" s="142"/>
      <c r="CD58" s="162">
        <v>95</v>
      </c>
      <c r="CE58" s="159">
        <v>0</v>
      </c>
      <c r="CF58" s="163">
        <v>100</v>
      </c>
      <c r="CG58" s="142">
        <v>0</v>
      </c>
      <c r="CH58" s="142">
        <v>24</v>
      </c>
      <c r="CI58" s="143">
        <f aca="true" t="shared" si="124" ref="CI58:CI74">SUM(CG58,CH58)</f>
        <v>24</v>
      </c>
      <c r="CJ58" s="145">
        <f t="shared" si="96"/>
        <v>58.54545454545455</v>
      </c>
      <c r="CK58" s="423" t="s">
        <v>45</v>
      </c>
      <c r="CL58" s="423">
        <v>1.24</v>
      </c>
      <c r="CM58" s="149" t="s">
        <v>43</v>
      </c>
      <c r="CN58" s="149">
        <v>4.05</v>
      </c>
      <c r="CO58" s="149" t="s">
        <v>42</v>
      </c>
      <c r="CP58" s="149">
        <v>0</v>
      </c>
      <c r="CQ58" s="149" t="s">
        <v>45</v>
      </c>
      <c r="CR58" s="149">
        <v>1.1</v>
      </c>
      <c r="CS58" s="141" t="s">
        <v>55</v>
      </c>
      <c r="CT58" s="149" t="s">
        <v>42</v>
      </c>
      <c r="CU58" s="149">
        <v>0</v>
      </c>
      <c r="CV58" s="149" t="s">
        <v>46</v>
      </c>
      <c r="CW58" s="432">
        <v>0.82</v>
      </c>
      <c r="CX58" s="793" t="s">
        <v>44</v>
      </c>
      <c r="CY58" s="793">
        <v>1</v>
      </c>
      <c r="CZ58" s="149" t="s">
        <v>42</v>
      </c>
      <c r="DA58" s="149">
        <v>1.24</v>
      </c>
      <c r="DB58" s="149" t="s">
        <v>45</v>
      </c>
      <c r="DC58" s="149">
        <v>1.23</v>
      </c>
      <c r="DD58" s="149" t="s">
        <v>44</v>
      </c>
      <c r="DE58" s="149">
        <v>1</v>
      </c>
      <c r="DF58" s="149" t="s">
        <v>44</v>
      </c>
      <c r="DG58" s="149">
        <v>1</v>
      </c>
      <c r="DH58" s="423" t="s">
        <v>44</v>
      </c>
      <c r="DI58" s="423">
        <v>1</v>
      </c>
      <c r="DJ58" s="423" t="s">
        <v>43</v>
      </c>
      <c r="DK58" s="423">
        <v>0.87</v>
      </c>
      <c r="DL58" s="423" t="s">
        <v>45</v>
      </c>
      <c r="DM58" s="149" t="s">
        <v>45</v>
      </c>
      <c r="DN58" s="146">
        <v>0.01</v>
      </c>
      <c r="DO58" s="149" t="s">
        <v>47</v>
      </c>
      <c r="DP58" s="146">
        <v>0.88</v>
      </c>
      <c r="DQ58" s="423" t="s">
        <v>43</v>
      </c>
      <c r="DR58" s="438">
        <v>1.12</v>
      </c>
      <c r="DS58" s="149" t="s">
        <v>45</v>
      </c>
      <c r="DT58" s="149" t="s">
        <v>45</v>
      </c>
      <c r="DU58" s="149">
        <v>0.81</v>
      </c>
      <c r="DV58" s="149" t="s">
        <v>45</v>
      </c>
      <c r="DW58" s="149">
        <v>0.85</v>
      </c>
      <c r="DX58" s="149" t="s">
        <v>45</v>
      </c>
      <c r="DY58" s="149">
        <v>0.84</v>
      </c>
      <c r="DZ58" s="149" t="s">
        <v>44</v>
      </c>
      <c r="EA58" s="149">
        <v>1</v>
      </c>
      <c r="EB58" s="149" t="s">
        <v>42</v>
      </c>
      <c r="EC58" s="424">
        <v>0.8</v>
      </c>
      <c r="ED58" s="424" t="s">
        <v>44</v>
      </c>
      <c r="EE58" s="424">
        <v>1</v>
      </c>
      <c r="EF58" s="149" t="s">
        <v>46</v>
      </c>
      <c r="EG58" s="99">
        <f aca="true" t="shared" si="125" ref="EG58:EG74">CW58*CY58*DA58*DC58*DE58*DG58*DI58*DK58*DN58*DP58*DR58*DU58*DW58*DY58*EA58*EC58*EE58</f>
        <v>0.004961737840613624</v>
      </c>
      <c r="EH58" s="99">
        <v>2.94</v>
      </c>
      <c r="EI58" s="99">
        <v>0.91</v>
      </c>
      <c r="EJ58" s="99">
        <f aca="true" t="shared" si="126" ref="EJ58:EJ74">SUM(CL58,CN58,CP58,CR58,CU58,CW58,CW58)</f>
        <v>8.030000000000001</v>
      </c>
      <c r="EK58" s="99">
        <f t="shared" si="36"/>
        <v>0.9903000000000001</v>
      </c>
      <c r="EL58" s="444">
        <f aca="true" t="shared" si="127" ref="EL58:EL74">L58</f>
        <v>2532.20625</v>
      </c>
      <c r="EM58" s="444">
        <f t="shared" si="37"/>
        <v>2346.8489353715745</v>
      </c>
      <c r="EN58" s="708">
        <f t="shared" si="38"/>
        <v>34.234680556380596</v>
      </c>
      <c r="EO58" s="99">
        <f aca="true" t="shared" si="128" ref="EO58:EO74">G58</f>
        <v>2576</v>
      </c>
      <c r="EP58" s="444">
        <f aca="true" t="shared" si="129" ref="EP58:EP74">G58/J58</f>
        <v>14.636363636363637</v>
      </c>
      <c r="EQ58" s="444">
        <f t="shared" si="39"/>
        <v>0.29606000000000005</v>
      </c>
      <c r="ER58" s="444">
        <f t="shared" si="40"/>
        <v>3.37769371073431</v>
      </c>
      <c r="ES58" s="444">
        <f t="shared" si="41"/>
        <v>3.9881099826603914</v>
      </c>
      <c r="ET58" s="444">
        <f t="shared" si="42"/>
        <v>106.95653999307085</v>
      </c>
      <c r="EU58" s="708">
        <f t="shared" si="43"/>
        <v>106.95653999307085</v>
      </c>
      <c r="EV58" s="99">
        <f t="shared" si="44"/>
        <v>4600</v>
      </c>
      <c r="EW58" s="444">
        <f t="shared" si="45"/>
        <v>4125</v>
      </c>
      <c r="EX58" s="712"/>
      <c r="EY58" s="99"/>
      <c r="EZ58" s="99"/>
      <c r="FA58" s="99"/>
      <c r="FB58" s="99"/>
      <c r="FC58" s="99"/>
      <c r="FD58" s="99"/>
      <c r="FE58" s="99"/>
      <c r="FF58" s="99"/>
      <c r="FG58" s="99"/>
      <c r="FH58" s="99"/>
      <c r="FI58" s="99"/>
      <c r="FJ58" s="99"/>
      <c r="FK58" s="99"/>
      <c r="FL58" s="99"/>
      <c r="FM58" s="99"/>
      <c r="FN58" s="99"/>
      <c r="FO58" s="393"/>
      <c r="FQ58" s="99"/>
      <c r="FR58" s="99"/>
      <c r="FS58" s="99"/>
      <c r="FT58" s="99"/>
      <c r="FU58" s="99"/>
      <c r="FV58" s="99"/>
      <c r="FW58" s="99"/>
      <c r="FX58" s="99"/>
      <c r="FY58" s="99"/>
      <c r="FZ58" s="99"/>
      <c r="GA58" s="99"/>
      <c r="GB58" s="99"/>
      <c r="GC58" s="99"/>
      <c r="GD58" s="99"/>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H58" s="99"/>
      <c r="HI58" s="99"/>
      <c r="HJ58" s="99"/>
      <c r="HK58" s="99"/>
      <c r="HL58" s="99"/>
      <c r="HM58" s="99"/>
      <c r="HN58" s="99"/>
      <c r="HO58" s="99"/>
      <c r="HP58" s="99"/>
      <c r="HQ58" s="99"/>
      <c r="HR58" s="99"/>
      <c r="HS58" s="99"/>
      <c r="HT58" s="99"/>
      <c r="HU58" s="393"/>
    </row>
    <row r="59" spans="1:229" s="164" customFormat="1" ht="12" customHeight="1">
      <c r="A59" s="141" t="s">
        <v>55</v>
      </c>
      <c r="B59" s="141" t="s">
        <v>55</v>
      </c>
      <c r="C59" s="141" t="s">
        <v>42</v>
      </c>
      <c r="D59" s="141">
        <v>6.79</v>
      </c>
      <c r="E59" s="377" t="s">
        <v>51</v>
      </c>
      <c r="F59" s="141" t="s">
        <v>52</v>
      </c>
      <c r="G59" s="143">
        <f>477*8</f>
        <v>3816</v>
      </c>
      <c r="H59" s="143">
        <v>3096</v>
      </c>
      <c r="I59" s="144">
        <f t="shared" si="80"/>
        <v>0.18867924528301888</v>
      </c>
      <c r="J59" s="142">
        <f t="shared" si="97"/>
        <v>176</v>
      </c>
      <c r="K59" s="142">
        <v>460.75</v>
      </c>
      <c r="L59" s="145">
        <f aca="true" t="shared" si="130" ref="L59:L74">K59*(0.65+0.4)*29.5</f>
        <v>14271.73125</v>
      </c>
      <c r="M59" s="145">
        <f t="shared" si="98"/>
        <v>3567.9328125</v>
      </c>
      <c r="N59" s="146">
        <f t="shared" si="99"/>
        <v>10703.798437500001</v>
      </c>
      <c r="O59" s="144">
        <f t="shared" si="100"/>
        <v>4488.459478125</v>
      </c>
      <c r="P59" s="147">
        <f aca="true" t="shared" si="131" ref="P59:P74">O59/1000</f>
        <v>4.488459478125</v>
      </c>
      <c r="Q59" s="144">
        <f aca="true" t="shared" si="132" ref="Q59:Q74">K59*(0.65+0.4)</f>
        <v>483.7875</v>
      </c>
      <c r="R59" s="163">
        <v>75</v>
      </c>
      <c r="S59" s="146">
        <f t="shared" si="102"/>
        <v>10703.798437500001</v>
      </c>
      <c r="T59" s="148">
        <v>8</v>
      </c>
      <c r="U59" s="148">
        <v>0.6</v>
      </c>
      <c r="V59" s="149">
        <f t="shared" si="103"/>
        <v>0.086</v>
      </c>
      <c r="W59" s="149">
        <v>1</v>
      </c>
      <c r="X59" s="150">
        <f t="shared" si="120"/>
        <v>920.5266656250001</v>
      </c>
      <c r="Y59" s="163">
        <v>15</v>
      </c>
      <c r="Z59" s="150">
        <f t="shared" si="107"/>
        <v>673.26892171875</v>
      </c>
      <c r="AA59" s="148">
        <v>1</v>
      </c>
      <c r="AB59" s="146">
        <f t="shared" si="104"/>
        <v>44.88459478125</v>
      </c>
      <c r="AC59" s="149" t="s">
        <v>47</v>
      </c>
      <c r="AD59" s="149">
        <v>20</v>
      </c>
      <c r="AE59" s="149" t="s">
        <v>46</v>
      </c>
      <c r="AF59" s="146">
        <v>0</v>
      </c>
      <c r="AG59" s="150">
        <f t="shared" si="121"/>
        <v>44.88459478125</v>
      </c>
      <c r="AH59" s="150">
        <f t="shared" si="109"/>
        <v>204000</v>
      </c>
      <c r="AI59" s="150">
        <f t="shared" si="122"/>
        <v>261360</v>
      </c>
      <c r="AJ59" s="151">
        <f t="shared" si="28"/>
        <v>-0.2811764705882353</v>
      </c>
      <c r="AK59" s="152">
        <v>30</v>
      </c>
      <c r="AL59" s="165">
        <v>3</v>
      </c>
      <c r="AM59" s="382">
        <f t="shared" si="81"/>
        <v>1.7819706498951782</v>
      </c>
      <c r="AN59" s="154">
        <f t="shared" si="82"/>
        <v>2.813953488372093</v>
      </c>
      <c r="AO59" s="803">
        <f t="shared" si="29"/>
        <v>-0.579124487004104</v>
      </c>
      <c r="AP59" s="773">
        <v>6800</v>
      </c>
      <c r="AQ59" s="774"/>
      <c r="AR59" s="156">
        <v>6800</v>
      </c>
      <c r="AS59" s="155">
        <v>8712</v>
      </c>
      <c r="AT59" s="142"/>
      <c r="AU59" s="157">
        <v>8712</v>
      </c>
      <c r="AV59" s="144">
        <f t="shared" si="123"/>
        <v>0.2194674012855831</v>
      </c>
      <c r="AW59" s="147">
        <f>41.9+16.5</f>
        <v>58.4</v>
      </c>
      <c r="AX59" s="144">
        <f t="shared" si="30"/>
        <v>43.8</v>
      </c>
      <c r="AY59" s="142">
        <v>0.56</v>
      </c>
      <c r="AZ59" s="142">
        <v>3.86</v>
      </c>
      <c r="BA59" s="158">
        <v>1</v>
      </c>
      <c r="BB59" s="142">
        <v>0.11</v>
      </c>
      <c r="BC59" s="142">
        <v>0.9</v>
      </c>
      <c r="BD59" s="145">
        <f t="shared" si="83"/>
        <v>0.6600675703125</v>
      </c>
      <c r="BE59" s="142">
        <v>17.31</v>
      </c>
      <c r="BF59" s="142">
        <v>17.31</v>
      </c>
      <c r="BG59" s="143">
        <f t="shared" si="31"/>
        <v>0</v>
      </c>
      <c r="BH59" s="142">
        <v>5.96</v>
      </c>
      <c r="BI59" s="142">
        <v>5.96</v>
      </c>
      <c r="BJ59" s="150">
        <f t="shared" si="32"/>
        <v>0</v>
      </c>
      <c r="BK59" s="142">
        <v>4</v>
      </c>
      <c r="BL59" s="145">
        <v>4</v>
      </c>
      <c r="BM59" s="159">
        <f t="shared" si="33"/>
        <v>0</v>
      </c>
      <c r="BN59" s="96">
        <f t="shared" si="34"/>
        <v>0.0013278497954691837</v>
      </c>
      <c r="BO59" s="142"/>
      <c r="BP59" s="142">
        <v>14.27</v>
      </c>
      <c r="BQ59" s="142">
        <v>3</v>
      </c>
      <c r="BR59" s="96">
        <f t="shared" si="15"/>
        <v>0.29461196243203164</v>
      </c>
      <c r="BS59" s="145">
        <f t="shared" si="84"/>
        <v>61.225864391558154</v>
      </c>
      <c r="BT59" s="145">
        <f t="shared" si="119"/>
        <v>1</v>
      </c>
      <c r="BU59" s="160">
        <f aca="true" t="shared" si="133" ref="BU59:BU74">CJ59</f>
        <v>86.72727272727273</v>
      </c>
      <c r="BV59" s="142">
        <v>26</v>
      </c>
      <c r="BW59" s="142">
        <v>26</v>
      </c>
      <c r="BX59" s="161">
        <f>BV59/BW59</f>
        <v>1</v>
      </c>
      <c r="BY59" s="156">
        <f t="shared" si="85"/>
        <v>3.9</v>
      </c>
      <c r="BZ59" s="71">
        <f t="shared" si="20"/>
        <v>0.15</v>
      </c>
      <c r="CA59" s="719">
        <v>0.78</v>
      </c>
      <c r="CB59" s="720">
        <v>33.24</v>
      </c>
      <c r="CC59" s="142"/>
      <c r="CD59" s="162">
        <v>95</v>
      </c>
      <c r="CE59" s="159">
        <v>0</v>
      </c>
      <c r="CF59" s="163">
        <v>100</v>
      </c>
      <c r="CG59" s="142">
        <v>0</v>
      </c>
      <c r="CH59" s="142">
        <v>24</v>
      </c>
      <c r="CI59" s="143">
        <f t="shared" si="124"/>
        <v>24</v>
      </c>
      <c r="CJ59" s="145">
        <f t="shared" si="96"/>
        <v>86.72727272727273</v>
      </c>
      <c r="CK59" s="423" t="s">
        <v>45</v>
      </c>
      <c r="CL59" s="423">
        <v>1.24</v>
      </c>
      <c r="CM59" s="149" t="s">
        <v>43</v>
      </c>
      <c r="CN59" s="149">
        <v>4.05</v>
      </c>
      <c r="CO59" s="149" t="s">
        <v>42</v>
      </c>
      <c r="CP59" s="149">
        <v>0</v>
      </c>
      <c r="CQ59" s="149" t="s">
        <v>45</v>
      </c>
      <c r="CR59" s="149">
        <v>1.1</v>
      </c>
      <c r="CS59" s="141" t="s">
        <v>55</v>
      </c>
      <c r="CT59" s="149" t="s">
        <v>42</v>
      </c>
      <c r="CU59" s="149">
        <v>0</v>
      </c>
      <c r="CV59" s="149" t="s">
        <v>46</v>
      </c>
      <c r="CW59" s="432">
        <v>0.82</v>
      </c>
      <c r="CX59" s="793" t="s">
        <v>44</v>
      </c>
      <c r="CY59" s="793">
        <v>1</v>
      </c>
      <c r="CZ59" s="155" t="s">
        <v>42</v>
      </c>
      <c r="DA59" s="149">
        <v>1.24</v>
      </c>
      <c r="DB59" s="149" t="s">
        <v>45</v>
      </c>
      <c r="DC59" s="149">
        <v>1.23</v>
      </c>
      <c r="DD59" s="149" t="s">
        <v>44</v>
      </c>
      <c r="DE59" s="149">
        <v>1</v>
      </c>
      <c r="DF59" s="149" t="s">
        <v>44</v>
      </c>
      <c r="DG59" s="149">
        <v>1</v>
      </c>
      <c r="DH59" s="423" t="s">
        <v>44</v>
      </c>
      <c r="DI59" s="423">
        <v>1</v>
      </c>
      <c r="DJ59" s="423" t="s">
        <v>43</v>
      </c>
      <c r="DK59" s="423">
        <v>0.87</v>
      </c>
      <c r="DL59" s="423" t="s">
        <v>45</v>
      </c>
      <c r="DM59" s="149" t="s">
        <v>45</v>
      </c>
      <c r="DN59" s="146">
        <v>0.01</v>
      </c>
      <c r="DO59" s="149" t="s">
        <v>47</v>
      </c>
      <c r="DP59" s="146">
        <v>0.88</v>
      </c>
      <c r="DQ59" s="423" t="s">
        <v>43</v>
      </c>
      <c r="DR59" s="438">
        <v>1.12</v>
      </c>
      <c r="DS59" s="149" t="s">
        <v>45</v>
      </c>
      <c r="DT59" s="149" t="s">
        <v>45</v>
      </c>
      <c r="DU59" s="149">
        <v>0.81</v>
      </c>
      <c r="DV59" s="149" t="s">
        <v>45</v>
      </c>
      <c r="DW59" s="149">
        <v>0.85</v>
      </c>
      <c r="DX59" s="149" t="s">
        <v>45</v>
      </c>
      <c r="DY59" s="149">
        <v>0.84</v>
      </c>
      <c r="DZ59" s="149" t="s">
        <v>44</v>
      </c>
      <c r="EA59" s="149">
        <v>1</v>
      </c>
      <c r="EB59" s="149" t="s">
        <v>42</v>
      </c>
      <c r="EC59" s="424">
        <v>0.8</v>
      </c>
      <c r="ED59" s="424" t="s">
        <v>44</v>
      </c>
      <c r="EE59" s="424">
        <v>1</v>
      </c>
      <c r="EF59" s="149" t="s">
        <v>46</v>
      </c>
      <c r="EG59" s="99">
        <f t="shared" si="125"/>
        <v>0.004961737840613624</v>
      </c>
      <c r="EH59" s="99">
        <v>2.94</v>
      </c>
      <c r="EI59" s="99">
        <v>0.91</v>
      </c>
      <c r="EJ59" s="99">
        <f t="shared" si="126"/>
        <v>8.030000000000001</v>
      </c>
      <c r="EK59" s="99">
        <f t="shared" si="36"/>
        <v>0.9903000000000001</v>
      </c>
      <c r="EL59" s="444">
        <f t="shared" si="127"/>
        <v>14271.73125</v>
      </c>
      <c r="EM59" s="444">
        <f t="shared" si="37"/>
        <v>13007.032798075908</v>
      </c>
      <c r="EN59" s="708">
        <f t="shared" si="38"/>
        <v>189.74021127524827</v>
      </c>
      <c r="EO59" s="99">
        <f t="shared" si="128"/>
        <v>3816</v>
      </c>
      <c r="EP59" s="444">
        <f t="shared" si="129"/>
        <v>21.681818181818183</v>
      </c>
      <c r="EQ59" s="444">
        <f t="shared" si="39"/>
        <v>0.29606000000000005</v>
      </c>
      <c r="ER59" s="444">
        <f t="shared" si="40"/>
        <v>3.37769371073431</v>
      </c>
      <c r="ES59" s="444">
        <f t="shared" si="41"/>
        <v>5.907852365618034</v>
      </c>
      <c r="ET59" s="444">
        <f t="shared" si="42"/>
        <v>403.32303159295697</v>
      </c>
      <c r="EU59" s="708">
        <f t="shared" si="43"/>
        <v>403.32303159295697</v>
      </c>
      <c r="EV59" s="99">
        <f t="shared" si="44"/>
        <v>6800</v>
      </c>
      <c r="EW59" s="444">
        <f t="shared" si="45"/>
        <v>8712</v>
      </c>
      <c r="EX59" s="712"/>
      <c r="EY59" s="99"/>
      <c r="EZ59" s="99"/>
      <c r="FA59" s="99"/>
      <c r="FB59" s="99"/>
      <c r="FC59" s="99"/>
      <c r="FD59" s="99"/>
      <c r="FE59" s="99"/>
      <c r="FF59" s="99"/>
      <c r="FG59" s="99"/>
      <c r="FH59" s="99"/>
      <c r="FI59" s="99"/>
      <c r="FJ59" s="99"/>
      <c r="FK59" s="99"/>
      <c r="FL59" s="99"/>
      <c r="FM59" s="99"/>
      <c r="FN59" s="99"/>
      <c r="FO59" s="393"/>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393"/>
    </row>
    <row r="60" spans="1:229" s="164" customFormat="1" ht="13.5" customHeight="1">
      <c r="A60" s="141" t="s">
        <v>55</v>
      </c>
      <c r="B60" s="141" t="s">
        <v>55</v>
      </c>
      <c r="C60" s="141" t="s">
        <v>42</v>
      </c>
      <c r="D60" s="141">
        <v>6.79</v>
      </c>
      <c r="E60" s="377" t="s">
        <v>51</v>
      </c>
      <c r="F60" s="141" t="s">
        <v>52</v>
      </c>
      <c r="G60" s="143">
        <f>233*8</f>
        <v>1864</v>
      </c>
      <c r="H60" s="143">
        <v>1656</v>
      </c>
      <c r="I60" s="144">
        <f t="shared" si="80"/>
        <v>0.11158798283261803</v>
      </c>
      <c r="J60" s="142">
        <f t="shared" si="97"/>
        <v>176</v>
      </c>
      <c r="K60" s="142">
        <v>117.75</v>
      </c>
      <c r="L60" s="145">
        <f t="shared" si="130"/>
        <v>3647.30625</v>
      </c>
      <c r="M60" s="145">
        <f t="shared" si="98"/>
        <v>911.8265625</v>
      </c>
      <c r="N60" s="146">
        <f t="shared" si="99"/>
        <v>2735.4796875</v>
      </c>
      <c r="O60" s="144">
        <f t="shared" si="100"/>
        <v>1147.0778156249999</v>
      </c>
      <c r="P60" s="147">
        <f t="shared" si="131"/>
        <v>1.1470778156249999</v>
      </c>
      <c r="Q60" s="144">
        <f t="shared" si="132"/>
        <v>123.6375</v>
      </c>
      <c r="R60" s="163">
        <v>75</v>
      </c>
      <c r="S60" s="146">
        <f t="shared" si="102"/>
        <v>2735.4796875</v>
      </c>
      <c r="T60" s="148">
        <v>8</v>
      </c>
      <c r="U60" s="148">
        <v>0.6</v>
      </c>
      <c r="V60" s="149">
        <f t="shared" si="103"/>
        <v>0.086</v>
      </c>
      <c r="W60" s="149">
        <v>1</v>
      </c>
      <c r="X60" s="150">
        <f t="shared" si="120"/>
        <v>235.251253125</v>
      </c>
      <c r="Y60" s="163">
        <v>15</v>
      </c>
      <c r="Z60" s="150">
        <f t="shared" si="107"/>
        <v>172.06167234374996</v>
      </c>
      <c r="AA60" s="148">
        <v>1</v>
      </c>
      <c r="AB60" s="146">
        <f t="shared" si="104"/>
        <v>11.470778156249999</v>
      </c>
      <c r="AC60" s="149" t="s">
        <v>47</v>
      </c>
      <c r="AD60" s="149">
        <v>20</v>
      </c>
      <c r="AE60" s="149" t="s">
        <v>46</v>
      </c>
      <c r="AF60" s="146">
        <v>0</v>
      </c>
      <c r="AG60" s="150">
        <f t="shared" si="121"/>
        <v>11.470778156249999</v>
      </c>
      <c r="AH60" s="150">
        <f t="shared" si="109"/>
        <v>182580</v>
      </c>
      <c r="AI60" s="150">
        <f t="shared" si="122"/>
        <v>162540</v>
      </c>
      <c r="AJ60" s="151">
        <f t="shared" si="28"/>
        <v>0.10976010515938218</v>
      </c>
      <c r="AK60" s="152">
        <v>30</v>
      </c>
      <c r="AL60" s="165">
        <v>5</v>
      </c>
      <c r="AM60" s="382">
        <f t="shared" si="81"/>
        <v>3.265021459227468</v>
      </c>
      <c r="AN60" s="154">
        <f t="shared" si="82"/>
        <v>3.2717391304347827</v>
      </c>
      <c r="AO60" s="803">
        <f t="shared" si="29"/>
        <v>-0.002057466173255768</v>
      </c>
      <c r="AP60" s="773">
        <v>6086</v>
      </c>
      <c r="AQ60" s="774"/>
      <c r="AR60" s="156">
        <v>6086</v>
      </c>
      <c r="AS60" s="155">
        <v>5418</v>
      </c>
      <c r="AT60" s="142"/>
      <c r="AU60" s="157">
        <v>5418</v>
      </c>
      <c r="AV60" s="144">
        <f t="shared" si="123"/>
        <v>-0.12329272794389073</v>
      </c>
      <c r="AW60" s="147">
        <f>43+15</f>
        <v>58</v>
      </c>
      <c r="AX60" s="144">
        <f t="shared" si="30"/>
        <v>43.5</v>
      </c>
      <c r="AY60" s="142">
        <v>0</v>
      </c>
      <c r="AZ60" s="142">
        <v>11.3</v>
      </c>
      <c r="BA60" s="158">
        <v>7</v>
      </c>
      <c r="BB60" s="142">
        <v>4.6</v>
      </c>
      <c r="BC60" s="142">
        <v>11.48</v>
      </c>
      <c r="BD60" s="145">
        <f t="shared" si="83"/>
        <v>0.1884781162709497</v>
      </c>
      <c r="BE60" s="143">
        <v>66</v>
      </c>
      <c r="BF60" s="143">
        <v>66</v>
      </c>
      <c r="BG60" s="143">
        <f t="shared" si="31"/>
        <v>0</v>
      </c>
      <c r="BH60" s="142">
        <v>10</v>
      </c>
      <c r="BI60" s="142">
        <v>10</v>
      </c>
      <c r="BJ60" s="150">
        <f t="shared" si="32"/>
        <v>0</v>
      </c>
      <c r="BK60" s="142">
        <v>24</v>
      </c>
      <c r="BL60" s="145">
        <v>24</v>
      </c>
      <c r="BM60" s="159">
        <f t="shared" si="33"/>
        <v>0</v>
      </c>
      <c r="BN60" s="96">
        <f t="shared" si="34"/>
        <v>0.008717804375417524</v>
      </c>
      <c r="BO60" s="142"/>
      <c r="BP60" s="142">
        <v>0</v>
      </c>
      <c r="BQ60" s="142">
        <v>3</v>
      </c>
      <c r="BR60" s="96">
        <v>1</v>
      </c>
      <c r="BS60" s="145">
        <f t="shared" si="84"/>
        <v>97.0873786407767</v>
      </c>
      <c r="BT60" s="145">
        <f t="shared" si="119"/>
        <v>1</v>
      </c>
      <c r="BU60" s="160">
        <f t="shared" si="133"/>
        <v>42.36363636363637</v>
      </c>
      <c r="BV60" s="142">
        <v>10</v>
      </c>
      <c r="BW60" s="142">
        <v>10</v>
      </c>
      <c r="BX60" s="161">
        <f>IF(OR(ISBLANK(BV60),ISBLANK(BW60)),"",BV60/BW60)</f>
        <v>1</v>
      </c>
      <c r="BY60" s="156">
        <f t="shared" si="85"/>
        <v>1.5</v>
      </c>
      <c r="BZ60" s="71">
        <v>0</v>
      </c>
      <c r="CA60" s="719">
        <v>1.12</v>
      </c>
      <c r="CB60" s="720">
        <v>6.76</v>
      </c>
      <c r="CC60" s="142"/>
      <c r="CD60" s="162">
        <v>95</v>
      </c>
      <c r="CE60" s="159">
        <v>0</v>
      </c>
      <c r="CF60" s="163">
        <v>100</v>
      </c>
      <c r="CG60" s="142">
        <v>0</v>
      </c>
      <c r="CH60" s="142">
        <v>24</v>
      </c>
      <c r="CI60" s="143">
        <f t="shared" si="124"/>
        <v>24</v>
      </c>
      <c r="CJ60" s="145">
        <f t="shared" si="96"/>
        <v>42.36363636363637</v>
      </c>
      <c r="CK60" s="423" t="s">
        <v>45</v>
      </c>
      <c r="CL60" s="423">
        <v>1.24</v>
      </c>
      <c r="CM60" s="149" t="s">
        <v>43</v>
      </c>
      <c r="CN60" s="149">
        <v>4.05</v>
      </c>
      <c r="CO60" s="149" t="s">
        <v>42</v>
      </c>
      <c r="CP60" s="149">
        <v>0</v>
      </c>
      <c r="CQ60" s="149" t="s">
        <v>45</v>
      </c>
      <c r="CR60" s="149">
        <v>1.1</v>
      </c>
      <c r="CS60" s="141" t="s">
        <v>55</v>
      </c>
      <c r="CT60" s="149" t="s">
        <v>42</v>
      </c>
      <c r="CU60" s="149">
        <v>0</v>
      </c>
      <c r="CV60" s="149" t="s">
        <v>46</v>
      </c>
      <c r="CW60" s="432">
        <v>0.82</v>
      </c>
      <c r="CX60" s="793" t="s">
        <v>44</v>
      </c>
      <c r="CY60" s="793">
        <v>1</v>
      </c>
      <c r="CZ60" s="155" t="s">
        <v>42</v>
      </c>
      <c r="DA60" s="149">
        <v>1.24</v>
      </c>
      <c r="DB60" s="149" t="s">
        <v>45</v>
      </c>
      <c r="DC60" s="149">
        <v>1.23</v>
      </c>
      <c r="DD60" s="149" t="s">
        <v>44</v>
      </c>
      <c r="DE60" s="149">
        <v>1</v>
      </c>
      <c r="DF60" s="149" t="s">
        <v>44</v>
      </c>
      <c r="DG60" s="149">
        <v>1</v>
      </c>
      <c r="DH60" s="423" t="s">
        <v>44</v>
      </c>
      <c r="DI60" s="423">
        <v>1</v>
      </c>
      <c r="DJ60" s="423" t="s">
        <v>43</v>
      </c>
      <c r="DK60" s="423">
        <v>0.87</v>
      </c>
      <c r="DL60" s="423" t="s">
        <v>45</v>
      </c>
      <c r="DM60" s="149" t="s">
        <v>45</v>
      </c>
      <c r="DN60" s="146">
        <v>0.01</v>
      </c>
      <c r="DO60" s="149" t="s">
        <v>47</v>
      </c>
      <c r="DP60" s="146">
        <v>0.88</v>
      </c>
      <c r="DQ60" s="423" t="s">
        <v>46</v>
      </c>
      <c r="DR60" s="438">
        <v>1.29</v>
      </c>
      <c r="DS60" s="149" t="s">
        <v>45</v>
      </c>
      <c r="DT60" s="149" t="s">
        <v>45</v>
      </c>
      <c r="DU60" s="149">
        <v>0.81</v>
      </c>
      <c r="DV60" s="149" t="s">
        <v>45</v>
      </c>
      <c r="DW60" s="149">
        <v>0.85</v>
      </c>
      <c r="DX60" s="149" t="s">
        <v>45</v>
      </c>
      <c r="DY60" s="149">
        <v>0.84</v>
      </c>
      <c r="DZ60" s="149" t="s">
        <v>44</v>
      </c>
      <c r="EA60" s="149">
        <v>1</v>
      </c>
      <c r="EB60" s="149" t="s">
        <v>42</v>
      </c>
      <c r="EC60" s="424">
        <v>0.8</v>
      </c>
      <c r="ED60" s="424" t="s">
        <v>44</v>
      </c>
      <c r="EE60" s="424">
        <v>1</v>
      </c>
      <c r="EF60" s="149" t="s">
        <v>46</v>
      </c>
      <c r="EG60" s="99">
        <f t="shared" si="125"/>
        <v>0.005714858762849618</v>
      </c>
      <c r="EH60" s="99">
        <v>2.94</v>
      </c>
      <c r="EI60" s="99">
        <v>0.91</v>
      </c>
      <c r="EJ60" s="99">
        <f t="shared" si="126"/>
        <v>8.030000000000001</v>
      </c>
      <c r="EK60" s="99">
        <f t="shared" si="36"/>
        <v>0.9903000000000001</v>
      </c>
      <c r="EL60" s="444">
        <f t="shared" si="127"/>
        <v>3647.30625</v>
      </c>
      <c r="EM60" s="444">
        <f t="shared" si="37"/>
        <v>3368.3801564768805</v>
      </c>
      <c r="EN60" s="708">
        <f t="shared" si="38"/>
        <v>56.594461550320965</v>
      </c>
      <c r="EO60" s="99">
        <f t="shared" si="128"/>
        <v>1864</v>
      </c>
      <c r="EP60" s="444">
        <f t="shared" si="129"/>
        <v>10.590909090909092</v>
      </c>
      <c r="EQ60" s="444">
        <f t="shared" si="39"/>
        <v>0.29606000000000005</v>
      </c>
      <c r="ER60" s="444">
        <f t="shared" si="40"/>
        <v>3.37769371073431</v>
      </c>
      <c r="ES60" s="444">
        <f t="shared" si="41"/>
        <v>2.8858062918008427</v>
      </c>
      <c r="ET60" s="444">
        <f t="shared" si="42"/>
        <v>35.86258127312383</v>
      </c>
      <c r="EU60" s="708">
        <f t="shared" si="43"/>
        <v>35.86258127312383</v>
      </c>
      <c r="EV60" s="99">
        <f t="shared" si="44"/>
        <v>6086</v>
      </c>
      <c r="EW60" s="444">
        <f t="shared" si="45"/>
        <v>5418</v>
      </c>
      <c r="EX60" s="712"/>
      <c r="EY60" s="99"/>
      <c r="EZ60" s="99"/>
      <c r="FA60" s="99"/>
      <c r="FB60" s="99"/>
      <c r="FC60" s="99"/>
      <c r="FD60" s="99"/>
      <c r="FE60" s="99"/>
      <c r="FF60" s="99"/>
      <c r="FG60" s="99"/>
      <c r="FH60" s="99"/>
      <c r="FI60" s="99"/>
      <c r="FJ60" s="99"/>
      <c r="FK60" s="99"/>
      <c r="FL60" s="99"/>
      <c r="FM60" s="99"/>
      <c r="FN60" s="99"/>
      <c r="FO60" s="393"/>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393"/>
    </row>
    <row r="61" spans="1:229" s="164" customFormat="1" ht="13.5" customHeight="1">
      <c r="A61" s="141" t="s">
        <v>55</v>
      </c>
      <c r="B61" s="141" t="s">
        <v>55</v>
      </c>
      <c r="C61" s="141" t="s">
        <v>42</v>
      </c>
      <c r="D61" s="141">
        <v>6.79</v>
      </c>
      <c r="E61" s="377" t="s">
        <v>51</v>
      </c>
      <c r="F61" s="141" t="s">
        <v>52</v>
      </c>
      <c r="G61" s="143">
        <f>233*8</f>
        <v>1864</v>
      </c>
      <c r="H61" s="143">
        <v>1656</v>
      </c>
      <c r="I61" s="144">
        <f t="shared" si="80"/>
        <v>0.11158798283261803</v>
      </c>
      <c r="J61" s="142">
        <f t="shared" si="97"/>
        <v>176</v>
      </c>
      <c r="K61" s="142">
        <v>27.15</v>
      </c>
      <c r="L61" s="145">
        <f t="shared" si="130"/>
        <v>840.97125</v>
      </c>
      <c r="M61" s="145">
        <f t="shared" si="98"/>
        <v>210.2428125</v>
      </c>
      <c r="N61" s="146">
        <f t="shared" si="99"/>
        <v>630.7284375</v>
      </c>
      <c r="O61" s="144">
        <f t="shared" si="100"/>
        <v>264.48545812500004</v>
      </c>
      <c r="P61" s="147">
        <f t="shared" si="131"/>
        <v>0.264485458125</v>
      </c>
      <c r="Q61" s="144">
        <f t="shared" si="132"/>
        <v>28.5075</v>
      </c>
      <c r="R61" s="163">
        <v>75</v>
      </c>
      <c r="S61" s="146">
        <f t="shared" si="102"/>
        <v>630.7284375</v>
      </c>
      <c r="T61" s="148">
        <v>8</v>
      </c>
      <c r="U61" s="148">
        <v>0.6</v>
      </c>
      <c r="V61" s="149">
        <f t="shared" si="103"/>
        <v>0.086</v>
      </c>
      <c r="W61" s="149">
        <v>1</v>
      </c>
      <c r="X61" s="150">
        <f t="shared" si="120"/>
        <v>54.242645625</v>
      </c>
      <c r="Y61" s="163">
        <v>15</v>
      </c>
      <c r="Z61" s="150">
        <f t="shared" si="107"/>
        <v>39.67281871875</v>
      </c>
      <c r="AA61" s="148">
        <v>1</v>
      </c>
      <c r="AB61" s="146">
        <f t="shared" si="104"/>
        <v>2.6448545812500006</v>
      </c>
      <c r="AC61" s="149" t="s">
        <v>47</v>
      </c>
      <c r="AD61" s="149">
        <v>20</v>
      </c>
      <c r="AE61" s="149" t="s">
        <v>46</v>
      </c>
      <c r="AF61" s="146">
        <v>0</v>
      </c>
      <c r="AG61" s="150">
        <f t="shared" si="121"/>
        <v>2.6448545812500006</v>
      </c>
      <c r="AH61" s="150">
        <f t="shared" si="109"/>
        <v>100080</v>
      </c>
      <c r="AI61" s="150">
        <f t="shared" si="122"/>
        <v>137010</v>
      </c>
      <c r="AJ61" s="151">
        <f t="shared" si="28"/>
        <v>-0.3690047961630695</v>
      </c>
      <c r="AK61" s="152">
        <v>30</v>
      </c>
      <c r="AL61" s="165">
        <v>3</v>
      </c>
      <c r="AM61" s="382">
        <f t="shared" si="81"/>
        <v>1.7896995708154506</v>
      </c>
      <c r="AN61" s="154">
        <f t="shared" si="82"/>
        <v>2.757850241545894</v>
      </c>
      <c r="AO61" s="803">
        <f t="shared" si="29"/>
        <v>-0.5409570894009431</v>
      </c>
      <c r="AP61" s="773">
        <v>3336</v>
      </c>
      <c r="AQ61" s="774"/>
      <c r="AR61" s="156">
        <v>3336</v>
      </c>
      <c r="AS61" s="155">
        <v>4567</v>
      </c>
      <c r="AT61" s="142"/>
      <c r="AU61" s="157">
        <v>4567</v>
      </c>
      <c r="AV61" s="144">
        <f t="shared" si="123"/>
        <v>0.2695423691701336</v>
      </c>
      <c r="AW61" s="147">
        <f>44+15</f>
        <v>59</v>
      </c>
      <c r="AX61" s="144">
        <f t="shared" si="30"/>
        <v>44.25</v>
      </c>
      <c r="AY61" s="142">
        <v>0.48</v>
      </c>
      <c r="AZ61" s="142">
        <v>8.39</v>
      </c>
      <c r="BA61" s="158">
        <v>5</v>
      </c>
      <c r="BB61" s="142">
        <v>3.42</v>
      </c>
      <c r="BC61" s="142">
        <v>0.21</v>
      </c>
      <c r="BD61" s="145">
        <f t="shared" si="83"/>
        <v>0.07928221166816547</v>
      </c>
      <c r="BE61" s="142">
        <v>4</v>
      </c>
      <c r="BF61" s="142">
        <v>3.92</v>
      </c>
      <c r="BG61" s="143">
        <f t="shared" si="31"/>
        <v>0.08000000000000007</v>
      </c>
      <c r="BH61" s="142">
        <v>2.2</v>
      </c>
      <c r="BI61" s="142">
        <v>2.2</v>
      </c>
      <c r="BJ61" s="150">
        <f t="shared" si="32"/>
        <v>0</v>
      </c>
      <c r="BK61" s="142">
        <v>5</v>
      </c>
      <c r="BL61" s="145">
        <v>5</v>
      </c>
      <c r="BM61" s="159">
        <f t="shared" si="33"/>
        <v>0</v>
      </c>
      <c r="BN61" s="96">
        <f t="shared" si="34"/>
        <v>0.008318037655439814</v>
      </c>
      <c r="BO61" s="142"/>
      <c r="BP61" s="142">
        <v>2.4</v>
      </c>
      <c r="BQ61" s="142">
        <v>3</v>
      </c>
      <c r="BR61" s="96">
        <f aca="true" t="shared" si="134" ref="BR61:BR74">BH61/(BH61+BP61)</f>
        <v>0.47826086956521746</v>
      </c>
      <c r="BS61" s="145">
        <f t="shared" si="84"/>
        <v>67.46987951807229</v>
      </c>
      <c r="BT61" s="145">
        <f t="shared" si="119"/>
        <v>0.992857142857143</v>
      </c>
      <c r="BU61" s="160">
        <f t="shared" si="133"/>
        <v>42.36363636363637</v>
      </c>
      <c r="BV61" s="142">
        <v>6</v>
      </c>
      <c r="BW61" s="142">
        <v>6</v>
      </c>
      <c r="BX61" s="161">
        <f>IF(OR(ISBLANK(BV61),ISBLANK(BW61)),"",BV61/BW61)</f>
        <v>1</v>
      </c>
      <c r="BY61" s="156">
        <f t="shared" si="85"/>
        <v>0.9</v>
      </c>
      <c r="BZ61" s="71">
        <v>0</v>
      </c>
      <c r="CA61" s="719">
        <v>0.73</v>
      </c>
      <c r="CB61" s="720">
        <v>6.76</v>
      </c>
      <c r="CC61" s="142"/>
      <c r="CD61" s="162">
        <v>95</v>
      </c>
      <c r="CE61" s="159">
        <v>0</v>
      </c>
      <c r="CF61" s="163">
        <v>100</v>
      </c>
      <c r="CG61" s="142">
        <v>0</v>
      </c>
      <c r="CH61" s="142">
        <v>24</v>
      </c>
      <c r="CI61" s="143">
        <f t="shared" si="124"/>
        <v>24</v>
      </c>
      <c r="CJ61" s="145">
        <f t="shared" si="96"/>
        <v>42.36363636363637</v>
      </c>
      <c r="CK61" s="423" t="s">
        <v>45</v>
      </c>
      <c r="CL61" s="423">
        <v>1.24</v>
      </c>
      <c r="CM61" s="149" t="s">
        <v>43</v>
      </c>
      <c r="CN61" s="149">
        <v>4.05</v>
      </c>
      <c r="CO61" s="149" t="s">
        <v>42</v>
      </c>
      <c r="CP61" s="149">
        <v>0</v>
      </c>
      <c r="CQ61" s="149" t="s">
        <v>45</v>
      </c>
      <c r="CR61" s="149">
        <v>1.1</v>
      </c>
      <c r="CS61" s="141" t="s">
        <v>55</v>
      </c>
      <c r="CT61" s="149" t="s">
        <v>42</v>
      </c>
      <c r="CU61" s="149">
        <v>0</v>
      </c>
      <c r="CV61" s="149" t="s">
        <v>46</v>
      </c>
      <c r="CW61" s="432">
        <v>0.82</v>
      </c>
      <c r="CX61" s="793" t="s">
        <v>44</v>
      </c>
      <c r="CY61" s="793">
        <v>1</v>
      </c>
      <c r="CZ61" s="155" t="s">
        <v>42</v>
      </c>
      <c r="DA61" s="149">
        <v>1.24</v>
      </c>
      <c r="DB61" s="149" t="s">
        <v>45</v>
      </c>
      <c r="DC61" s="149">
        <v>1.23</v>
      </c>
      <c r="DD61" s="149" t="s">
        <v>44</v>
      </c>
      <c r="DE61" s="149">
        <v>1</v>
      </c>
      <c r="DF61" s="149" t="s">
        <v>44</v>
      </c>
      <c r="DG61" s="149">
        <v>1</v>
      </c>
      <c r="DH61" s="423" t="s">
        <v>44</v>
      </c>
      <c r="DI61" s="423">
        <v>1</v>
      </c>
      <c r="DJ61" s="423" t="s">
        <v>43</v>
      </c>
      <c r="DK61" s="423">
        <v>0.87</v>
      </c>
      <c r="DL61" s="423" t="s">
        <v>45</v>
      </c>
      <c r="DM61" s="149" t="s">
        <v>45</v>
      </c>
      <c r="DN61" s="146">
        <v>0.01</v>
      </c>
      <c r="DO61" s="149" t="s">
        <v>47</v>
      </c>
      <c r="DP61" s="146">
        <v>0.88</v>
      </c>
      <c r="DQ61" s="423" t="s">
        <v>46</v>
      </c>
      <c r="DR61" s="438">
        <v>1.29</v>
      </c>
      <c r="DS61" s="149" t="s">
        <v>45</v>
      </c>
      <c r="DT61" s="149" t="s">
        <v>45</v>
      </c>
      <c r="DU61" s="149">
        <v>0.81</v>
      </c>
      <c r="DV61" s="149" t="s">
        <v>45</v>
      </c>
      <c r="DW61" s="149">
        <v>0.85</v>
      </c>
      <c r="DX61" s="149" t="s">
        <v>45</v>
      </c>
      <c r="DY61" s="149">
        <v>0.84</v>
      </c>
      <c r="DZ61" s="149" t="s">
        <v>44</v>
      </c>
      <c r="EA61" s="149">
        <v>1</v>
      </c>
      <c r="EB61" s="149" t="s">
        <v>42</v>
      </c>
      <c r="EC61" s="424">
        <v>0.8</v>
      </c>
      <c r="ED61" s="424" t="s">
        <v>44</v>
      </c>
      <c r="EE61" s="424">
        <v>1</v>
      </c>
      <c r="EF61" s="149" t="s">
        <v>46</v>
      </c>
      <c r="EG61" s="99">
        <f t="shared" si="125"/>
        <v>0.005714858762849618</v>
      </c>
      <c r="EH61" s="99">
        <v>2.94</v>
      </c>
      <c r="EI61" s="99">
        <v>0.91</v>
      </c>
      <c r="EJ61" s="99">
        <f t="shared" si="126"/>
        <v>8.030000000000001</v>
      </c>
      <c r="EK61" s="99">
        <f t="shared" si="36"/>
        <v>0.9903000000000001</v>
      </c>
      <c r="EL61" s="444">
        <f t="shared" si="127"/>
        <v>840.97125</v>
      </c>
      <c r="EM61" s="444">
        <f t="shared" si="37"/>
        <v>787.7905589523107</v>
      </c>
      <c r="EN61" s="708">
        <f t="shared" si="38"/>
        <v>13.236208630609307</v>
      </c>
      <c r="EO61" s="99">
        <f t="shared" si="128"/>
        <v>1864</v>
      </c>
      <c r="EP61" s="444">
        <f t="shared" si="129"/>
        <v>10.590909090909092</v>
      </c>
      <c r="EQ61" s="444">
        <f t="shared" si="39"/>
        <v>0.29606000000000005</v>
      </c>
      <c r="ER61" s="444">
        <f t="shared" si="40"/>
        <v>3.37769371073431</v>
      </c>
      <c r="ES61" s="444">
        <f t="shared" si="41"/>
        <v>2.8858062918008427</v>
      </c>
      <c r="ET61" s="444">
        <f t="shared" si="42"/>
        <v>35.86258127312383</v>
      </c>
      <c r="EU61" s="708">
        <f t="shared" si="43"/>
        <v>35.86258127312383</v>
      </c>
      <c r="EV61" s="99">
        <f t="shared" si="44"/>
        <v>3336</v>
      </c>
      <c r="EW61" s="444">
        <f t="shared" si="45"/>
        <v>4567</v>
      </c>
      <c r="EX61" s="712"/>
      <c r="EY61" s="99"/>
      <c r="EZ61" s="99"/>
      <c r="FA61" s="99"/>
      <c r="FB61" s="99"/>
      <c r="FC61" s="99"/>
      <c r="FD61" s="99"/>
      <c r="FE61" s="99"/>
      <c r="FF61" s="99"/>
      <c r="FG61" s="99"/>
      <c r="FH61" s="99"/>
      <c r="FI61" s="99"/>
      <c r="FJ61" s="99"/>
      <c r="FK61" s="99"/>
      <c r="FL61" s="99"/>
      <c r="FM61" s="99"/>
      <c r="FN61" s="99"/>
      <c r="FO61" s="393"/>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393"/>
    </row>
    <row r="62" spans="1:229" s="164" customFormat="1" ht="12.75" customHeight="1">
      <c r="A62" s="141" t="s">
        <v>55</v>
      </c>
      <c r="B62" s="141" t="s">
        <v>55</v>
      </c>
      <c r="C62" s="141" t="s">
        <v>42</v>
      </c>
      <c r="D62" s="141">
        <v>6.79</v>
      </c>
      <c r="E62" s="377" t="s">
        <v>51</v>
      </c>
      <c r="F62" s="141" t="s">
        <v>52</v>
      </c>
      <c r="G62" s="143">
        <f>143*8</f>
        <v>1144</v>
      </c>
      <c r="H62" s="143">
        <v>1144</v>
      </c>
      <c r="I62" s="144">
        <f t="shared" si="80"/>
        <v>0</v>
      </c>
      <c r="J62" s="142">
        <f t="shared" si="97"/>
        <v>176</v>
      </c>
      <c r="K62" s="142">
        <v>33</v>
      </c>
      <c r="L62" s="145">
        <f t="shared" si="130"/>
        <v>1022.175</v>
      </c>
      <c r="M62" s="145">
        <f t="shared" si="98"/>
        <v>255.54375</v>
      </c>
      <c r="N62" s="146">
        <f t="shared" si="99"/>
        <v>766.6312499999999</v>
      </c>
      <c r="O62" s="144">
        <f t="shared" si="100"/>
        <v>321.4740375</v>
      </c>
      <c r="P62" s="147">
        <f t="shared" si="131"/>
        <v>0.32147403750000003</v>
      </c>
      <c r="Q62" s="144">
        <f t="shared" si="132"/>
        <v>34.65</v>
      </c>
      <c r="R62" s="163">
        <v>75</v>
      </c>
      <c r="S62" s="146">
        <f t="shared" si="102"/>
        <v>766.6312499999999</v>
      </c>
      <c r="T62" s="148">
        <v>8</v>
      </c>
      <c r="U62" s="148">
        <v>0.6</v>
      </c>
      <c r="V62" s="149">
        <f t="shared" si="103"/>
        <v>0.086</v>
      </c>
      <c r="W62" s="149">
        <v>1</v>
      </c>
      <c r="X62" s="150">
        <f t="shared" si="120"/>
        <v>65.93028749999999</v>
      </c>
      <c r="Y62" s="163">
        <v>15</v>
      </c>
      <c r="Z62" s="150">
        <f t="shared" si="107"/>
        <v>48.221105625</v>
      </c>
      <c r="AA62" s="148">
        <v>1</v>
      </c>
      <c r="AB62" s="146">
        <f t="shared" si="104"/>
        <v>3.2147403750000003</v>
      </c>
      <c r="AC62" s="149" t="s">
        <v>47</v>
      </c>
      <c r="AD62" s="149">
        <v>20</v>
      </c>
      <c r="AE62" s="149" t="s">
        <v>46</v>
      </c>
      <c r="AF62" s="146">
        <v>0</v>
      </c>
      <c r="AG62" s="150">
        <f t="shared" si="121"/>
        <v>3.2147403750000003</v>
      </c>
      <c r="AH62" s="150">
        <f t="shared" si="109"/>
        <v>70740</v>
      </c>
      <c r="AI62" s="150">
        <f t="shared" si="122"/>
        <v>72750</v>
      </c>
      <c r="AJ62" s="151">
        <f t="shared" si="28"/>
        <v>-0.028413910093299407</v>
      </c>
      <c r="AK62" s="152">
        <v>30</v>
      </c>
      <c r="AL62" s="165">
        <v>4</v>
      </c>
      <c r="AM62" s="382">
        <f t="shared" si="81"/>
        <v>2.0611888111888113</v>
      </c>
      <c r="AN62" s="154">
        <f t="shared" si="82"/>
        <v>2.1197552447552446</v>
      </c>
      <c r="AO62" s="803">
        <f t="shared" si="29"/>
        <v>-0.028413910093299286</v>
      </c>
      <c r="AP62" s="773">
        <v>2358</v>
      </c>
      <c r="AQ62" s="774"/>
      <c r="AR62" s="156">
        <v>2358</v>
      </c>
      <c r="AS62" s="155">
        <v>2425</v>
      </c>
      <c r="AT62" s="142"/>
      <c r="AU62" s="157">
        <v>2425</v>
      </c>
      <c r="AV62" s="144">
        <f t="shared" si="123"/>
        <v>0.027628865979381443</v>
      </c>
      <c r="AW62" s="147">
        <f>44+16</f>
        <v>60</v>
      </c>
      <c r="AX62" s="144">
        <f t="shared" si="30"/>
        <v>45</v>
      </c>
      <c r="AY62" s="142">
        <v>0</v>
      </c>
      <c r="AZ62" s="142">
        <v>4.66</v>
      </c>
      <c r="BA62" s="158">
        <v>5</v>
      </c>
      <c r="BB62" s="142">
        <v>0</v>
      </c>
      <c r="BC62" s="142">
        <v>2.14</v>
      </c>
      <c r="BD62" s="145">
        <f t="shared" si="83"/>
        <v>0.13633334923664123</v>
      </c>
      <c r="BE62" s="143">
        <v>92</v>
      </c>
      <c r="BF62" s="143">
        <v>92</v>
      </c>
      <c r="BG62" s="143">
        <f t="shared" si="31"/>
        <v>0</v>
      </c>
      <c r="BH62" s="142">
        <v>1.9</v>
      </c>
      <c r="BI62" s="142">
        <v>1.9</v>
      </c>
      <c r="BJ62" s="150">
        <f t="shared" si="32"/>
        <v>0</v>
      </c>
      <c r="BK62" s="142">
        <v>9.6</v>
      </c>
      <c r="BL62" s="145">
        <v>9.6</v>
      </c>
      <c r="BM62" s="159">
        <f t="shared" si="33"/>
        <v>0</v>
      </c>
      <c r="BN62" s="96">
        <f t="shared" si="34"/>
        <v>0.005910275102697834</v>
      </c>
      <c r="BO62" s="142"/>
      <c r="BP62" s="142">
        <v>17.64</v>
      </c>
      <c r="BQ62" s="142">
        <v>3</v>
      </c>
      <c r="BR62" s="96">
        <f t="shared" si="134"/>
        <v>0.09723643807574207</v>
      </c>
      <c r="BS62" s="145">
        <f t="shared" si="84"/>
        <v>83.37361043982601</v>
      </c>
      <c r="BT62" s="145">
        <f t="shared" si="119"/>
        <v>1</v>
      </c>
      <c r="BU62" s="160">
        <f t="shared" si="133"/>
        <v>26</v>
      </c>
      <c r="BV62" s="142">
        <v>4</v>
      </c>
      <c r="BW62" s="142">
        <v>4</v>
      </c>
      <c r="BX62" s="161">
        <f aca="true" t="shared" si="135" ref="BX62:BX71">BV62/BW62</f>
        <v>1</v>
      </c>
      <c r="BY62" s="156">
        <f t="shared" si="85"/>
        <v>0.6</v>
      </c>
      <c r="BZ62" s="71">
        <f t="shared" si="20"/>
        <v>0.15</v>
      </c>
      <c r="CA62" s="719">
        <v>0.97</v>
      </c>
      <c r="CB62" s="720">
        <v>0</v>
      </c>
      <c r="CC62" s="142"/>
      <c r="CD62" s="162">
        <v>95</v>
      </c>
      <c r="CE62" s="159">
        <v>0</v>
      </c>
      <c r="CF62" s="163">
        <v>100</v>
      </c>
      <c r="CG62" s="142">
        <v>0</v>
      </c>
      <c r="CH62" s="142">
        <v>24</v>
      </c>
      <c r="CI62" s="143">
        <f t="shared" si="124"/>
        <v>24</v>
      </c>
      <c r="CJ62" s="145">
        <f t="shared" si="96"/>
        <v>26</v>
      </c>
      <c r="CK62" s="423" t="s">
        <v>45</v>
      </c>
      <c r="CL62" s="423">
        <v>1.24</v>
      </c>
      <c r="CM62" s="149" t="s">
        <v>43</v>
      </c>
      <c r="CN62" s="149">
        <v>4.05</v>
      </c>
      <c r="CO62" s="149" t="s">
        <v>42</v>
      </c>
      <c r="CP62" s="149">
        <v>0</v>
      </c>
      <c r="CQ62" s="149" t="s">
        <v>45</v>
      </c>
      <c r="CR62" s="149">
        <v>1.1</v>
      </c>
      <c r="CS62" s="141" t="s">
        <v>55</v>
      </c>
      <c r="CT62" s="149" t="s">
        <v>42</v>
      </c>
      <c r="CU62" s="149">
        <v>0</v>
      </c>
      <c r="CV62" s="149" t="s">
        <v>46</v>
      </c>
      <c r="CW62" s="432">
        <v>0.82</v>
      </c>
      <c r="CX62" s="793" t="s">
        <v>44</v>
      </c>
      <c r="CY62" s="793">
        <v>1</v>
      </c>
      <c r="CZ62" s="155" t="s">
        <v>42</v>
      </c>
      <c r="DA62" s="149">
        <v>1.24</v>
      </c>
      <c r="DB62" s="149" t="s">
        <v>45</v>
      </c>
      <c r="DC62" s="149">
        <v>1.23</v>
      </c>
      <c r="DD62" s="149" t="s">
        <v>44</v>
      </c>
      <c r="DE62" s="149">
        <v>1</v>
      </c>
      <c r="DF62" s="149" t="s">
        <v>44</v>
      </c>
      <c r="DG62" s="149">
        <v>1</v>
      </c>
      <c r="DH62" s="423" t="s">
        <v>44</v>
      </c>
      <c r="DI62" s="423">
        <v>1</v>
      </c>
      <c r="DJ62" s="423" t="s">
        <v>43</v>
      </c>
      <c r="DK62" s="423">
        <v>0.87</v>
      </c>
      <c r="DL62" s="423" t="s">
        <v>45</v>
      </c>
      <c r="DM62" s="149" t="s">
        <v>45</v>
      </c>
      <c r="DN62" s="146">
        <v>0.01</v>
      </c>
      <c r="DO62" s="149" t="s">
        <v>47</v>
      </c>
      <c r="DP62" s="146">
        <v>0.88</v>
      </c>
      <c r="DQ62" s="423" t="s">
        <v>44</v>
      </c>
      <c r="DR62" s="438">
        <v>1</v>
      </c>
      <c r="DS62" s="149" t="s">
        <v>45</v>
      </c>
      <c r="DT62" s="149" t="s">
        <v>45</v>
      </c>
      <c r="DU62" s="149">
        <v>0.81</v>
      </c>
      <c r="DV62" s="149" t="s">
        <v>45</v>
      </c>
      <c r="DW62" s="149">
        <v>0.85</v>
      </c>
      <c r="DX62" s="149" t="s">
        <v>45</v>
      </c>
      <c r="DY62" s="149">
        <v>0.84</v>
      </c>
      <c r="DZ62" s="149" t="s">
        <v>44</v>
      </c>
      <c r="EA62" s="149">
        <v>1</v>
      </c>
      <c r="EB62" s="149" t="s">
        <v>42</v>
      </c>
      <c r="EC62" s="424">
        <v>0.8</v>
      </c>
      <c r="ED62" s="424" t="s">
        <v>44</v>
      </c>
      <c r="EE62" s="424">
        <v>1</v>
      </c>
      <c r="EF62" s="149" t="s">
        <v>46</v>
      </c>
      <c r="EG62" s="99">
        <f t="shared" si="125"/>
        <v>0.0044301230719764485</v>
      </c>
      <c r="EH62" s="99">
        <v>2.94</v>
      </c>
      <c r="EI62" s="99">
        <v>0.91</v>
      </c>
      <c r="EJ62" s="99">
        <f t="shared" si="126"/>
        <v>8.030000000000001</v>
      </c>
      <c r="EK62" s="99">
        <f t="shared" si="36"/>
        <v>0.9903000000000001</v>
      </c>
      <c r="EL62" s="444">
        <f t="shared" si="127"/>
        <v>1022.175</v>
      </c>
      <c r="EM62" s="444">
        <f t="shared" si="37"/>
        <v>955.7248095451592</v>
      </c>
      <c r="EN62" s="708">
        <f t="shared" si="38"/>
        <v>12.447896875925343</v>
      </c>
      <c r="EO62" s="99">
        <f t="shared" si="128"/>
        <v>1144</v>
      </c>
      <c r="EP62" s="444">
        <f t="shared" si="129"/>
        <v>6.5</v>
      </c>
      <c r="EQ62" s="444">
        <f t="shared" si="39"/>
        <v>0.29606000000000005</v>
      </c>
      <c r="ER62" s="444">
        <f t="shared" si="40"/>
        <v>3.37769371073431</v>
      </c>
      <c r="ES62" s="444">
        <f t="shared" si="41"/>
        <v>1.771117166212534</v>
      </c>
      <c r="ET62" s="444">
        <f t="shared" si="42"/>
        <v>6.894508608812468</v>
      </c>
      <c r="EU62" s="708">
        <f t="shared" si="43"/>
        <v>6.894508608812468</v>
      </c>
      <c r="EV62" s="99">
        <f t="shared" si="44"/>
        <v>2358</v>
      </c>
      <c r="EW62" s="444">
        <f t="shared" si="45"/>
        <v>2425</v>
      </c>
      <c r="EX62" s="712"/>
      <c r="EY62" s="99"/>
      <c r="EZ62" s="99"/>
      <c r="FA62" s="99"/>
      <c r="FB62" s="99"/>
      <c r="FC62" s="99"/>
      <c r="FD62" s="99"/>
      <c r="FE62" s="99"/>
      <c r="FF62" s="99"/>
      <c r="FG62" s="99"/>
      <c r="FH62" s="99"/>
      <c r="FI62" s="99"/>
      <c r="FJ62" s="99"/>
      <c r="FK62" s="99"/>
      <c r="FL62" s="99"/>
      <c r="FM62" s="99"/>
      <c r="FN62" s="99"/>
      <c r="FO62" s="393"/>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393"/>
    </row>
    <row r="63" spans="1:229" s="164" customFormat="1" ht="13.5" customHeight="1">
      <c r="A63" s="141" t="s">
        <v>55</v>
      </c>
      <c r="B63" s="141" t="s">
        <v>55</v>
      </c>
      <c r="C63" s="141" t="s">
        <v>42</v>
      </c>
      <c r="D63" s="141">
        <v>6.79</v>
      </c>
      <c r="E63" s="377" t="s">
        <v>51</v>
      </c>
      <c r="F63" s="141" t="s">
        <v>52</v>
      </c>
      <c r="G63" s="143">
        <f>334*8</f>
        <v>2672</v>
      </c>
      <c r="H63" s="143">
        <v>2048</v>
      </c>
      <c r="I63" s="144">
        <f t="shared" si="80"/>
        <v>0.23353293413173654</v>
      </c>
      <c r="J63" s="142">
        <f t="shared" si="97"/>
        <v>176</v>
      </c>
      <c r="K63" s="142">
        <v>110.7</v>
      </c>
      <c r="L63" s="145">
        <f t="shared" si="130"/>
        <v>3428.9325000000003</v>
      </c>
      <c r="M63" s="145">
        <f t="shared" si="98"/>
        <v>857.2331250000001</v>
      </c>
      <c r="N63" s="146">
        <f t="shared" si="99"/>
        <v>2571.699375</v>
      </c>
      <c r="O63" s="144">
        <f t="shared" si="100"/>
        <v>1078.3992712500003</v>
      </c>
      <c r="P63" s="147">
        <f t="shared" si="131"/>
        <v>1.0783992712500003</v>
      </c>
      <c r="Q63" s="144">
        <f t="shared" si="132"/>
        <v>116.23500000000001</v>
      </c>
      <c r="R63" s="163">
        <v>75</v>
      </c>
      <c r="S63" s="146">
        <f t="shared" si="102"/>
        <v>2571.699375</v>
      </c>
      <c r="T63" s="148">
        <v>8</v>
      </c>
      <c r="U63" s="148">
        <v>0.6</v>
      </c>
      <c r="V63" s="149">
        <f t="shared" si="103"/>
        <v>0.086</v>
      </c>
      <c r="W63" s="149">
        <v>1</v>
      </c>
      <c r="X63" s="150">
        <f t="shared" si="120"/>
        <v>221.16614625</v>
      </c>
      <c r="Y63" s="163">
        <v>15</v>
      </c>
      <c r="Z63" s="150">
        <f t="shared" si="107"/>
        <v>161.75989068750005</v>
      </c>
      <c r="AA63" s="148">
        <v>1</v>
      </c>
      <c r="AB63" s="146">
        <f t="shared" si="104"/>
        <v>10.783992712500003</v>
      </c>
      <c r="AC63" s="149" t="s">
        <v>47</v>
      </c>
      <c r="AD63" s="149">
        <v>20</v>
      </c>
      <c r="AE63" s="149" t="s">
        <v>46</v>
      </c>
      <c r="AF63" s="146">
        <v>0</v>
      </c>
      <c r="AG63" s="150">
        <f t="shared" si="121"/>
        <v>10.783992712500003</v>
      </c>
      <c r="AH63" s="150">
        <f t="shared" si="109"/>
        <v>261690</v>
      </c>
      <c r="AI63" s="150">
        <f t="shared" si="122"/>
        <v>215190</v>
      </c>
      <c r="AJ63" s="151">
        <f t="shared" si="28"/>
        <v>0.17769116129771867</v>
      </c>
      <c r="AK63" s="152">
        <v>30</v>
      </c>
      <c r="AL63" s="153">
        <v>5</v>
      </c>
      <c r="AM63" s="382">
        <f t="shared" si="81"/>
        <v>3.2645958083832336</v>
      </c>
      <c r="AN63" s="154">
        <f t="shared" si="82"/>
        <v>3.50244140625</v>
      </c>
      <c r="AO63" s="803">
        <f t="shared" si="29"/>
        <v>-0.07285606299438264</v>
      </c>
      <c r="AP63" s="773">
        <v>8723</v>
      </c>
      <c r="AQ63" s="774"/>
      <c r="AR63" s="156">
        <v>8723</v>
      </c>
      <c r="AS63" s="155">
        <v>7173</v>
      </c>
      <c r="AT63" s="142"/>
      <c r="AU63" s="157">
        <v>7173</v>
      </c>
      <c r="AV63" s="144">
        <f t="shared" si="123"/>
        <v>-0.21608810818346577</v>
      </c>
      <c r="AW63" s="147">
        <f>43+15</f>
        <v>58</v>
      </c>
      <c r="AX63" s="144">
        <f t="shared" si="30"/>
        <v>43.5</v>
      </c>
      <c r="AY63" s="142">
        <v>0</v>
      </c>
      <c r="AZ63" s="142">
        <v>17.67</v>
      </c>
      <c r="BA63" s="158">
        <v>14</v>
      </c>
      <c r="BB63" s="142">
        <v>4.95</v>
      </c>
      <c r="BC63" s="142">
        <v>0.37</v>
      </c>
      <c r="BD63" s="145">
        <f t="shared" si="83"/>
        <v>0.12362710893614585</v>
      </c>
      <c r="BE63" s="143">
        <v>85</v>
      </c>
      <c r="BF63" s="143">
        <v>85</v>
      </c>
      <c r="BG63" s="143">
        <f t="shared" si="31"/>
        <v>0</v>
      </c>
      <c r="BH63" s="142">
        <v>1</v>
      </c>
      <c r="BI63" s="142">
        <v>1</v>
      </c>
      <c r="BJ63" s="150">
        <f t="shared" si="32"/>
        <v>0</v>
      </c>
      <c r="BK63" s="142">
        <v>5</v>
      </c>
      <c r="BL63" s="145">
        <v>5</v>
      </c>
      <c r="BM63" s="159">
        <f t="shared" si="33"/>
        <v>0</v>
      </c>
      <c r="BN63" s="96">
        <f t="shared" si="34"/>
        <v>0.0009273003299055222</v>
      </c>
      <c r="BO63" s="142"/>
      <c r="BP63" s="142">
        <v>19.08</v>
      </c>
      <c r="BQ63" s="142">
        <v>3</v>
      </c>
      <c r="BR63" s="96">
        <f t="shared" si="134"/>
        <v>0.04980079681274901</v>
      </c>
      <c r="BS63" s="145">
        <f t="shared" si="84"/>
        <v>80.47400070746374</v>
      </c>
      <c r="BT63" s="145">
        <f t="shared" si="119"/>
        <v>1</v>
      </c>
      <c r="BU63" s="160">
        <f t="shared" si="133"/>
        <v>60.72727272727273</v>
      </c>
      <c r="BV63" s="142">
        <v>69</v>
      </c>
      <c r="BW63" s="142">
        <v>69</v>
      </c>
      <c r="BX63" s="161">
        <f t="shared" si="135"/>
        <v>1</v>
      </c>
      <c r="BY63" s="156">
        <f t="shared" si="85"/>
        <v>10.35</v>
      </c>
      <c r="BZ63" s="71">
        <f t="shared" si="20"/>
        <v>0.15</v>
      </c>
      <c r="CA63" s="719">
        <v>1.22</v>
      </c>
      <c r="CB63" s="720">
        <v>-0.3</v>
      </c>
      <c r="CC63" s="142"/>
      <c r="CD63" s="162">
        <v>95</v>
      </c>
      <c r="CE63" s="159">
        <v>0</v>
      </c>
      <c r="CF63" s="163">
        <v>100</v>
      </c>
      <c r="CG63" s="142">
        <v>0</v>
      </c>
      <c r="CH63" s="142">
        <v>24</v>
      </c>
      <c r="CI63" s="143">
        <f t="shared" si="124"/>
        <v>24</v>
      </c>
      <c r="CJ63" s="145">
        <f t="shared" si="96"/>
        <v>60.72727272727273</v>
      </c>
      <c r="CK63" s="423" t="s">
        <v>45</v>
      </c>
      <c r="CL63" s="423">
        <v>1.24</v>
      </c>
      <c r="CM63" s="149" t="s">
        <v>43</v>
      </c>
      <c r="CN63" s="149">
        <v>4.05</v>
      </c>
      <c r="CO63" s="149" t="s">
        <v>42</v>
      </c>
      <c r="CP63" s="149">
        <v>0</v>
      </c>
      <c r="CQ63" s="149" t="s">
        <v>45</v>
      </c>
      <c r="CR63" s="149">
        <v>1.1</v>
      </c>
      <c r="CS63" s="141" t="s">
        <v>55</v>
      </c>
      <c r="CT63" s="149" t="s">
        <v>42</v>
      </c>
      <c r="CU63" s="149">
        <v>0</v>
      </c>
      <c r="CV63" s="149" t="s">
        <v>46</v>
      </c>
      <c r="CW63" s="432">
        <v>0.82</v>
      </c>
      <c r="CX63" s="793" t="s">
        <v>44</v>
      </c>
      <c r="CY63" s="793">
        <v>1</v>
      </c>
      <c r="CZ63" s="155" t="s">
        <v>42</v>
      </c>
      <c r="DA63" s="149">
        <v>1.24</v>
      </c>
      <c r="DB63" s="149" t="s">
        <v>45</v>
      </c>
      <c r="DC63" s="149">
        <v>1.23</v>
      </c>
      <c r="DD63" s="149" t="s">
        <v>44</v>
      </c>
      <c r="DE63" s="149">
        <v>1</v>
      </c>
      <c r="DF63" s="149" t="s">
        <v>44</v>
      </c>
      <c r="DG63" s="149">
        <v>1</v>
      </c>
      <c r="DH63" s="423" t="s">
        <v>44</v>
      </c>
      <c r="DI63" s="423">
        <v>1</v>
      </c>
      <c r="DJ63" s="423" t="s">
        <v>43</v>
      </c>
      <c r="DK63" s="423">
        <v>0.87</v>
      </c>
      <c r="DL63" s="423" t="s">
        <v>45</v>
      </c>
      <c r="DM63" s="149" t="s">
        <v>45</v>
      </c>
      <c r="DN63" s="146">
        <v>0.01</v>
      </c>
      <c r="DO63" s="149" t="s">
        <v>47</v>
      </c>
      <c r="DP63" s="146">
        <v>0.88</v>
      </c>
      <c r="DQ63" s="423" t="s">
        <v>46</v>
      </c>
      <c r="DR63" s="438">
        <v>1.29</v>
      </c>
      <c r="DS63" s="149" t="s">
        <v>45</v>
      </c>
      <c r="DT63" s="149" t="s">
        <v>45</v>
      </c>
      <c r="DU63" s="149">
        <v>0.81</v>
      </c>
      <c r="DV63" s="149" t="s">
        <v>45</v>
      </c>
      <c r="DW63" s="149">
        <v>0.85</v>
      </c>
      <c r="DX63" s="149" t="s">
        <v>45</v>
      </c>
      <c r="DY63" s="149">
        <v>0.84</v>
      </c>
      <c r="DZ63" s="149" t="s">
        <v>44</v>
      </c>
      <c r="EA63" s="149">
        <v>1</v>
      </c>
      <c r="EB63" s="149" t="s">
        <v>42</v>
      </c>
      <c r="EC63" s="424">
        <v>0.8</v>
      </c>
      <c r="ED63" s="424" t="s">
        <v>44</v>
      </c>
      <c r="EE63" s="424">
        <v>1</v>
      </c>
      <c r="EF63" s="149" t="s">
        <v>46</v>
      </c>
      <c r="EG63" s="99">
        <f t="shared" si="125"/>
        <v>0.005714858762849618</v>
      </c>
      <c r="EH63" s="99">
        <v>2.94</v>
      </c>
      <c r="EI63" s="99">
        <v>0.91</v>
      </c>
      <c r="EJ63" s="99">
        <f t="shared" si="126"/>
        <v>8.030000000000001</v>
      </c>
      <c r="EK63" s="99">
        <f t="shared" si="36"/>
        <v>0.9903000000000001</v>
      </c>
      <c r="EL63" s="444">
        <f t="shared" si="127"/>
        <v>3428.9325000000003</v>
      </c>
      <c r="EM63" s="444">
        <f t="shared" si="37"/>
        <v>3168.60347562887</v>
      </c>
      <c r="EN63" s="708">
        <f t="shared" si="38"/>
        <v>53.237876735758604</v>
      </c>
      <c r="EO63" s="99">
        <f t="shared" si="128"/>
        <v>2672</v>
      </c>
      <c r="EP63" s="444">
        <f t="shared" si="129"/>
        <v>15.181818181818182</v>
      </c>
      <c r="EQ63" s="444">
        <f t="shared" si="39"/>
        <v>0.29606000000000005</v>
      </c>
      <c r="ER63" s="444">
        <f t="shared" si="40"/>
        <v>3.37769371073431</v>
      </c>
      <c r="ES63" s="444">
        <f t="shared" si="41"/>
        <v>4.136735199405499</v>
      </c>
      <c r="ET63" s="444">
        <f t="shared" si="42"/>
        <v>121.02662105718854</v>
      </c>
      <c r="EU63" s="708">
        <f t="shared" si="43"/>
        <v>121.02662105718854</v>
      </c>
      <c r="EV63" s="99">
        <f t="shared" si="44"/>
        <v>8723</v>
      </c>
      <c r="EW63" s="444">
        <f t="shared" si="45"/>
        <v>7173</v>
      </c>
      <c r="EX63" s="712"/>
      <c r="EY63" s="99"/>
      <c r="EZ63" s="99"/>
      <c r="FA63" s="99"/>
      <c r="FB63" s="99"/>
      <c r="FC63" s="99"/>
      <c r="FD63" s="99"/>
      <c r="FE63" s="99"/>
      <c r="FF63" s="99"/>
      <c r="FG63" s="99"/>
      <c r="FH63" s="99"/>
      <c r="FI63" s="99"/>
      <c r="FJ63" s="99"/>
      <c r="FK63" s="99"/>
      <c r="FL63" s="99"/>
      <c r="FM63" s="99"/>
      <c r="FN63" s="99"/>
      <c r="FO63" s="393"/>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393"/>
    </row>
    <row r="64" spans="1:229" s="164" customFormat="1" ht="14.25" customHeight="1">
      <c r="A64" s="141" t="s">
        <v>55</v>
      </c>
      <c r="B64" s="141" t="s">
        <v>55</v>
      </c>
      <c r="C64" s="141" t="s">
        <v>42</v>
      </c>
      <c r="D64" s="141">
        <v>6.79</v>
      </c>
      <c r="E64" s="377" t="s">
        <v>51</v>
      </c>
      <c r="F64" s="141" t="s">
        <v>52</v>
      </c>
      <c r="G64" s="143">
        <f>317*8</f>
        <v>2536</v>
      </c>
      <c r="H64" s="143">
        <v>1816</v>
      </c>
      <c r="I64" s="144">
        <f t="shared" si="80"/>
        <v>0.28391167192429023</v>
      </c>
      <c r="J64" s="142">
        <f t="shared" si="97"/>
        <v>176</v>
      </c>
      <c r="K64" s="142">
        <v>240</v>
      </c>
      <c r="L64" s="145">
        <f t="shared" si="130"/>
        <v>7434</v>
      </c>
      <c r="M64" s="145">
        <f t="shared" si="98"/>
        <v>1858.5</v>
      </c>
      <c r="N64" s="146">
        <f t="shared" si="99"/>
        <v>5575.5</v>
      </c>
      <c r="O64" s="144">
        <f t="shared" si="100"/>
        <v>2337.993</v>
      </c>
      <c r="P64" s="147">
        <f t="shared" si="131"/>
        <v>2.337993</v>
      </c>
      <c r="Q64" s="144">
        <f t="shared" si="132"/>
        <v>252</v>
      </c>
      <c r="R64" s="163">
        <v>75</v>
      </c>
      <c r="S64" s="146">
        <f t="shared" si="102"/>
        <v>5575.5</v>
      </c>
      <c r="T64" s="148">
        <v>8</v>
      </c>
      <c r="U64" s="148">
        <v>0.6</v>
      </c>
      <c r="V64" s="149">
        <f t="shared" si="103"/>
        <v>0.086</v>
      </c>
      <c r="W64" s="149">
        <v>1</v>
      </c>
      <c r="X64" s="150">
        <f t="shared" si="120"/>
        <v>479.49299999999994</v>
      </c>
      <c r="Y64" s="163">
        <v>15</v>
      </c>
      <c r="Z64" s="150">
        <f t="shared" si="107"/>
        <v>350.69894999999997</v>
      </c>
      <c r="AA64" s="148">
        <v>1</v>
      </c>
      <c r="AB64" s="146">
        <f t="shared" si="104"/>
        <v>23.379929999999998</v>
      </c>
      <c r="AC64" s="149" t="s">
        <v>47</v>
      </c>
      <c r="AD64" s="149">
        <v>20</v>
      </c>
      <c r="AE64" s="149" t="s">
        <v>46</v>
      </c>
      <c r="AF64" s="146">
        <v>0</v>
      </c>
      <c r="AG64" s="150">
        <f t="shared" si="121"/>
        <v>23.379929999999998</v>
      </c>
      <c r="AH64" s="150">
        <f t="shared" si="109"/>
        <v>190530</v>
      </c>
      <c r="AI64" s="150">
        <f t="shared" si="122"/>
        <v>170040</v>
      </c>
      <c r="AJ64" s="151">
        <f t="shared" si="28"/>
        <v>0.10754211935128326</v>
      </c>
      <c r="AK64" s="152">
        <v>30</v>
      </c>
      <c r="AL64" s="165">
        <v>4</v>
      </c>
      <c r="AM64" s="382">
        <f t="shared" si="81"/>
        <v>2.5043375394321767</v>
      </c>
      <c r="AN64" s="154">
        <f t="shared" si="82"/>
        <v>3.1211453744493394</v>
      </c>
      <c r="AO64" s="803">
        <f t="shared" si="29"/>
        <v>-0.24629580689710664</v>
      </c>
      <c r="AP64" s="773">
        <v>6351</v>
      </c>
      <c r="AQ64" s="774"/>
      <c r="AR64" s="156">
        <v>6351</v>
      </c>
      <c r="AS64" s="155">
        <v>5668</v>
      </c>
      <c r="AT64" s="142"/>
      <c r="AU64" s="157">
        <v>5668</v>
      </c>
      <c r="AV64" s="144">
        <f t="shared" si="123"/>
        <v>-0.12050105857445308</v>
      </c>
      <c r="AW64" s="147">
        <f>41.9+18.9</f>
        <v>60.8</v>
      </c>
      <c r="AX64" s="144">
        <f t="shared" si="30"/>
        <v>45.599999999999994</v>
      </c>
      <c r="AY64" s="142">
        <v>0</v>
      </c>
      <c r="AZ64" s="142">
        <v>11.7</v>
      </c>
      <c r="BA64" s="158">
        <v>7</v>
      </c>
      <c r="BB64" s="142">
        <v>1.39</v>
      </c>
      <c r="BC64" s="142">
        <v>6.25</v>
      </c>
      <c r="BD64" s="145">
        <f t="shared" si="83"/>
        <v>0.36812990080302316</v>
      </c>
      <c r="BE64" s="142">
        <v>6</v>
      </c>
      <c r="BF64" s="142">
        <v>5.7</v>
      </c>
      <c r="BG64" s="143">
        <f t="shared" si="31"/>
        <v>0.2999999999999998</v>
      </c>
      <c r="BH64" s="142">
        <v>2.6</v>
      </c>
      <c r="BI64" s="142">
        <v>2.6</v>
      </c>
      <c r="BJ64" s="150">
        <f t="shared" si="32"/>
        <v>0</v>
      </c>
      <c r="BK64" s="142">
        <v>4.7</v>
      </c>
      <c r="BL64" s="145">
        <v>4.7</v>
      </c>
      <c r="BM64" s="159">
        <f t="shared" si="33"/>
        <v>0</v>
      </c>
      <c r="BN64" s="96">
        <f t="shared" si="34"/>
        <v>0.001112064920639198</v>
      </c>
      <c r="BO64" s="142"/>
      <c r="BP64" s="142">
        <v>1.18</v>
      </c>
      <c r="BQ64" s="142">
        <v>3</v>
      </c>
      <c r="BR64" s="96">
        <f t="shared" si="134"/>
        <v>0.6878306878306878</v>
      </c>
      <c r="BS64" s="145">
        <f t="shared" si="84"/>
        <v>76.08695652173913</v>
      </c>
      <c r="BT64" s="145">
        <f t="shared" si="119"/>
        <v>0.9774436090225563</v>
      </c>
      <c r="BU64" s="160">
        <f t="shared" si="133"/>
        <v>57.63636363636363</v>
      </c>
      <c r="BV64" s="142">
        <v>77</v>
      </c>
      <c r="BW64" s="142">
        <v>77</v>
      </c>
      <c r="BX64" s="161">
        <f t="shared" si="135"/>
        <v>1</v>
      </c>
      <c r="BY64" s="156">
        <f t="shared" si="85"/>
        <v>11.55</v>
      </c>
      <c r="BZ64" s="71">
        <f t="shared" si="20"/>
        <v>0.15000000000000002</v>
      </c>
      <c r="CA64" s="719">
        <v>1.12</v>
      </c>
      <c r="CB64" s="720">
        <v>71.35</v>
      </c>
      <c r="CC64" s="142"/>
      <c r="CD64" s="162">
        <v>95</v>
      </c>
      <c r="CE64" s="159">
        <v>0</v>
      </c>
      <c r="CF64" s="163">
        <v>100</v>
      </c>
      <c r="CG64" s="142">
        <v>0</v>
      </c>
      <c r="CH64" s="142">
        <v>24</v>
      </c>
      <c r="CI64" s="143">
        <f t="shared" si="124"/>
        <v>24</v>
      </c>
      <c r="CJ64" s="145">
        <f t="shared" si="96"/>
        <v>57.63636363636363</v>
      </c>
      <c r="CK64" s="423" t="s">
        <v>45</v>
      </c>
      <c r="CL64" s="423">
        <v>1.24</v>
      </c>
      <c r="CM64" s="149" t="s">
        <v>43</v>
      </c>
      <c r="CN64" s="149">
        <v>4.05</v>
      </c>
      <c r="CO64" s="149" t="s">
        <v>42</v>
      </c>
      <c r="CP64" s="149">
        <v>0</v>
      </c>
      <c r="CQ64" s="423" t="s">
        <v>47</v>
      </c>
      <c r="CR64" s="423">
        <v>2.19</v>
      </c>
      <c r="CS64" s="141" t="s">
        <v>55</v>
      </c>
      <c r="CT64" s="149" t="s">
        <v>42</v>
      </c>
      <c r="CU64" s="149">
        <v>0</v>
      </c>
      <c r="CV64" s="149" t="s">
        <v>46</v>
      </c>
      <c r="CW64" s="432">
        <v>0.82</v>
      </c>
      <c r="CX64" s="793" t="s">
        <v>44</v>
      </c>
      <c r="CY64" s="793">
        <v>1</v>
      </c>
      <c r="CZ64" s="155" t="s">
        <v>42</v>
      </c>
      <c r="DA64" s="149">
        <v>1.24</v>
      </c>
      <c r="DB64" s="149" t="s">
        <v>45</v>
      </c>
      <c r="DC64" s="149">
        <v>1.23</v>
      </c>
      <c r="DD64" s="149" t="s">
        <v>44</v>
      </c>
      <c r="DE64" s="149">
        <v>1</v>
      </c>
      <c r="DF64" s="149" t="s">
        <v>44</v>
      </c>
      <c r="DG64" s="149">
        <v>1</v>
      </c>
      <c r="DH64" s="423" t="s">
        <v>44</v>
      </c>
      <c r="DI64" s="423">
        <v>1</v>
      </c>
      <c r="DJ64" s="423" t="s">
        <v>43</v>
      </c>
      <c r="DK64" s="423">
        <v>0.87</v>
      </c>
      <c r="DL64" s="423" t="s">
        <v>45</v>
      </c>
      <c r="DM64" s="149" t="s">
        <v>45</v>
      </c>
      <c r="DN64" s="146">
        <v>0.01</v>
      </c>
      <c r="DO64" s="149" t="s">
        <v>47</v>
      </c>
      <c r="DP64" s="146">
        <v>0.88</v>
      </c>
      <c r="DQ64" s="423" t="s">
        <v>43</v>
      </c>
      <c r="DR64" s="438">
        <v>1.12</v>
      </c>
      <c r="DS64" s="149" t="s">
        <v>45</v>
      </c>
      <c r="DT64" s="149" t="s">
        <v>45</v>
      </c>
      <c r="DU64" s="149">
        <v>0.81</v>
      </c>
      <c r="DV64" s="149" t="s">
        <v>45</v>
      </c>
      <c r="DW64" s="149">
        <v>0.85</v>
      </c>
      <c r="DX64" s="149" t="s">
        <v>45</v>
      </c>
      <c r="DY64" s="149">
        <v>0.84</v>
      </c>
      <c r="DZ64" s="149" t="s">
        <v>44</v>
      </c>
      <c r="EA64" s="149">
        <v>1</v>
      </c>
      <c r="EB64" s="149" t="s">
        <v>42</v>
      </c>
      <c r="EC64" s="424">
        <v>0.8</v>
      </c>
      <c r="ED64" s="424" t="s">
        <v>44</v>
      </c>
      <c r="EE64" s="424">
        <v>1</v>
      </c>
      <c r="EF64" s="149" t="s">
        <v>46</v>
      </c>
      <c r="EG64" s="99">
        <f t="shared" si="125"/>
        <v>0.004961737840613624</v>
      </c>
      <c r="EH64" s="99">
        <v>2.94</v>
      </c>
      <c r="EI64" s="99">
        <v>0.91</v>
      </c>
      <c r="EJ64" s="99">
        <f t="shared" si="126"/>
        <v>9.120000000000001</v>
      </c>
      <c r="EK64" s="99">
        <f t="shared" si="36"/>
        <v>1.0012</v>
      </c>
      <c r="EL64" s="444">
        <f t="shared" si="127"/>
        <v>7434</v>
      </c>
      <c r="EM64" s="444">
        <f t="shared" si="37"/>
        <v>7513.945207693346</v>
      </c>
      <c r="EN64" s="708">
        <f t="shared" si="38"/>
        <v>109.60974523176984</v>
      </c>
      <c r="EO64" s="99">
        <f t="shared" si="128"/>
        <v>2536</v>
      </c>
      <c r="EP64" s="444">
        <f t="shared" si="129"/>
        <v>14.409090909090908</v>
      </c>
      <c r="EQ64" s="444">
        <f t="shared" si="39"/>
        <v>0.29824</v>
      </c>
      <c r="ER64" s="444">
        <f t="shared" si="40"/>
        <v>3.3530042918454934</v>
      </c>
      <c r="ES64" s="444">
        <f t="shared" si="41"/>
        <v>3.926182809016596</v>
      </c>
      <c r="ET64" s="444">
        <f t="shared" si="42"/>
        <v>98.08118250095494</v>
      </c>
      <c r="EU64" s="708">
        <f t="shared" si="43"/>
        <v>98.08118250095494</v>
      </c>
      <c r="EV64" s="99">
        <f t="shared" si="44"/>
        <v>6351</v>
      </c>
      <c r="EW64" s="444">
        <f t="shared" si="45"/>
        <v>5668</v>
      </c>
      <c r="EX64" s="712"/>
      <c r="EY64" s="99"/>
      <c r="EZ64" s="99"/>
      <c r="FA64" s="99"/>
      <c r="FB64" s="99"/>
      <c r="FC64" s="99"/>
      <c r="FD64" s="99"/>
      <c r="FE64" s="99"/>
      <c r="FF64" s="99"/>
      <c r="FG64" s="99"/>
      <c r="FH64" s="99"/>
      <c r="FI64" s="99"/>
      <c r="FJ64" s="99"/>
      <c r="FK64" s="99"/>
      <c r="FL64" s="99"/>
      <c r="FM64" s="99"/>
      <c r="FN64" s="99"/>
      <c r="FO64" s="393"/>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393"/>
    </row>
    <row r="65" spans="1:229" s="164" customFormat="1" ht="15" customHeight="1">
      <c r="A65" s="141" t="s">
        <v>55</v>
      </c>
      <c r="B65" s="141" t="s">
        <v>55</v>
      </c>
      <c r="C65" s="141" t="s">
        <v>42</v>
      </c>
      <c r="D65" s="141">
        <v>6.79</v>
      </c>
      <c r="E65" s="377" t="s">
        <v>51</v>
      </c>
      <c r="F65" s="141" t="s">
        <v>52</v>
      </c>
      <c r="G65" s="143">
        <f>317*8</f>
        <v>2536</v>
      </c>
      <c r="H65" s="143">
        <v>1816</v>
      </c>
      <c r="I65" s="144">
        <f t="shared" si="80"/>
        <v>0.28391167192429023</v>
      </c>
      <c r="J65" s="142">
        <f t="shared" si="97"/>
        <v>176</v>
      </c>
      <c r="K65" s="142">
        <v>1255.1</v>
      </c>
      <c r="L65" s="145">
        <f t="shared" si="130"/>
        <v>38876.7225</v>
      </c>
      <c r="M65" s="145">
        <f t="shared" si="98"/>
        <v>9719.180625</v>
      </c>
      <c r="N65" s="146">
        <f t="shared" si="99"/>
        <v>29157.541875000003</v>
      </c>
      <c r="O65" s="144">
        <f t="shared" si="100"/>
        <v>12226.729226250001</v>
      </c>
      <c r="P65" s="147">
        <f t="shared" si="131"/>
        <v>12.22672922625</v>
      </c>
      <c r="Q65" s="144">
        <f t="shared" si="132"/>
        <v>1317.855</v>
      </c>
      <c r="R65" s="163">
        <v>75</v>
      </c>
      <c r="S65" s="146">
        <f t="shared" si="102"/>
        <v>29157.541875000003</v>
      </c>
      <c r="T65" s="148">
        <v>8</v>
      </c>
      <c r="U65" s="148">
        <v>0.6</v>
      </c>
      <c r="V65" s="149">
        <f t="shared" si="103"/>
        <v>0.086</v>
      </c>
      <c r="W65" s="149">
        <v>1</v>
      </c>
      <c r="X65" s="150">
        <f t="shared" si="120"/>
        <v>2507.54860125</v>
      </c>
      <c r="Y65" s="163">
        <v>15</v>
      </c>
      <c r="Z65" s="150">
        <f t="shared" si="107"/>
        <v>1834.0093839375002</v>
      </c>
      <c r="AA65" s="148">
        <v>1</v>
      </c>
      <c r="AB65" s="146">
        <f t="shared" si="104"/>
        <v>122.26729226250002</v>
      </c>
      <c r="AC65" s="149" t="s">
        <v>47</v>
      </c>
      <c r="AD65" s="149">
        <v>20</v>
      </c>
      <c r="AE65" s="149" t="s">
        <v>46</v>
      </c>
      <c r="AF65" s="146">
        <v>0</v>
      </c>
      <c r="AG65" s="150">
        <f t="shared" si="121"/>
        <v>122.26729226250002</v>
      </c>
      <c r="AH65" s="150">
        <f t="shared" si="109"/>
        <v>344310</v>
      </c>
      <c r="AI65" s="150">
        <f t="shared" si="122"/>
        <v>281040</v>
      </c>
      <c r="AJ65" s="151">
        <f t="shared" si="28"/>
        <v>0.1837588219918097</v>
      </c>
      <c r="AK65" s="152">
        <v>30</v>
      </c>
      <c r="AL65" s="165">
        <v>6</v>
      </c>
      <c r="AM65" s="382">
        <f t="shared" si="81"/>
        <v>4.525630914826499</v>
      </c>
      <c r="AN65" s="154">
        <f t="shared" si="82"/>
        <v>5.158590308370044</v>
      </c>
      <c r="AO65" s="803">
        <f t="shared" si="29"/>
        <v>-0.13986102831980762</v>
      </c>
      <c r="AP65" s="773">
        <v>11477</v>
      </c>
      <c r="AQ65" s="774"/>
      <c r="AR65" s="156">
        <v>11477</v>
      </c>
      <c r="AS65" s="155">
        <v>9368</v>
      </c>
      <c r="AT65" s="142"/>
      <c r="AU65" s="157">
        <v>9368</v>
      </c>
      <c r="AV65" s="144">
        <f t="shared" si="123"/>
        <v>-0.2251280956447481</v>
      </c>
      <c r="AW65" s="147">
        <f>40+19</f>
        <v>59</v>
      </c>
      <c r="AX65" s="144">
        <f t="shared" si="30"/>
        <v>44.25</v>
      </c>
      <c r="AY65" s="142">
        <v>0</v>
      </c>
      <c r="AZ65" s="142">
        <v>10.19</v>
      </c>
      <c r="BA65" s="158">
        <v>8</v>
      </c>
      <c r="BB65" s="142">
        <v>2.62</v>
      </c>
      <c r="BC65" s="142">
        <v>2.44</v>
      </c>
      <c r="BD65" s="145">
        <f t="shared" si="83"/>
        <v>1.0653244947503704</v>
      </c>
      <c r="BE65" s="142">
        <v>3.4</v>
      </c>
      <c r="BF65" s="142">
        <v>2.9</v>
      </c>
      <c r="BG65" s="143">
        <f t="shared" si="31"/>
        <v>0.5</v>
      </c>
      <c r="BH65" s="142">
        <v>1</v>
      </c>
      <c r="BI65" s="142">
        <v>1</v>
      </c>
      <c r="BJ65" s="150">
        <f t="shared" si="32"/>
        <v>0</v>
      </c>
      <c r="BK65" s="142">
        <v>2.7</v>
      </c>
      <c r="BL65" s="145">
        <v>2.7</v>
      </c>
      <c r="BM65" s="159">
        <f t="shared" si="33"/>
        <v>0</v>
      </c>
      <c r="BN65" s="96">
        <f t="shared" si="34"/>
        <v>8.178802208632087E-05</v>
      </c>
      <c r="BO65" s="142"/>
      <c r="BP65" s="142">
        <v>5.92</v>
      </c>
      <c r="BQ65" s="142">
        <v>3</v>
      </c>
      <c r="BR65" s="96">
        <f t="shared" si="134"/>
        <v>0.14450867052023122</v>
      </c>
      <c r="BS65" s="145">
        <f t="shared" si="84"/>
        <v>44.31960049937578</v>
      </c>
      <c r="BT65" s="145">
        <f t="shared" si="119"/>
        <v>0.9295774647887323</v>
      </c>
      <c r="BU65" s="160">
        <f t="shared" si="133"/>
        <v>57.63636363636363</v>
      </c>
      <c r="BV65" s="142">
        <v>94</v>
      </c>
      <c r="BW65" s="142">
        <v>94</v>
      </c>
      <c r="BX65" s="161">
        <f t="shared" si="135"/>
        <v>1</v>
      </c>
      <c r="BY65" s="156">
        <f t="shared" si="85"/>
        <v>14.1</v>
      </c>
      <c r="BZ65" s="71">
        <f t="shared" si="20"/>
        <v>0.15</v>
      </c>
      <c r="CA65" s="719">
        <v>1.23</v>
      </c>
      <c r="CB65" s="720">
        <v>71.35</v>
      </c>
      <c r="CC65" s="142"/>
      <c r="CD65" s="162">
        <v>95</v>
      </c>
      <c r="CE65" s="159">
        <v>0</v>
      </c>
      <c r="CF65" s="163">
        <v>100</v>
      </c>
      <c r="CG65" s="142">
        <v>0</v>
      </c>
      <c r="CH65" s="142">
        <v>24</v>
      </c>
      <c r="CI65" s="143">
        <f t="shared" si="124"/>
        <v>24</v>
      </c>
      <c r="CJ65" s="145">
        <f t="shared" si="96"/>
        <v>57.63636363636363</v>
      </c>
      <c r="CK65" s="423" t="s">
        <v>45</v>
      </c>
      <c r="CL65" s="423">
        <v>1.24</v>
      </c>
      <c r="CM65" s="149" t="s">
        <v>43</v>
      </c>
      <c r="CN65" s="149">
        <v>4.05</v>
      </c>
      <c r="CO65" s="149" t="s">
        <v>42</v>
      </c>
      <c r="CP65" s="149">
        <v>0</v>
      </c>
      <c r="CQ65" s="149" t="s">
        <v>45</v>
      </c>
      <c r="CR65" s="149">
        <v>1.1</v>
      </c>
      <c r="CS65" s="141" t="s">
        <v>55</v>
      </c>
      <c r="CT65" s="149" t="s">
        <v>42</v>
      </c>
      <c r="CU65" s="149">
        <v>0</v>
      </c>
      <c r="CV65" s="149" t="s">
        <v>46</v>
      </c>
      <c r="CW65" s="432">
        <v>0.82</v>
      </c>
      <c r="CX65" s="793" t="s">
        <v>44</v>
      </c>
      <c r="CY65" s="793">
        <v>1</v>
      </c>
      <c r="CZ65" s="155" t="s">
        <v>42</v>
      </c>
      <c r="DA65" s="149">
        <v>1.24</v>
      </c>
      <c r="DB65" s="149" t="s">
        <v>45</v>
      </c>
      <c r="DC65" s="149">
        <v>1.23</v>
      </c>
      <c r="DD65" s="149" t="s">
        <v>44</v>
      </c>
      <c r="DE65" s="149">
        <v>1</v>
      </c>
      <c r="DF65" s="149" t="s">
        <v>44</v>
      </c>
      <c r="DG65" s="149">
        <v>1</v>
      </c>
      <c r="DH65" s="423" t="s">
        <v>44</v>
      </c>
      <c r="DI65" s="423">
        <v>1</v>
      </c>
      <c r="DJ65" s="423" t="s">
        <v>43</v>
      </c>
      <c r="DK65" s="423">
        <v>0.87</v>
      </c>
      <c r="DL65" s="423" t="s">
        <v>45</v>
      </c>
      <c r="DM65" s="149" t="s">
        <v>45</v>
      </c>
      <c r="DN65" s="146">
        <v>0.01</v>
      </c>
      <c r="DO65" s="149" t="s">
        <v>47</v>
      </c>
      <c r="DP65" s="146">
        <v>0.88</v>
      </c>
      <c r="DQ65" s="423" t="s">
        <v>47</v>
      </c>
      <c r="DR65" s="438">
        <v>0.9</v>
      </c>
      <c r="DS65" s="149" t="s">
        <v>45</v>
      </c>
      <c r="DT65" s="149" t="s">
        <v>45</v>
      </c>
      <c r="DU65" s="149">
        <v>0.81</v>
      </c>
      <c r="DV65" s="149" t="s">
        <v>45</v>
      </c>
      <c r="DW65" s="149">
        <v>0.85</v>
      </c>
      <c r="DX65" s="149" t="s">
        <v>45</v>
      </c>
      <c r="DY65" s="149">
        <v>0.84</v>
      </c>
      <c r="DZ65" s="149" t="s">
        <v>44</v>
      </c>
      <c r="EA65" s="149">
        <v>1</v>
      </c>
      <c r="EB65" s="149" t="s">
        <v>42</v>
      </c>
      <c r="EC65" s="424">
        <v>0.8</v>
      </c>
      <c r="ED65" s="424" t="s">
        <v>44</v>
      </c>
      <c r="EE65" s="424">
        <v>1</v>
      </c>
      <c r="EF65" s="149" t="s">
        <v>46</v>
      </c>
      <c r="EG65" s="99">
        <f t="shared" si="125"/>
        <v>0.003987110764778804</v>
      </c>
      <c r="EH65" s="99">
        <v>2.94</v>
      </c>
      <c r="EI65" s="99">
        <v>0.91</v>
      </c>
      <c r="EJ65" s="99">
        <f t="shared" si="126"/>
        <v>8.030000000000001</v>
      </c>
      <c r="EK65" s="99">
        <f t="shared" si="36"/>
        <v>0.9903000000000001</v>
      </c>
      <c r="EL65" s="444">
        <f t="shared" si="127"/>
        <v>38876.7225</v>
      </c>
      <c r="EM65" s="444">
        <f t="shared" si="37"/>
        <v>35088.89202687032</v>
      </c>
      <c r="EN65" s="708">
        <f t="shared" si="38"/>
        <v>411.31569942601766</v>
      </c>
      <c r="EO65" s="99">
        <f t="shared" si="128"/>
        <v>2536</v>
      </c>
      <c r="EP65" s="444">
        <f t="shared" si="129"/>
        <v>14.409090909090908</v>
      </c>
      <c r="EQ65" s="444">
        <f t="shared" si="39"/>
        <v>0.29606000000000005</v>
      </c>
      <c r="ER65" s="444">
        <f t="shared" si="40"/>
        <v>3.37769371073431</v>
      </c>
      <c r="ES65" s="444">
        <f t="shared" si="41"/>
        <v>3.926182809016596</v>
      </c>
      <c r="ET65" s="444">
        <f t="shared" si="42"/>
        <v>101.44963296043369</v>
      </c>
      <c r="EU65" s="708">
        <f t="shared" si="43"/>
        <v>101.44963296043369</v>
      </c>
      <c r="EV65" s="99">
        <f t="shared" si="44"/>
        <v>11477</v>
      </c>
      <c r="EW65" s="444">
        <f t="shared" si="45"/>
        <v>9368</v>
      </c>
      <c r="EX65" s="712"/>
      <c r="EY65" s="99"/>
      <c r="EZ65" s="99"/>
      <c r="FA65" s="99"/>
      <c r="FB65" s="99"/>
      <c r="FC65" s="99"/>
      <c r="FD65" s="99"/>
      <c r="FE65" s="99"/>
      <c r="FF65" s="99"/>
      <c r="FG65" s="99"/>
      <c r="FH65" s="99"/>
      <c r="FI65" s="99"/>
      <c r="FJ65" s="99"/>
      <c r="FK65" s="99"/>
      <c r="FL65" s="99"/>
      <c r="FM65" s="99"/>
      <c r="FN65" s="99"/>
      <c r="FO65" s="393"/>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393"/>
    </row>
    <row r="66" spans="1:229" s="164" customFormat="1" ht="15" customHeight="1">
      <c r="A66" s="141" t="s">
        <v>93</v>
      </c>
      <c r="B66" s="141" t="s">
        <v>93</v>
      </c>
      <c r="C66" s="141" t="s">
        <v>42</v>
      </c>
      <c r="D66" s="141">
        <v>6.79</v>
      </c>
      <c r="E66" s="377" t="s">
        <v>51</v>
      </c>
      <c r="F66" s="141" t="s">
        <v>52</v>
      </c>
      <c r="G66" s="143">
        <f>143*8</f>
        <v>1144</v>
      </c>
      <c r="H66" s="143">
        <v>1144</v>
      </c>
      <c r="I66" s="144">
        <f t="shared" si="80"/>
        <v>0</v>
      </c>
      <c r="J66" s="142">
        <f t="shared" si="97"/>
        <v>176</v>
      </c>
      <c r="K66" s="142">
        <v>12.6</v>
      </c>
      <c r="L66" s="145">
        <f t="shared" si="130"/>
        <v>390.285</v>
      </c>
      <c r="M66" s="145">
        <f t="shared" si="98"/>
        <v>97.57125</v>
      </c>
      <c r="N66" s="146">
        <f t="shared" si="99"/>
        <v>292.71375</v>
      </c>
      <c r="O66" s="144">
        <f t="shared" si="100"/>
        <v>122.74463250000002</v>
      </c>
      <c r="P66" s="147">
        <f t="shared" si="131"/>
        <v>0.12274463250000002</v>
      </c>
      <c r="Q66" s="144">
        <f t="shared" si="132"/>
        <v>13.23</v>
      </c>
      <c r="R66" s="163">
        <v>75</v>
      </c>
      <c r="S66" s="146">
        <f t="shared" si="102"/>
        <v>292.71375</v>
      </c>
      <c r="T66" s="148">
        <v>8</v>
      </c>
      <c r="U66" s="148">
        <v>0.6</v>
      </c>
      <c r="V66" s="149">
        <f t="shared" si="103"/>
        <v>0.086</v>
      </c>
      <c r="W66" s="149">
        <v>1</v>
      </c>
      <c r="X66" s="150">
        <f t="shared" si="120"/>
        <v>25.1733825</v>
      </c>
      <c r="Y66" s="163">
        <v>15</v>
      </c>
      <c r="Z66" s="150">
        <f t="shared" si="107"/>
        <v>18.411694875000002</v>
      </c>
      <c r="AA66" s="148">
        <v>1</v>
      </c>
      <c r="AB66" s="146">
        <f t="shared" si="104"/>
        <v>1.2274463250000003</v>
      </c>
      <c r="AC66" s="149" t="s">
        <v>47</v>
      </c>
      <c r="AD66" s="149">
        <v>20</v>
      </c>
      <c r="AE66" s="149" t="s">
        <v>46</v>
      </c>
      <c r="AF66" s="146">
        <v>0</v>
      </c>
      <c r="AG66" s="150">
        <f t="shared" si="121"/>
        <v>1.2274463250000003</v>
      </c>
      <c r="AH66" s="150">
        <f t="shared" si="109"/>
        <v>65910</v>
      </c>
      <c r="AI66" s="150">
        <f t="shared" si="122"/>
        <v>99480</v>
      </c>
      <c r="AJ66" s="151">
        <f t="shared" si="28"/>
        <v>-0.5093309057806099</v>
      </c>
      <c r="AK66" s="152">
        <v>30</v>
      </c>
      <c r="AL66" s="165">
        <v>3</v>
      </c>
      <c r="AM66" s="382">
        <f t="shared" si="81"/>
        <v>1.9204545454545454</v>
      </c>
      <c r="AN66" s="154">
        <f t="shared" si="82"/>
        <v>2.8986013986013988</v>
      </c>
      <c r="AO66" s="803">
        <f t="shared" si="29"/>
        <v>-0.50933090578061</v>
      </c>
      <c r="AP66" s="773">
        <v>2197</v>
      </c>
      <c r="AQ66" s="774"/>
      <c r="AR66" s="156">
        <v>2197</v>
      </c>
      <c r="AS66" s="155">
        <v>3316</v>
      </c>
      <c r="AT66" s="142"/>
      <c r="AU66" s="157">
        <v>3316</v>
      </c>
      <c r="AV66" s="144">
        <f t="shared" si="123"/>
        <v>0.33745476477683956</v>
      </c>
      <c r="AW66" s="147">
        <f>44+15</f>
        <v>59</v>
      </c>
      <c r="AX66" s="144">
        <f t="shared" si="30"/>
        <v>44.25</v>
      </c>
      <c r="AY66" s="142">
        <v>0</v>
      </c>
      <c r="AZ66" s="142">
        <v>5.99</v>
      </c>
      <c r="BA66" s="158">
        <v>2</v>
      </c>
      <c r="BB66" s="142">
        <v>16.1</v>
      </c>
      <c r="BC66" s="142">
        <v>1.05</v>
      </c>
      <c r="BD66" s="145">
        <f t="shared" si="83"/>
        <v>0.055869200045516626</v>
      </c>
      <c r="BE66" s="142">
        <v>4</v>
      </c>
      <c r="BF66" s="142">
        <v>3.8</v>
      </c>
      <c r="BG66" s="143">
        <f t="shared" si="31"/>
        <v>0.20000000000000018</v>
      </c>
      <c r="BH66" s="142">
        <v>4</v>
      </c>
      <c r="BI66" s="142">
        <v>4</v>
      </c>
      <c r="BJ66" s="150">
        <f t="shared" si="32"/>
        <v>0</v>
      </c>
      <c r="BK66" s="142">
        <v>4.7</v>
      </c>
      <c r="BL66" s="145">
        <v>4.7</v>
      </c>
      <c r="BM66" s="159">
        <f t="shared" si="33"/>
        <v>0</v>
      </c>
      <c r="BN66" s="96">
        <f t="shared" si="34"/>
        <v>0.03258798302239407</v>
      </c>
      <c r="BO66" s="142"/>
      <c r="BP66" s="142">
        <v>16.02</v>
      </c>
      <c r="BQ66" s="142">
        <v>3</v>
      </c>
      <c r="BR66" s="96">
        <f t="shared" si="134"/>
        <v>0.1998001998001998</v>
      </c>
      <c r="BS66" s="145">
        <f t="shared" si="84"/>
        <v>40.03783102143758</v>
      </c>
      <c r="BT66" s="145">
        <f t="shared" si="119"/>
        <v>0.984251968503937</v>
      </c>
      <c r="BU66" s="160">
        <f t="shared" si="133"/>
        <v>26</v>
      </c>
      <c r="BV66" s="142">
        <v>3</v>
      </c>
      <c r="BW66" s="142">
        <v>3</v>
      </c>
      <c r="BX66" s="161">
        <f t="shared" si="135"/>
        <v>1</v>
      </c>
      <c r="BY66" s="156">
        <f t="shared" si="85"/>
        <v>0.45</v>
      </c>
      <c r="BZ66" s="71">
        <f t="shared" si="20"/>
        <v>0.15</v>
      </c>
      <c r="CA66" s="719">
        <v>0.66</v>
      </c>
      <c r="CB66" s="720">
        <v>0</v>
      </c>
      <c r="CC66" s="142"/>
      <c r="CD66" s="162">
        <v>95</v>
      </c>
      <c r="CE66" s="159">
        <v>0</v>
      </c>
      <c r="CF66" s="163">
        <v>100</v>
      </c>
      <c r="CG66" s="142">
        <v>0</v>
      </c>
      <c r="CH66" s="142">
        <v>24</v>
      </c>
      <c r="CI66" s="143">
        <f t="shared" si="124"/>
        <v>24</v>
      </c>
      <c r="CJ66" s="145">
        <f t="shared" si="96"/>
        <v>26</v>
      </c>
      <c r="CK66" s="423" t="s">
        <v>45</v>
      </c>
      <c r="CL66" s="423">
        <v>1.24</v>
      </c>
      <c r="CM66" s="149" t="s">
        <v>43</v>
      </c>
      <c r="CN66" s="149">
        <v>4.05</v>
      </c>
      <c r="CO66" s="149" t="s">
        <v>42</v>
      </c>
      <c r="CP66" s="149">
        <v>0</v>
      </c>
      <c r="CQ66" s="149" t="s">
        <v>45</v>
      </c>
      <c r="CR66" s="149">
        <v>1.1</v>
      </c>
      <c r="CS66" s="141" t="s">
        <v>93</v>
      </c>
      <c r="CT66" s="149" t="s">
        <v>42</v>
      </c>
      <c r="CU66" s="149">
        <v>0</v>
      </c>
      <c r="CV66" s="149" t="s">
        <v>46</v>
      </c>
      <c r="CW66" s="432">
        <v>0.82</v>
      </c>
      <c r="CX66" s="793" t="s">
        <v>44</v>
      </c>
      <c r="CY66" s="793">
        <v>1</v>
      </c>
      <c r="CZ66" s="155" t="s">
        <v>42</v>
      </c>
      <c r="DA66" s="149">
        <v>1.24</v>
      </c>
      <c r="DB66" s="149" t="s">
        <v>45</v>
      </c>
      <c r="DC66" s="149">
        <v>1.23</v>
      </c>
      <c r="DD66" s="149" t="s">
        <v>44</v>
      </c>
      <c r="DE66" s="149">
        <v>1</v>
      </c>
      <c r="DF66" s="149" t="s">
        <v>44</v>
      </c>
      <c r="DG66" s="149">
        <v>1</v>
      </c>
      <c r="DH66" s="423" t="s">
        <v>44</v>
      </c>
      <c r="DI66" s="423">
        <v>1</v>
      </c>
      <c r="DJ66" s="423" t="s">
        <v>43</v>
      </c>
      <c r="DK66" s="423">
        <v>0.87</v>
      </c>
      <c r="DL66" s="423" t="s">
        <v>45</v>
      </c>
      <c r="DM66" s="149" t="s">
        <v>45</v>
      </c>
      <c r="DN66" s="146">
        <v>0.01</v>
      </c>
      <c r="DO66" s="149" t="s">
        <v>47</v>
      </c>
      <c r="DP66" s="146">
        <v>0.88</v>
      </c>
      <c r="DQ66" s="423" t="s">
        <v>46</v>
      </c>
      <c r="DR66" s="438">
        <v>1.29</v>
      </c>
      <c r="DS66" s="149" t="s">
        <v>45</v>
      </c>
      <c r="DT66" s="149" t="s">
        <v>45</v>
      </c>
      <c r="DU66" s="149">
        <v>0.81</v>
      </c>
      <c r="DV66" s="149" t="s">
        <v>45</v>
      </c>
      <c r="DW66" s="149">
        <v>0.85</v>
      </c>
      <c r="DX66" s="149" t="s">
        <v>45</v>
      </c>
      <c r="DY66" s="149">
        <v>0.84</v>
      </c>
      <c r="DZ66" s="149" t="s">
        <v>44</v>
      </c>
      <c r="EA66" s="149">
        <v>1</v>
      </c>
      <c r="EB66" s="149" t="s">
        <v>42</v>
      </c>
      <c r="EC66" s="424">
        <v>0.8</v>
      </c>
      <c r="ED66" s="424" t="s">
        <v>44</v>
      </c>
      <c r="EE66" s="424">
        <v>1</v>
      </c>
      <c r="EF66" s="149" t="s">
        <v>46</v>
      </c>
      <c r="EG66" s="99">
        <f t="shared" si="125"/>
        <v>0.005714858762849618</v>
      </c>
      <c r="EH66" s="99">
        <v>2.94</v>
      </c>
      <c r="EI66" s="99">
        <v>0.91</v>
      </c>
      <c r="EJ66" s="99">
        <f t="shared" si="126"/>
        <v>8.030000000000001</v>
      </c>
      <c r="EK66" s="99">
        <f t="shared" si="36"/>
        <v>0.9903000000000001</v>
      </c>
      <c r="EL66" s="444">
        <f t="shared" si="127"/>
        <v>390.285</v>
      </c>
      <c r="EM66" s="444">
        <f t="shared" si="37"/>
        <v>368.33709291118856</v>
      </c>
      <c r="EN66" s="708">
        <f t="shared" si="38"/>
        <v>6.188683721531817</v>
      </c>
      <c r="EO66" s="99">
        <f t="shared" si="128"/>
        <v>1144</v>
      </c>
      <c r="EP66" s="444">
        <f t="shared" si="129"/>
        <v>6.5</v>
      </c>
      <c r="EQ66" s="444">
        <f t="shared" si="39"/>
        <v>0.29606000000000005</v>
      </c>
      <c r="ER66" s="444">
        <f t="shared" si="40"/>
        <v>3.37769371073431</v>
      </c>
      <c r="ES66" s="444">
        <f t="shared" si="41"/>
        <v>1.771117166212534</v>
      </c>
      <c r="ET66" s="444">
        <f t="shared" si="42"/>
        <v>6.894508608812468</v>
      </c>
      <c r="EU66" s="708">
        <f t="shared" si="43"/>
        <v>6.894508608812468</v>
      </c>
      <c r="EV66" s="99">
        <f t="shared" si="44"/>
        <v>2197</v>
      </c>
      <c r="EW66" s="444">
        <f t="shared" si="45"/>
        <v>3316</v>
      </c>
      <c r="EX66" s="712"/>
      <c r="EY66" s="99"/>
      <c r="EZ66" s="99"/>
      <c r="FA66" s="99"/>
      <c r="FB66" s="99"/>
      <c r="FC66" s="99"/>
      <c r="FD66" s="99"/>
      <c r="FE66" s="99"/>
      <c r="FF66" s="99"/>
      <c r="FG66" s="99"/>
      <c r="FH66" s="99"/>
      <c r="FI66" s="99"/>
      <c r="FJ66" s="99"/>
      <c r="FK66" s="99"/>
      <c r="FL66" s="99"/>
      <c r="FM66" s="99"/>
      <c r="FN66" s="99"/>
      <c r="FO66" s="393"/>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99"/>
      <c r="HQ66" s="99"/>
      <c r="HR66" s="99"/>
      <c r="HS66" s="99"/>
      <c r="HT66" s="99"/>
      <c r="HU66" s="393"/>
    </row>
    <row r="67" spans="1:229" s="164" customFormat="1" ht="14.25" customHeight="1">
      <c r="A67" s="141" t="s">
        <v>93</v>
      </c>
      <c r="B67" s="141" t="s">
        <v>93</v>
      </c>
      <c r="C67" s="141" t="s">
        <v>42</v>
      </c>
      <c r="D67" s="141">
        <v>6.79</v>
      </c>
      <c r="E67" s="377" t="s">
        <v>51</v>
      </c>
      <c r="F67" s="141" t="s">
        <v>52</v>
      </c>
      <c r="G67" s="143">
        <f>473*8</f>
        <v>3784</v>
      </c>
      <c r="H67" s="143">
        <v>4568</v>
      </c>
      <c r="I67" s="144">
        <f t="shared" si="80"/>
        <v>-0.20718816067653276</v>
      </c>
      <c r="J67" s="142">
        <f t="shared" si="97"/>
        <v>176</v>
      </c>
      <c r="K67" s="142">
        <v>235.1</v>
      </c>
      <c r="L67" s="145">
        <f t="shared" si="130"/>
        <v>7282.222500000001</v>
      </c>
      <c r="M67" s="145">
        <f t="shared" si="98"/>
        <v>1820.5556250000002</v>
      </c>
      <c r="N67" s="146">
        <f t="shared" si="99"/>
        <v>5461.666875000001</v>
      </c>
      <c r="O67" s="144">
        <f t="shared" si="100"/>
        <v>2290.25897625</v>
      </c>
      <c r="P67" s="147">
        <f t="shared" si="131"/>
        <v>2.29025897625</v>
      </c>
      <c r="Q67" s="144">
        <f t="shared" si="132"/>
        <v>246.85500000000002</v>
      </c>
      <c r="R67" s="163">
        <v>75</v>
      </c>
      <c r="S67" s="146">
        <f t="shared" si="102"/>
        <v>5461.666875000001</v>
      </c>
      <c r="T67" s="148">
        <v>8</v>
      </c>
      <c r="U67" s="148">
        <v>0.6</v>
      </c>
      <c r="V67" s="149">
        <f t="shared" si="103"/>
        <v>0.086</v>
      </c>
      <c r="W67" s="149">
        <v>1</v>
      </c>
      <c r="X67" s="150">
        <f t="shared" si="120"/>
        <v>469.70335125</v>
      </c>
      <c r="Y67" s="163">
        <v>15</v>
      </c>
      <c r="Z67" s="150">
        <f t="shared" si="107"/>
        <v>343.5388464375</v>
      </c>
      <c r="AA67" s="148">
        <v>1</v>
      </c>
      <c r="AB67" s="146">
        <f t="shared" si="104"/>
        <v>22.902589762500003</v>
      </c>
      <c r="AC67" s="149" t="s">
        <v>47</v>
      </c>
      <c r="AD67" s="149">
        <v>20</v>
      </c>
      <c r="AE67" s="149" t="s">
        <v>46</v>
      </c>
      <c r="AF67" s="146">
        <v>0</v>
      </c>
      <c r="AG67" s="150">
        <f t="shared" si="121"/>
        <v>22.902589762500003</v>
      </c>
      <c r="AH67" s="150">
        <f t="shared" si="109"/>
        <v>234900</v>
      </c>
      <c r="AI67" s="150">
        <f t="shared" si="122"/>
        <v>195450</v>
      </c>
      <c r="AJ67" s="151">
        <f t="shared" si="28"/>
        <v>0.16794380587484037</v>
      </c>
      <c r="AK67" s="152">
        <v>30</v>
      </c>
      <c r="AL67" s="165">
        <v>4</v>
      </c>
      <c r="AM67" s="382">
        <f t="shared" si="81"/>
        <v>2.0692389006342493</v>
      </c>
      <c r="AN67" s="154">
        <f t="shared" si="82"/>
        <v>1.4262259194395797</v>
      </c>
      <c r="AO67" s="803">
        <f t="shared" si="29"/>
        <v>0.3107485467229413</v>
      </c>
      <c r="AP67" s="773">
        <v>7830</v>
      </c>
      <c r="AQ67" s="774"/>
      <c r="AR67" s="156">
        <v>7830</v>
      </c>
      <c r="AS67" s="155">
        <v>6515</v>
      </c>
      <c r="AT67" s="142"/>
      <c r="AU67" s="157">
        <v>6515</v>
      </c>
      <c r="AV67" s="144">
        <f t="shared" si="123"/>
        <v>-0.20184190330007676</v>
      </c>
      <c r="AW67" s="147">
        <f>41.9+18.9</f>
        <v>60.8</v>
      </c>
      <c r="AX67" s="144">
        <f t="shared" si="30"/>
        <v>45.599999999999994</v>
      </c>
      <c r="AY67" s="142">
        <v>1</v>
      </c>
      <c r="AZ67" s="142">
        <v>17.1</v>
      </c>
      <c r="BA67" s="158">
        <v>8</v>
      </c>
      <c r="BB67" s="142">
        <v>13.7</v>
      </c>
      <c r="BC67" s="142">
        <v>4.01</v>
      </c>
      <c r="BD67" s="145">
        <f t="shared" si="83"/>
        <v>0.29249795354406133</v>
      </c>
      <c r="BE67" s="143">
        <v>92</v>
      </c>
      <c r="BF67" s="143">
        <v>92</v>
      </c>
      <c r="BG67" s="143">
        <f t="shared" si="31"/>
        <v>0</v>
      </c>
      <c r="BH67" s="142">
        <v>1.2455</v>
      </c>
      <c r="BI67" s="142">
        <v>1.2455</v>
      </c>
      <c r="BJ67" s="150">
        <f t="shared" si="32"/>
        <v>0</v>
      </c>
      <c r="BK67" s="142">
        <v>3.8182</v>
      </c>
      <c r="BL67" s="145">
        <v>3.8182</v>
      </c>
      <c r="BM67" s="159">
        <f t="shared" si="33"/>
        <v>0</v>
      </c>
      <c r="BN67" s="96">
        <f t="shared" si="34"/>
        <v>0.0005438249616815578</v>
      </c>
      <c r="BO67" s="142"/>
      <c r="BP67" s="142">
        <v>8.6</v>
      </c>
      <c r="BQ67" s="142">
        <v>3</v>
      </c>
      <c r="BR67" s="96">
        <f t="shared" si="134"/>
        <v>0.12650449443908385</v>
      </c>
      <c r="BS67" s="145">
        <f t="shared" si="84"/>
        <v>89.32486193641483</v>
      </c>
      <c r="BT67" s="145">
        <f t="shared" si="119"/>
        <v>1</v>
      </c>
      <c r="BU67" s="160">
        <f t="shared" si="133"/>
        <v>86</v>
      </c>
      <c r="BV67" s="142">
        <v>57</v>
      </c>
      <c r="BW67" s="142">
        <v>57</v>
      </c>
      <c r="BX67" s="161">
        <f t="shared" si="135"/>
        <v>1</v>
      </c>
      <c r="BY67" s="156">
        <f t="shared" si="85"/>
        <v>8.55</v>
      </c>
      <c r="BZ67" s="71">
        <f t="shared" si="20"/>
        <v>0.15000000000000002</v>
      </c>
      <c r="CA67" s="719">
        <v>1.2</v>
      </c>
      <c r="CB67" s="720">
        <v>-0.51</v>
      </c>
      <c r="CC67" s="142"/>
      <c r="CD67" s="162">
        <v>95</v>
      </c>
      <c r="CE67" s="159">
        <v>0</v>
      </c>
      <c r="CF67" s="163">
        <v>100</v>
      </c>
      <c r="CG67" s="142">
        <v>0</v>
      </c>
      <c r="CH67" s="142">
        <v>24</v>
      </c>
      <c r="CI67" s="143">
        <f t="shared" si="124"/>
        <v>24</v>
      </c>
      <c r="CJ67" s="145">
        <f t="shared" si="96"/>
        <v>86</v>
      </c>
      <c r="CK67" s="423" t="s">
        <v>45</v>
      </c>
      <c r="CL67" s="423">
        <v>1.24</v>
      </c>
      <c r="CM67" s="149" t="s">
        <v>43</v>
      </c>
      <c r="CN67" s="149">
        <v>4.05</v>
      </c>
      <c r="CO67" s="149" t="s">
        <v>42</v>
      </c>
      <c r="CP67" s="149">
        <v>0</v>
      </c>
      <c r="CQ67" s="149" t="s">
        <v>45</v>
      </c>
      <c r="CR67" s="149">
        <v>1.1</v>
      </c>
      <c r="CS67" s="141" t="s">
        <v>383</v>
      </c>
      <c r="CT67" s="149" t="s">
        <v>42</v>
      </c>
      <c r="CU67" s="149">
        <v>0</v>
      </c>
      <c r="CV67" s="149" t="s">
        <v>46</v>
      </c>
      <c r="CW67" s="432">
        <v>0.82</v>
      </c>
      <c r="CX67" s="793" t="s">
        <v>44</v>
      </c>
      <c r="CY67" s="793">
        <v>1</v>
      </c>
      <c r="CZ67" s="155" t="s">
        <v>42</v>
      </c>
      <c r="DA67" s="149">
        <v>1.24</v>
      </c>
      <c r="DB67" s="149" t="s">
        <v>45</v>
      </c>
      <c r="DC67" s="149">
        <v>1.23</v>
      </c>
      <c r="DD67" s="149" t="s">
        <v>44</v>
      </c>
      <c r="DE67" s="149">
        <v>1</v>
      </c>
      <c r="DF67" s="149" t="s">
        <v>44</v>
      </c>
      <c r="DG67" s="149">
        <v>1</v>
      </c>
      <c r="DH67" s="423" t="s">
        <v>44</v>
      </c>
      <c r="DI67" s="423">
        <v>1</v>
      </c>
      <c r="DJ67" s="423" t="s">
        <v>43</v>
      </c>
      <c r="DK67" s="423">
        <v>0.87</v>
      </c>
      <c r="DL67" s="423" t="s">
        <v>45</v>
      </c>
      <c r="DM67" s="149" t="s">
        <v>45</v>
      </c>
      <c r="DN67" s="146">
        <v>0.01</v>
      </c>
      <c r="DO67" s="149" t="s">
        <v>47</v>
      </c>
      <c r="DP67" s="146">
        <v>0.88</v>
      </c>
      <c r="DQ67" s="423" t="s">
        <v>43</v>
      </c>
      <c r="DR67" s="438">
        <v>1.12</v>
      </c>
      <c r="DS67" s="149" t="s">
        <v>45</v>
      </c>
      <c r="DT67" s="149" t="s">
        <v>45</v>
      </c>
      <c r="DU67" s="149">
        <v>0.81</v>
      </c>
      <c r="DV67" s="149" t="s">
        <v>45</v>
      </c>
      <c r="DW67" s="149">
        <v>0.85</v>
      </c>
      <c r="DX67" s="149" t="s">
        <v>45</v>
      </c>
      <c r="DY67" s="149">
        <v>0.84</v>
      </c>
      <c r="DZ67" s="149" t="s">
        <v>44</v>
      </c>
      <c r="EA67" s="149">
        <v>1</v>
      </c>
      <c r="EB67" s="149" t="s">
        <v>42</v>
      </c>
      <c r="EC67" s="424">
        <v>0.8</v>
      </c>
      <c r="ED67" s="424" t="s">
        <v>44</v>
      </c>
      <c r="EE67" s="424">
        <v>1</v>
      </c>
      <c r="EF67" s="149" t="s">
        <v>46</v>
      </c>
      <c r="EG67" s="99">
        <f t="shared" si="125"/>
        <v>0.004961737840613624</v>
      </c>
      <c r="EH67" s="99">
        <v>2.94</v>
      </c>
      <c r="EI67" s="99">
        <v>0.91</v>
      </c>
      <c r="EJ67" s="99">
        <f t="shared" si="126"/>
        <v>8.030000000000001</v>
      </c>
      <c r="EK67" s="99">
        <f t="shared" si="36"/>
        <v>0.9903000000000001</v>
      </c>
      <c r="EL67" s="444">
        <f t="shared" si="127"/>
        <v>7282.222500000001</v>
      </c>
      <c r="EM67" s="444">
        <f t="shared" si="37"/>
        <v>6680.361799364625</v>
      </c>
      <c r="EN67" s="708">
        <f t="shared" si="38"/>
        <v>97.44983955095769</v>
      </c>
      <c r="EO67" s="99">
        <f t="shared" si="128"/>
        <v>3784</v>
      </c>
      <c r="EP67" s="444">
        <f t="shared" si="129"/>
        <v>21.5</v>
      </c>
      <c r="EQ67" s="444">
        <f t="shared" si="39"/>
        <v>0.29606000000000005</v>
      </c>
      <c r="ER67" s="444">
        <f t="shared" si="40"/>
        <v>3.37769371073431</v>
      </c>
      <c r="ES67" s="444">
        <f t="shared" si="41"/>
        <v>5.858310626702997</v>
      </c>
      <c r="ET67" s="444">
        <f t="shared" si="42"/>
        <v>392.01256917157684</v>
      </c>
      <c r="EU67" s="708">
        <f t="shared" si="43"/>
        <v>392.01256917157684</v>
      </c>
      <c r="EV67" s="99">
        <f t="shared" si="44"/>
        <v>7830</v>
      </c>
      <c r="EW67" s="444">
        <f t="shared" si="45"/>
        <v>6515</v>
      </c>
      <c r="EX67" s="712"/>
      <c r="EY67" s="99"/>
      <c r="EZ67" s="99"/>
      <c r="FA67" s="99"/>
      <c r="FB67" s="99"/>
      <c r="FC67" s="99"/>
      <c r="FD67" s="99"/>
      <c r="FE67" s="99"/>
      <c r="FF67" s="99"/>
      <c r="FG67" s="99"/>
      <c r="FH67" s="99"/>
      <c r="FI67" s="99"/>
      <c r="FJ67" s="99"/>
      <c r="FK67" s="99"/>
      <c r="FL67" s="99"/>
      <c r="FM67" s="99"/>
      <c r="FN67" s="99"/>
      <c r="FO67" s="393"/>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393"/>
    </row>
    <row r="68" spans="1:229" s="164" customFormat="1" ht="15" customHeight="1">
      <c r="A68" s="141" t="s">
        <v>93</v>
      </c>
      <c r="B68" s="141" t="s">
        <v>93</v>
      </c>
      <c r="C68" s="141" t="s">
        <v>42</v>
      </c>
      <c r="D68" s="141">
        <v>6.79</v>
      </c>
      <c r="E68" s="377" t="s">
        <v>51</v>
      </c>
      <c r="F68" s="141" t="s">
        <v>52</v>
      </c>
      <c r="G68" s="143">
        <f>1194*8</f>
        <v>9552</v>
      </c>
      <c r="H68" s="143">
        <v>9552</v>
      </c>
      <c r="I68" s="144">
        <f t="shared" si="80"/>
        <v>0</v>
      </c>
      <c r="J68" s="142">
        <f t="shared" si="97"/>
        <v>176</v>
      </c>
      <c r="K68" s="142">
        <v>635</v>
      </c>
      <c r="L68" s="145">
        <f t="shared" si="130"/>
        <v>19669.125</v>
      </c>
      <c r="M68" s="145">
        <f t="shared" si="98"/>
        <v>4917.28125</v>
      </c>
      <c r="N68" s="146">
        <f t="shared" si="99"/>
        <v>14751.84375</v>
      </c>
      <c r="O68" s="144">
        <f t="shared" si="100"/>
        <v>6185.9398125</v>
      </c>
      <c r="P68" s="147">
        <f t="shared" si="131"/>
        <v>6.1859398125</v>
      </c>
      <c r="Q68" s="144">
        <f t="shared" si="132"/>
        <v>666.75</v>
      </c>
      <c r="R68" s="163">
        <v>75</v>
      </c>
      <c r="S68" s="146">
        <f t="shared" si="102"/>
        <v>14751.84375</v>
      </c>
      <c r="T68" s="148">
        <v>8</v>
      </c>
      <c r="U68" s="148">
        <v>0.6</v>
      </c>
      <c r="V68" s="149">
        <f t="shared" si="103"/>
        <v>0.086</v>
      </c>
      <c r="W68" s="149">
        <v>1</v>
      </c>
      <c r="X68" s="150">
        <f t="shared" si="120"/>
        <v>1268.6585624999998</v>
      </c>
      <c r="Y68" s="163">
        <v>15</v>
      </c>
      <c r="Z68" s="150">
        <f t="shared" si="107"/>
        <v>927.8909718749999</v>
      </c>
      <c r="AA68" s="148">
        <v>1</v>
      </c>
      <c r="AB68" s="146">
        <f t="shared" si="104"/>
        <v>61.859398125</v>
      </c>
      <c r="AC68" s="149" t="s">
        <v>47</v>
      </c>
      <c r="AD68" s="149">
        <v>20</v>
      </c>
      <c r="AE68" s="149" t="s">
        <v>46</v>
      </c>
      <c r="AF68" s="146">
        <v>0</v>
      </c>
      <c r="AG68" s="150">
        <f t="shared" si="121"/>
        <v>61.859398125</v>
      </c>
      <c r="AH68" s="150">
        <f t="shared" si="109"/>
        <v>562230</v>
      </c>
      <c r="AI68" s="150">
        <f t="shared" si="122"/>
        <v>498810</v>
      </c>
      <c r="AJ68" s="151">
        <f t="shared" si="28"/>
        <v>0.11280081105597353</v>
      </c>
      <c r="AK68" s="152">
        <v>30</v>
      </c>
      <c r="AL68" s="165">
        <v>3</v>
      </c>
      <c r="AM68" s="382">
        <f t="shared" si="81"/>
        <v>1.961997487437186</v>
      </c>
      <c r="AN68" s="154">
        <f t="shared" si="82"/>
        <v>1.7406825795644891</v>
      </c>
      <c r="AO68" s="803">
        <f t="shared" si="29"/>
        <v>0.11280081105597353</v>
      </c>
      <c r="AP68" s="773">
        <v>18741</v>
      </c>
      <c r="AQ68" s="774"/>
      <c r="AR68" s="156">
        <v>18741</v>
      </c>
      <c r="AS68" s="155">
        <v>16627</v>
      </c>
      <c r="AT68" s="142"/>
      <c r="AU68" s="157">
        <v>16627</v>
      </c>
      <c r="AV68" s="144">
        <f t="shared" si="123"/>
        <v>-0.12714259938653996</v>
      </c>
      <c r="AW68" s="147">
        <f>41.9+16.5</f>
        <v>58.4</v>
      </c>
      <c r="AX68" s="144">
        <f t="shared" si="30"/>
        <v>43.8</v>
      </c>
      <c r="AY68" s="142">
        <v>0.9</v>
      </c>
      <c r="AZ68" s="142">
        <v>10.2</v>
      </c>
      <c r="BA68" s="158">
        <v>11</v>
      </c>
      <c r="BB68" s="142">
        <v>1.1</v>
      </c>
      <c r="BC68" s="142">
        <v>11.22</v>
      </c>
      <c r="BD68" s="145">
        <f t="shared" si="83"/>
        <v>0.33007522610853207</v>
      </c>
      <c r="BE68" s="143">
        <v>100</v>
      </c>
      <c r="BF68" s="143">
        <v>100</v>
      </c>
      <c r="BG68" s="143">
        <f t="shared" si="31"/>
        <v>0</v>
      </c>
      <c r="BH68" s="142">
        <v>0.8727</v>
      </c>
      <c r="BI68" s="142">
        <v>0.8727</v>
      </c>
      <c r="BJ68" s="150">
        <f t="shared" si="32"/>
        <v>0</v>
      </c>
      <c r="BK68" s="142">
        <v>2</v>
      </c>
      <c r="BL68" s="145">
        <v>2</v>
      </c>
      <c r="BM68" s="159">
        <f t="shared" si="33"/>
        <v>0</v>
      </c>
      <c r="BN68" s="96">
        <f t="shared" si="34"/>
        <v>0.00014107799727319122</v>
      </c>
      <c r="BO68" s="142"/>
      <c r="BP68" s="142">
        <v>4.5</v>
      </c>
      <c r="BQ68" s="142">
        <v>3</v>
      </c>
      <c r="BR68" s="96">
        <f t="shared" si="134"/>
        <v>0.1624322966106427</v>
      </c>
      <c r="BS68" s="145">
        <f t="shared" si="84"/>
        <v>93.20484141458893</v>
      </c>
      <c r="BT68" s="145">
        <f t="shared" si="119"/>
        <v>1</v>
      </c>
      <c r="BU68" s="160">
        <f t="shared" si="133"/>
        <v>217.0909090909091</v>
      </c>
      <c r="BV68" s="142">
        <v>32</v>
      </c>
      <c r="BW68" s="142">
        <v>32</v>
      </c>
      <c r="BX68" s="161">
        <v>1</v>
      </c>
      <c r="BY68" s="156">
        <f t="shared" si="85"/>
        <v>4.8</v>
      </c>
      <c r="BZ68" s="71">
        <v>0</v>
      </c>
      <c r="CA68" s="719">
        <v>1.13</v>
      </c>
      <c r="CB68" s="720">
        <v>15.69</v>
      </c>
      <c r="CC68" s="142"/>
      <c r="CD68" s="162">
        <v>95</v>
      </c>
      <c r="CE68" s="159">
        <v>0</v>
      </c>
      <c r="CF68" s="163">
        <v>100</v>
      </c>
      <c r="CG68" s="142">
        <v>0</v>
      </c>
      <c r="CH68" s="142">
        <v>24</v>
      </c>
      <c r="CI68" s="143">
        <f t="shared" si="124"/>
        <v>24</v>
      </c>
      <c r="CJ68" s="145">
        <f t="shared" si="96"/>
        <v>217.0909090909091</v>
      </c>
      <c r="CK68" s="423" t="s">
        <v>45</v>
      </c>
      <c r="CL68" s="423">
        <v>1.24</v>
      </c>
      <c r="CM68" s="149" t="s">
        <v>43</v>
      </c>
      <c r="CN68" s="149">
        <v>4.05</v>
      </c>
      <c r="CO68" s="149" t="s">
        <v>42</v>
      </c>
      <c r="CP68" s="149">
        <v>0</v>
      </c>
      <c r="CQ68" s="149" t="s">
        <v>45</v>
      </c>
      <c r="CR68" s="149">
        <v>1.1</v>
      </c>
      <c r="CS68" s="141" t="s">
        <v>383</v>
      </c>
      <c r="CT68" s="149" t="s">
        <v>42</v>
      </c>
      <c r="CU68" s="149">
        <v>0</v>
      </c>
      <c r="CV68" s="149" t="s">
        <v>46</v>
      </c>
      <c r="CW68" s="432">
        <v>0.82</v>
      </c>
      <c r="CX68" s="793" t="s">
        <v>44</v>
      </c>
      <c r="CY68" s="793">
        <v>1</v>
      </c>
      <c r="CZ68" s="155" t="s">
        <v>42</v>
      </c>
      <c r="DA68" s="149">
        <v>1.24</v>
      </c>
      <c r="DB68" s="149" t="s">
        <v>45</v>
      </c>
      <c r="DC68" s="149">
        <v>1.23</v>
      </c>
      <c r="DD68" s="149" t="s">
        <v>44</v>
      </c>
      <c r="DE68" s="149">
        <v>1</v>
      </c>
      <c r="DF68" s="149" t="s">
        <v>44</v>
      </c>
      <c r="DG68" s="149">
        <v>1</v>
      </c>
      <c r="DH68" s="423" t="s">
        <v>44</v>
      </c>
      <c r="DI68" s="423">
        <v>1</v>
      </c>
      <c r="DJ68" s="423" t="s">
        <v>43</v>
      </c>
      <c r="DK68" s="423">
        <v>0.87</v>
      </c>
      <c r="DL68" s="423" t="s">
        <v>45</v>
      </c>
      <c r="DM68" s="149" t="s">
        <v>45</v>
      </c>
      <c r="DN68" s="146">
        <v>0.01</v>
      </c>
      <c r="DO68" s="149" t="s">
        <v>47</v>
      </c>
      <c r="DP68" s="146">
        <v>0.88</v>
      </c>
      <c r="DQ68" s="423" t="s">
        <v>43</v>
      </c>
      <c r="DR68" s="438">
        <v>1.12</v>
      </c>
      <c r="DS68" s="149" t="s">
        <v>45</v>
      </c>
      <c r="DT68" s="149" t="s">
        <v>45</v>
      </c>
      <c r="DU68" s="149">
        <v>0.81</v>
      </c>
      <c r="DV68" s="149" t="s">
        <v>45</v>
      </c>
      <c r="DW68" s="149">
        <v>0.85</v>
      </c>
      <c r="DX68" s="149" t="s">
        <v>45</v>
      </c>
      <c r="DY68" s="149">
        <v>0.84</v>
      </c>
      <c r="DZ68" s="149" t="s">
        <v>44</v>
      </c>
      <c r="EA68" s="149">
        <v>1</v>
      </c>
      <c r="EB68" s="149" t="s">
        <v>42</v>
      </c>
      <c r="EC68" s="424">
        <v>0.8</v>
      </c>
      <c r="ED68" s="424" t="s">
        <v>44</v>
      </c>
      <c r="EE68" s="424">
        <v>1</v>
      </c>
      <c r="EF68" s="149" t="s">
        <v>46</v>
      </c>
      <c r="EG68" s="99">
        <f t="shared" si="125"/>
        <v>0.004961737840613624</v>
      </c>
      <c r="EH68" s="99">
        <v>2.94</v>
      </c>
      <c r="EI68" s="99">
        <v>0.91</v>
      </c>
      <c r="EJ68" s="99">
        <f t="shared" si="126"/>
        <v>8.030000000000001</v>
      </c>
      <c r="EK68" s="99">
        <f t="shared" si="36"/>
        <v>0.9903000000000001</v>
      </c>
      <c r="EL68" s="444">
        <f t="shared" si="127"/>
        <v>19669.125</v>
      </c>
      <c r="EM68" s="444">
        <f t="shared" si="37"/>
        <v>17870.44328189638</v>
      </c>
      <c r="EN68" s="708">
        <f t="shared" si="38"/>
        <v>260.68525670135483</v>
      </c>
      <c r="EO68" s="99">
        <f t="shared" si="128"/>
        <v>9552</v>
      </c>
      <c r="EP68" s="444">
        <f t="shared" si="129"/>
        <v>54.27272727272727</v>
      </c>
      <c r="EQ68" s="444">
        <f t="shared" si="39"/>
        <v>0.29606000000000005</v>
      </c>
      <c r="ER68" s="444">
        <f t="shared" si="40"/>
        <v>3.37769371073431</v>
      </c>
      <c r="ES68" s="444">
        <f t="shared" si="41"/>
        <v>14.788209066138222</v>
      </c>
      <c r="ET68" s="444">
        <f t="shared" si="42"/>
        <v>8945.74475463994</v>
      </c>
      <c r="EU68" s="708">
        <f t="shared" si="43"/>
        <v>8945.74475463994</v>
      </c>
      <c r="EV68" s="99">
        <f t="shared" si="44"/>
        <v>18741</v>
      </c>
      <c r="EW68" s="444">
        <f t="shared" si="45"/>
        <v>16627</v>
      </c>
      <c r="EX68" s="712"/>
      <c r="EY68" s="99"/>
      <c r="EZ68" s="99"/>
      <c r="FA68" s="99"/>
      <c r="FB68" s="99"/>
      <c r="FC68" s="99"/>
      <c r="FD68" s="99"/>
      <c r="FE68" s="99"/>
      <c r="FF68" s="99"/>
      <c r="FG68" s="99"/>
      <c r="FH68" s="99"/>
      <c r="FI68" s="99"/>
      <c r="FJ68" s="99"/>
      <c r="FK68" s="99"/>
      <c r="FL68" s="99"/>
      <c r="FM68" s="99"/>
      <c r="FN68" s="99"/>
      <c r="FO68" s="393"/>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c r="GS68" s="99"/>
      <c r="GT68" s="99"/>
      <c r="GU68" s="99"/>
      <c r="GV68" s="99"/>
      <c r="GW68" s="99"/>
      <c r="GX68" s="99"/>
      <c r="GY68" s="99"/>
      <c r="GZ68" s="99"/>
      <c r="HA68" s="99"/>
      <c r="HB68" s="99"/>
      <c r="HC68" s="99"/>
      <c r="HD68" s="99"/>
      <c r="HE68" s="99"/>
      <c r="HF68" s="99"/>
      <c r="HG68" s="99"/>
      <c r="HH68" s="99"/>
      <c r="HI68" s="99"/>
      <c r="HJ68" s="99"/>
      <c r="HK68" s="99"/>
      <c r="HL68" s="99"/>
      <c r="HM68" s="99"/>
      <c r="HN68" s="99"/>
      <c r="HO68" s="99"/>
      <c r="HP68" s="99"/>
      <c r="HQ68" s="99"/>
      <c r="HR68" s="99"/>
      <c r="HS68" s="99"/>
      <c r="HT68" s="99"/>
      <c r="HU68" s="393"/>
    </row>
    <row r="69" spans="1:229" s="164" customFormat="1" ht="14.25" customHeight="1">
      <c r="A69" s="141" t="s">
        <v>92</v>
      </c>
      <c r="B69" s="141" t="s">
        <v>92</v>
      </c>
      <c r="C69" s="141" t="s">
        <v>42</v>
      </c>
      <c r="D69" s="141">
        <v>6.79</v>
      </c>
      <c r="E69" s="377" t="s">
        <v>51</v>
      </c>
      <c r="F69" s="141" t="s">
        <v>52</v>
      </c>
      <c r="G69" s="143">
        <f>70*8</f>
        <v>560</v>
      </c>
      <c r="H69" s="143">
        <v>560</v>
      </c>
      <c r="I69" s="144">
        <f t="shared" si="80"/>
        <v>0</v>
      </c>
      <c r="J69" s="142">
        <f t="shared" si="97"/>
        <v>176</v>
      </c>
      <c r="K69" s="142">
        <v>8</v>
      </c>
      <c r="L69" s="145">
        <f t="shared" si="130"/>
        <v>247.8</v>
      </c>
      <c r="M69" s="145">
        <f t="shared" si="98"/>
        <v>61.95</v>
      </c>
      <c r="N69" s="146">
        <f t="shared" si="99"/>
        <v>185.85000000000002</v>
      </c>
      <c r="O69" s="144">
        <f t="shared" si="100"/>
        <v>77.9331</v>
      </c>
      <c r="P69" s="147">
        <f t="shared" si="131"/>
        <v>0.07793309999999999</v>
      </c>
      <c r="Q69" s="144">
        <f t="shared" si="132"/>
        <v>8.4</v>
      </c>
      <c r="R69" s="163">
        <v>75</v>
      </c>
      <c r="S69" s="146">
        <f t="shared" si="102"/>
        <v>185.85000000000002</v>
      </c>
      <c r="T69" s="148">
        <v>8</v>
      </c>
      <c r="U69" s="148">
        <v>0.6</v>
      </c>
      <c r="V69" s="149">
        <f t="shared" si="103"/>
        <v>0.086</v>
      </c>
      <c r="W69" s="149">
        <v>1</v>
      </c>
      <c r="X69" s="150">
        <f t="shared" si="120"/>
        <v>15.9831</v>
      </c>
      <c r="Y69" s="163">
        <v>15</v>
      </c>
      <c r="Z69" s="150">
        <f t="shared" si="107"/>
        <v>11.689964999999999</v>
      </c>
      <c r="AA69" s="148">
        <v>1</v>
      </c>
      <c r="AB69" s="146">
        <f t="shared" si="104"/>
        <v>0.779331</v>
      </c>
      <c r="AC69" s="149" t="s">
        <v>47</v>
      </c>
      <c r="AD69" s="149">
        <v>20</v>
      </c>
      <c r="AE69" s="149" t="s">
        <v>46</v>
      </c>
      <c r="AF69" s="146">
        <v>0</v>
      </c>
      <c r="AG69" s="150">
        <f t="shared" si="121"/>
        <v>0.779331</v>
      </c>
      <c r="AH69" s="150">
        <f t="shared" si="109"/>
        <v>49830</v>
      </c>
      <c r="AI69" s="150">
        <f t="shared" si="122"/>
        <v>49830</v>
      </c>
      <c r="AJ69" s="151">
        <f t="shared" si="28"/>
        <v>0</v>
      </c>
      <c r="AK69" s="152">
        <v>30</v>
      </c>
      <c r="AL69" s="165">
        <v>4</v>
      </c>
      <c r="AM69" s="382">
        <f t="shared" si="81"/>
        <v>2.9660714285714285</v>
      </c>
      <c r="AN69" s="154">
        <f t="shared" si="82"/>
        <v>2.9660714285714285</v>
      </c>
      <c r="AO69" s="803">
        <f t="shared" si="29"/>
        <v>0</v>
      </c>
      <c r="AP69" s="773">
        <v>1661</v>
      </c>
      <c r="AQ69" s="774"/>
      <c r="AR69" s="156">
        <v>1661</v>
      </c>
      <c r="AS69" s="155">
        <v>1661</v>
      </c>
      <c r="AT69" s="142"/>
      <c r="AU69" s="157">
        <v>1661</v>
      </c>
      <c r="AV69" s="144">
        <f t="shared" si="123"/>
        <v>0</v>
      </c>
      <c r="AW69" s="147">
        <f>44+15</f>
        <v>59</v>
      </c>
      <c r="AX69" s="144">
        <f t="shared" si="30"/>
        <v>44.25</v>
      </c>
      <c r="AY69" s="142">
        <v>4.8</v>
      </c>
      <c r="AZ69" s="142">
        <v>11.1</v>
      </c>
      <c r="BA69" s="158">
        <v>7</v>
      </c>
      <c r="BB69" s="142">
        <v>5.1</v>
      </c>
      <c r="BC69" s="142">
        <v>7.16</v>
      </c>
      <c r="BD69" s="145">
        <f t="shared" si="83"/>
        <v>0.04691938591210114</v>
      </c>
      <c r="BE69" s="143">
        <v>75</v>
      </c>
      <c r="BF69" s="143">
        <v>75</v>
      </c>
      <c r="BG69" s="143">
        <f t="shared" si="31"/>
        <v>0</v>
      </c>
      <c r="BH69" s="142">
        <v>0.7668</v>
      </c>
      <c r="BI69" s="142">
        <v>0.7668</v>
      </c>
      <c r="BJ69" s="150">
        <f t="shared" si="32"/>
        <v>0</v>
      </c>
      <c r="BK69" s="142">
        <v>1.0588</v>
      </c>
      <c r="BL69" s="145">
        <v>1.0588</v>
      </c>
      <c r="BM69" s="159">
        <f t="shared" si="33"/>
        <v>0</v>
      </c>
      <c r="BN69" s="96">
        <f t="shared" si="34"/>
        <v>0.009839208243993888</v>
      </c>
      <c r="BO69" s="142"/>
      <c r="BP69" s="142">
        <v>18.7</v>
      </c>
      <c r="BQ69" s="142">
        <v>3</v>
      </c>
      <c r="BR69" s="96">
        <f t="shared" si="134"/>
        <v>0.03939014116341669</v>
      </c>
      <c r="BS69" s="145">
        <f t="shared" si="84"/>
        <v>77.97526734168582</v>
      </c>
      <c r="BT69" s="145">
        <f t="shared" si="119"/>
        <v>1</v>
      </c>
      <c r="BU69" s="160">
        <f t="shared" si="133"/>
        <v>12.727272727272727</v>
      </c>
      <c r="BV69" s="142">
        <v>27</v>
      </c>
      <c r="BW69" s="142">
        <v>27</v>
      </c>
      <c r="BX69" s="161">
        <f t="shared" si="135"/>
        <v>1</v>
      </c>
      <c r="BY69" s="156">
        <f t="shared" si="85"/>
        <v>4.05</v>
      </c>
      <c r="BZ69" s="71">
        <f t="shared" si="20"/>
        <v>0.15</v>
      </c>
      <c r="CA69" s="719">
        <v>1</v>
      </c>
      <c r="CB69" s="720">
        <v>0</v>
      </c>
      <c r="CC69" s="142"/>
      <c r="CD69" s="162">
        <v>95</v>
      </c>
      <c r="CE69" s="159">
        <v>0</v>
      </c>
      <c r="CF69" s="163">
        <v>100</v>
      </c>
      <c r="CG69" s="142">
        <v>0</v>
      </c>
      <c r="CH69" s="142">
        <v>24</v>
      </c>
      <c r="CI69" s="143">
        <f t="shared" si="124"/>
        <v>24</v>
      </c>
      <c r="CJ69" s="145">
        <f t="shared" si="96"/>
        <v>12.727272727272727</v>
      </c>
      <c r="CK69" s="423" t="s">
        <v>45</v>
      </c>
      <c r="CL69" s="423">
        <v>1.24</v>
      </c>
      <c r="CM69" s="149" t="s">
        <v>43</v>
      </c>
      <c r="CN69" s="149">
        <v>4.05</v>
      </c>
      <c r="CO69" s="149" t="s">
        <v>42</v>
      </c>
      <c r="CP69" s="149">
        <v>0</v>
      </c>
      <c r="CQ69" s="149" t="s">
        <v>45</v>
      </c>
      <c r="CR69" s="149">
        <v>1.1</v>
      </c>
      <c r="CS69" s="141" t="s">
        <v>92</v>
      </c>
      <c r="CT69" s="149" t="s">
        <v>42</v>
      </c>
      <c r="CU69" s="149">
        <v>0</v>
      </c>
      <c r="CV69" s="149" t="s">
        <v>46</v>
      </c>
      <c r="CW69" s="432">
        <v>0.82</v>
      </c>
      <c r="CX69" s="793" t="s">
        <v>44</v>
      </c>
      <c r="CY69" s="793">
        <v>1</v>
      </c>
      <c r="CZ69" s="155" t="s">
        <v>42</v>
      </c>
      <c r="DA69" s="149">
        <v>1.24</v>
      </c>
      <c r="DB69" s="149" t="s">
        <v>45</v>
      </c>
      <c r="DC69" s="149">
        <v>1.23</v>
      </c>
      <c r="DD69" s="149" t="s">
        <v>44</v>
      </c>
      <c r="DE69" s="149">
        <v>1</v>
      </c>
      <c r="DF69" s="149" t="s">
        <v>44</v>
      </c>
      <c r="DG69" s="149">
        <v>1</v>
      </c>
      <c r="DH69" s="423" t="s">
        <v>44</v>
      </c>
      <c r="DI69" s="423">
        <v>1</v>
      </c>
      <c r="DJ69" s="423" t="s">
        <v>43</v>
      </c>
      <c r="DK69" s="423">
        <v>0.87</v>
      </c>
      <c r="DL69" s="423" t="s">
        <v>45</v>
      </c>
      <c r="DM69" s="149" t="s">
        <v>45</v>
      </c>
      <c r="DN69" s="146">
        <v>0.01</v>
      </c>
      <c r="DO69" s="149" t="s">
        <v>47</v>
      </c>
      <c r="DP69" s="146">
        <v>0.88</v>
      </c>
      <c r="DQ69" s="423" t="s">
        <v>46</v>
      </c>
      <c r="DR69" s="438">
        <v>1.29</v>
      </c>
      <c r="DS69" s="149" t="s">
        <v>45</v>
      </c>
      <c r="DT69" s="149" t="s">
        <v>45</v>
      </c>
      <c r="DU69" s="149">
        <v>0.81</v>
      </c>
      <c r="DV69" s="149" t="s">
        <v>45</v>
      </c>
      <c r="DW69" s="149">
        <v>0.85</v>
      </c>
      <c r="DX69" s="149" t="s">
        <v>45</v>
      </c>
      <c r="DY69" s="149">
        <v>0.84</v>
      </c>
      <c r="DZ69" s="149" t="s">
        <v>44</v>
      </c>
      <c r="EA69" s="149">
        <v>1</v>
      </c>
      <c r="EB69" s="149" t="s">
        <v>42</v>
      </c>
      <c r="EC69" s="424">
        <v>0.8</v>
      </c>
      <c r="ED69" s="424" t="s">
        <v>44</v>
      </c>
      <c r="EE69" s="424">
        <v>1</v>
      </c>
      <c r="EF69" s="149" t="s">
        <v>46</v>
      </c>
      <c r="EG69" s="99">
        <f t="shared" si="125"/>
        <v>0.005714858762849618</v>
      </c>
      <c r="EH69" s="99">
        <v>2.94</v>
      </c>
      <c r="EI69" s="99">
        <v>0.91</v>
      </c>
      <c r="EJ69" s="99">
        <f t="shared" si="126"/>
        <v>8.030000000000001</v>
      </c>
      <c r="EK69" s="99">
        <f t="shared" si="36"/>
        <v>0.9903000000000001</v>
      </c>
      <c r="EL69" s="444">
        <f t="shared" si="127"/>
        <v>247.8</v>
      </c>
      <c r="EM69" s="444">
        <f t="shared" si="37"/>
        <v>234.89756748896318</v>
      </c>
      <c r="EN69" s="708">
        <f t="shared" si="38"/>
        <v>3.9466748804929006</v>
      </c>
      <c r="EO69" s="99">
        <f t="shared" si="128"/>
        <v>560</v>
      </c>
      <c r="EP69" s="444">
        <f t="shared" si="129"/>
        <v>3.1818181818181817</v>
      </c>
      <c r="EQ69" s="444">
        <f t="shared" si="39"/>
        <v>0.29606000000000005</v>
      </c>
      <c r="ER69" s="444">
        <f t="shared" si="40"/>
        <v>3.37769371073431</v>
      </c>
      <c r="ES69" s="444">
        <f t="shared" si="41"/>
        <v>0.8669804310131285</v>
      </c>
      <c r="ET69" s="444">
        <f t="shared" si="42"/>
        <v>0.6174679004688848</v>
      </c>
      <c r="EU69" s="708">
        <f t="shared" si="43"/>
        <v>0.6174679004688848</v>
      </c>
      <c r="EV69" s="99">
        <f t="shared" si="44"/>
        <v>1661</v>
      </c>
      <c r="EW69" s="444">
        <f t="shared" si="45"/>
        <v>1661</v>
      </c>
      <c r="EX69" s="712"/>
      <c r="EY69" s="99"/>
      <c r="EZ69" s="99"/>
      <c r="FA69" s="99"/>
      <c r="FB69" s="99"/>
      <c r="FC69" s="99"/>
      <c r="FD69" s="99"/>
      <c r="FE69" s="99"/>
      <c r="FF69" s="99"/>
      <c r="FG69" s="99"/>
      <c r="FH69" s="99"/>
      <c r="FI69" s="99"/>
      <c r="FJ69" s="99"/>
      <c r="FK69" s="99"/>
      <c r="FL69" s="99"/>
      <c r="FM69" s="99"/>
      <c r="FN69" s="99"/>
      <c r="FO69" s="393"/>
      <c r="FQ69" s="99"/>
      <c r="FR69" s="99"/>
      <c r="FS69" s="99"/>
      <c r="FT69" s="99"/>
      <c r="FU69" s="99"/>
      <c r="FV69" s="99"/>
      <c r="FW69" s="99"/>
      <c r="FX69" s="99"/>
      <c r="FY69" s="99"/>
      <c r="FZ69" s="99"/>
      <c r="GA69" s="99"/>
      <c r="GB69" s="99"/>
      <c r="GC69" s="99"/>
      <c r="GD69" s="99"/>
      <c r="GE69" s="99"/>
      <c r="GF69" s="99"/>
      <c r="GG69" s="99"/>
      <c r="GH69" s="99"/>
      <c r="GI69" s="99"/>
      <c r="GJ69" s="99"/>
      <c r="GK69" s="99"/>
      <c r="GL69" s="99"/>
      <c r="GM69" s="99"/>
      <c r="GN69" s="99"/>
      <c r="GO69" s="99"/>
      <c r="GP69" s="99"/>
      <c r="GQ69" s="99"/>
      <c r="GR69" s="99"/>
      <c r="GS69" s="99"/>
      <c r="GT69" s="99"/>
      <c r="GU69" s="99"/>
      <c r="GV69" s="99"/>
      <c r="GW69" s="99"/>
      <c r="GX69" s="99"/>
      <c r="GY69" s="99"/>
      <c r="GZ69" s="99"/>
      <c r="HA69" s="99"/>
      <c r="HB69" s="99"/>
      <c r="HC69" s="99"/>
      <c r="HD69" s="99"/>
      <c r="HE69" s="99"/>
      <c r="HF69" s="99"/>
      <c r="HG69" s="99"/>
      <c r="HH69" s="99"/>
      <c r="HI69" s="99"/>
      <c r="HJ69" s="99"/>
      <c r="HK69" s="99"/>
      <c r="HL69" s="99"/>
      <c r="HM69" s="99"/>
      <c r="HN69" s="99"/>
      <c r="HO69" s="99"/>
      <c r="HP69" s="99"/>
      <c r="HQ69" s="99"/>
      <c r="HR69" s="99"/>
      <c r="HS69" s="99"/>
      <c r="HT69" s="99"/>
      <c r="HU69" s="393"/>
    </row>
    <row r="70" spans="1:229" s="164" customFormat="1" ht="15" customHeight="1">
      <c r="A70" s="141" t="s">
        <v>92</v>
      </c>
      <c r="B70" s="141" t="s">
        <v>92</v>
      </c>
      <c r="C70" s="141" t="s">
        <v>42</v>
      </c>
      <c r="D70" s="141">
        <v>6.79</v>
      </c>
      <c r="E70" s="377" t="s">
        <v>51</v>
      </c>
      <c r="F70" s="141" t="s">
        <v>52</v>
      </c>
      <c r="G70" s="143">
        <f>186*8</f>
        <v>1488</v>
      </c>
      <c r="H70" s="143">
        <v>592</v>
      </c>
      <c r="I70" s="144">
        <f t="shared" si="80"/>
        <v>0.6021505376344086</v>
      </c>
      <c r="J70" s="142">
        <f t="shared" si="97"/>
        <v>176</v>
      </c>
      <c r="K70" s="142">
        <v>42</v>
      </c>
      <c r="L70" s="145">
        <f t="shared" si="130"/>
        <v>1300.95</v>
      </c>
      <c r="M70" s="145">
        <f t="shared" si="98"/>
        <v>325.2375</v>
      </c>
      <c r="N70" s="146">
        <f t="shared" si="99"/>
        <v>975.7125000000001</v>
      </c>
      <c r="O70" s="144">
        <f t="shared" si="100"/>
        <v>409.14877499999994</v>
      </c>
      <c r="P70" s="147">
        <f t="shared" si="131"/>
        <v>0.40914877499999996</v>
      </c>
      <c r="Q70" s="144">
        <f t="shared" si="132"/>
        <v>44.1</v>
      </c>
      <c r="R70" s="163">
        <v>75</v>
      </c>
      <c r="S70" s="146">
        <f t="shared" si="102"/>
        <v>975.7125000000001</v>
      </c>
      <c r="T70" s="148">
        <v>8</v>
      </c>
      <c r="U70" s="148">
        <v>0.6</v>
      </c>
      <c r="V70" s="149">
        <f t="shared" si="103"/>
        <v>0.086</v>
      </c>
      <c r="W70" s="149">
        <v>1</v>
      </c>
      <c r="X70" s="150">
        <f t="shared" si="120"/>
        <v>83.911275</v>
      </c>
      <c r="Y70" s="163">
        <v>15</v>
      </c>
      <c r="Z70" s="150">
        <f t="shared" si="107"/>
        <v>61.37231624999999</v>
      </c>
      <c r="AA70" s="148">
        <v>1</v>
      </c>
      <c r="AB70" s="146">
        <f t="shared" si="104"/>
        <v>4.09148775</v>
      </c>
      <c r="AC70" s="149" t="s">
        <v>47</v>
      </c>
      <c r="AD70" s="149">
        <v>20</v>
      </c>
      <c r="AE70" s="149" t="s">
        <v>46</v>
      </c>
      <c r="AF70" s="146">
        <v>0</v>
      </c>
      <c r="AG70" s="150">
        <f t="shared" si="121"/>
        <v>4.09148775</v>
      </c>
      <c r="AH70" s="150">
        <f t="shared" si="109"/>
        <v>66360</v>
      </c>
      <c r="AI70" s="150">
        <f t="shared" si="122"/>
        <v>54450</v>
      </c>
      <c r="AJ70" s="151">
        <f t="shared" si="28"/>
        <v>0.1794755877034358</v>
      </c>
      <c r="AK70" s="152">
        <v>30</v>
      </c>
      <c r="AL70" s="165">
        <v>3</v>
      </c>
      <c r="AM70" s="382">
        <f t="shared" si="81"/>
        <v>1.4865591397849462</v>
      </c>
      <c r="AN70" s="154">
        <f t="shared" si="82"/>
        <v>3.0658783783783785</v>
      </c>
      <c r="AO70" s="803">
        <f t="shared" si="29"/>
        <v>-1.062399198475148</v>
      </c>
      <c r="AP70" s="773">
        <v>2212</v>
      </c>
      <c r="AQ70" s="774"/>
      <c r="AR70" s="156">
        <v>2212</v>
      </c>
      <c r="AS70" s="155">
        <v>1815</v>
      </c>
      <c r="AT70" s="142"/>
      <c r="AU70" s="157">
        <v>1815</v>
      </c>
      <c r="AV70" s="144">
        <f t="shared" si="123"/>
        <v>-0.218732782369146</v>
      </c>
      <c r="AW70" s="147">
        <f>44+17</f>
        <v>61</v>
      </c>
      <c r="AX70" s="144">
        <f t="shared" si="30"/>
        <v>45.75</v>
      </c>
      <c r="AY70" s="142">
        <v>0</v>
      </c>
      <c r="AZ70" s="142">
        <v>6.6</v>
      </c>
      <c r="BA70" s="158">
        <v>1</v>
      </c>
      <c r="BB70" s="142">
        <v>0</v>
      </c>
      <c r="BC70" s="142">
        <v>0.35</v>
      </c>
      <c r="BD70" s="145">
        <f t="shared" si="83"/>
        <v>0.18496780063291138</v>
      </c>
      <c r="BE70" s="142">
        <v>9.6</v>
      </c>
      <c r="BF70" s="142">
        <v>8.44</v>
      </c>
      <c r="BG70" s="143">
        <f t="shared" si="31"/>
        <v>1.1600000000000001</v>
      </c>
      <c r="BH70" s="142">
        <v>1.6049</v>
      </c>
      <c r="BI70" s="142">
        <v>1.6049</v>
      </c>
      <c r="BJ70" s="150">
        <f t="shared" si="32"/>
        <v>0</v>
      </c>
      <c r="BK70" s="142">
        <v>0</v>
      </c>
      <c r="BL70" s="145">
        <v>0</v>
      </c>
      <c r="BM70" s="159">
        <f t="shared" si="33"/>
        <v>0</v>
      </c>
      <c r="BN70" s="96">
        <f t="shared" si="34"/>
        <v>0.003922534046448019</v>
      </c>
      <c r="BO70" s="142"/>
      <c r="BP70" s="142">
        <v>23.9</v>
      </c>
      <c r="BQ70" s="142">
        <v>3</v>
      </c>
      <c r="BR70" s="96">
        <f t="shared" si="134"/>
        <v>0.06292516339997413</v>
      </c>
      <c r="BS70" s="145">
        <f t="shared" si="84"/>
        <v>29.40540455426992</v>
      </c>
      <c r="BT70" s="145">
        <f t="shared" si="119"/>
        <v>0.896473864113022</v>
      </c>
      <c r="BU70" s="160">
        <f t="shared" si="133"/>
        <v>33.81818181818182</v>
      </c>
      <c r="BV70" s="142">
        <v>8</v>
      </c>
      <c r="BW70" s="142">
        <v>8</v>
      </c>
      <c r="BX70" s="161">
        <f t="shared" si="135"/>
        <v>1</v>
      </c>
      <c r="BY70" s="156">
        <f t="shared" si="85"/>
        <v>1.2</v>
      </c>
      <c r="BZ70" s="71">
        <f t="shared" si="20"/>
        <v>0.15</v>
      </c>
      <c r="CA70" s="719">
        <v>1.22</v>
      </c>
      <c r="CB70" s="720">
        <v>151.35</v>
      </c>
      <c r="CC70" s="142"/>
      <c r="CD70" s="162">
        <v>95</v>
      </c>
      <c r="CE70" s="159">
        <v>0</v>
      </c>
      <c r="CF70" s="163">
        <v>100</v>
      </c>
      <c r="CG70" s="142">
        <v>0</v>
      </c>
      <c r="CH70" s="142">
        <v>24</v>
      </c>
      <c r="CI70" s="143">
        <f t="shared" si="124"/>
        <v>24</v>
      </c>
      <c r="CJ70" s="145">
        <f t="shared" si="96"/>
        <v>33.81818181818182</v>
      </c>
      <c r="CK70" s="423" t="s">
        <v>45</v>
      </c>
      <c r="CL70" s="423">
        <v>1.24</v>
      </c>
      <c r="CM70" s="149" t="s">
        <v>43</v>
      </c>
      <c r="CN70" s="149">
        <v>4.05</v>
      </c>
      <c r="CO70" s="149" t="s">
        <v>42</v>
      </c>
      <c r="CP70" s="149">
        <v>0</v>
      </c>
      <c r="CQ70" s="149" t="s">
        <v>45</v>
      </c>
      <c r="CR70" s="149">
        <v>1.1</v>
      </c>
      <c r="CS70" s="141" t="s">
        <v>92</v>
      </c>
      <c r="CT70" s="149" t="s">
        <v>42</v>
      </c>
      <c r="CU70" s="149">
        <v>0</v>
      </c>
      <c r="CV70" s="149" t="s">
        <v>46</v>
      </c>
      <c r="CW70" s="432">
        <v>0.82</v>
      </c>
      <c r="CX70" s="793" t="s">
        <v>44</v>
      </c>
      <c r="CY70" s="793">
        <v>1</v>
      </c>
      <c r="CZ70" s="155" t="s">
        <v>42</v>
      </c>
      <c r="DA70" s="149">
        <v>1.24</v>
      </c>
      <c r="DB70" s="149" t="s">
        <v>45</v>
      </c>
      <c r="DC70" s="149">
        <v>1.23</v>
      </c>
      <c r="DD70" s="149" t="s">
        <v>44</v>
      </c>
      <c r="DE70" s="149">
        <v>1</v>
      </c>
      <c r="DF70" s="149" t="s">
        <v>44</v>
      </c>
      <c r="DG70" s="149">
        <v>1</v>
      </c>
      <c r="DH70" s="423" t="s">
        <v>44</v>
      </c>
      <c r="DI70" s="423">
        <v>1</v>
      </c>
      <c r="DJ70" s="423" t="s">
        <v>43</v>
      </c>
      <c r="DK70" s="423">
        <v>0.87</v>
      </c>
      <c r="DL70" s="423" t="s">
        <v>45</v>
      </c>
      <c r="DM70" s="149" t="s">
        <v>45</v>
      </c>
      <c r="DN70" s="146">
        <v>0.01</v>
      </c>
      <c r="DO70" s="149" t="s">
        <v>47</v>
      </c>
      <c r="DP70" s="146">
        <v>0.88</v>
      </c>
      <c r="DQ70" s="423" t="s">
        <v>46</v>
      </c>
      <c r="DR70" s="438">
        <v>1.29</v>
      </c>
      <c r="DS70" s="149" t="s">
        <v>45</v>
      </c>
      <c r="DT70" s="149" t="s">
        <v>45</v>
      </c>
      <c r="DU70" s="149">
        <v>0.81</v>
      </c>
      <c r="DV70" s="149" t="s">
        <v>45</v>
      </c>
      <c r="DW70" s="149">
        <v>0.85</v>
      </c>
      <c r="DX70" s="149" t="s">
        <v>45</v>
      </c>
      <c r="DY70" s="149">
        <v>0.84</v>
      </c>
      <c r="DZ70" s="149" t="s">
        <v>44</v>
      </c>
      <c r="EA70" s="149">
        <v>1</v>
      </c>
      <c r="EB70" s="149" t="s">
        <v>42</v>
      </c>
      <c r="EC70" s="424">
        <v>0.8</v>
      </c>
      <c r="ED70" s="424" t="s">
        <v>44</v>
      </c>
      <c r="EE70" s="424">
        <v>1</v>
      </c>
      <c r="EF70" s="149" t="s">
        <v>46</v>
      </c>
      <c r="EG70" s="99">
        <f t="shared" si="125"/>
        <v>0.005714858762849618</v>
      </c>
      <c r="EH70" s="99">
        <v>2.94</v>
      </c>
      <c r="EI70" s="99">
        <v>0.91</v>
      </c>
      <c r="EJ70" s="99">
        <f t="shared" si="126"/>
        <v>8.030000000000001</v>
      </c>
      <c r="EK70" s="99">
        <f t="shared" si="36"/>
        <v>0.9903000000000001</v>
      </c>
      <c r="EL70" s="444">
        <f t="shared" si="127"/>
        <v>1300.95</v>
      </c>
      <c r="EM70" s="444">
        <f t="shared" si="37"/>
        <v>1213.5349191926414</v>
      </c>
      <c r="EN70" s="708">
        <f t="shared" si="38"/>
        <v>20.389431160897885</v>
      </c>
      <c r="EO70" s="99">
        <f t="shared" si="128"/>
        <v>1488</v>
      </c>
      <c r="EP70" s="444">
        <f t="shared" si="129"/>
        <v>8.454545454545455</v>
      </c>
      <c r="EQ70" s="444">
        <f t="shared" si="39"/>
        <v>0.29606000000000005</v>
      </c>
      <c r="ER70" s="444">
        <f t="shared" si="40"/>
        <v>3.37769371073431</v>
      </c>
      <c r="ES70" s="444">
        <f t="shared" si="41"/>
        <v>2.3036908595491705</v>
      </c>
      <c r="ET70" s="444">
        <f t="shared" si="42"/>
        <v>16.755521062971575</v>
      </c>
      <c r="EU70" s="708">
        <f t="shared" si="43"/>
        <v>16.755521062971575</v>
      </c>
      <c r="EV70" s="99">
        <f t="shared" si="44"/>
        <v>2212</v>
      </c>
      <c r="EW70" s="444">
        <f t="shared" si="45"/>
        <v>1815</v>
      </c>
      <c r="EX70" s="712"/>
      <c r="EY70" s="99"/>
      <c r="EZ70" s="99"/>
      <c r="FA70" s="99"/>
      <c r="FB70" s="99"/>
      <c r="FC70" s="99"/>
      <c r="FD70" s="99"/>
      <c r="FE70" s="99"/>
      <c r="FF70" s="99"/>
      <c r="FG70" s="99"/>
      <c r="FH70" s="99"/>
      <c r="FI70" s="99"/>
      <c r="FJ70" s="99"/>
      <c r="FK70" s="99"/>
      <c r="FL70" s="99"/>
      <c r="FM70" s="99"/>
      <c r="FN70" s="99"/>
      <c r="FO70" s="393"/>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H70" s="99"/>
      <c r="HI70" s="99"/>
      <c r="HJ70" s="99"/>
      <c r="HK70" s="99"/>
      <c r="HL70" s="99"/>
      <c r="HM70" s="99"/>
      <c r="HN70" s="99"/>
      <c r="HO70" s="99"/>
      <c r="HP70" s="99"/>
      <c r="HQ70" s="99"/>
      <c r="HR70" s="99"/>
      <c r="HS70" s="99"/>
      <c r="HT70" s="99"/>
      <c r="HU70" s="393"/>
    </row>
    <row r="71" spans="1:229" s="164" customFormat="1" ht="13.5" customHeight="1">
      <c r="A71" s="141" t="s">
        <v>92</v>
      </c>
      <c r="B71" s="141" t="s">
        <v>92</v>
      </c>
      <c r="C71" s="141" t="s">
        <v>42</v>
      </c>
      <c r="D71" s="141">
        <v>6.79</v>
      </c>
      <c r="E71" s="377" t="s">
        <v>51</v>
      </c>
      <c r="F71" s="141" t="s">
        <v>52</v>
      </c>
      <c r="G71" s="143">
        <f>363*8</f>
        <v>2904</v>
      </c>
      <c r="H71" s="143">
        <v>2488</v>
      </c>
      <c r="I71" s="144">
        <f t="shared" si="80"/>
        <v>0.14325068870523416</v>
      </c>
      <c r="J71" s="142">
        <f t="shared" si="97"/>
        <v>176</v>
      </c>
      <c r="K71" s="142">
        <v>70</v>
      </c>
      <c r="L71" s="145">
        <f t="shared" si="130"/>
        <v>2168.25</v>
      </c>
      <c r="M71" s="145">
        <f t="shared" si="98"/>
        <v>542.0625</v>
      </c>
      <c r="N71" s="146">
        <f t="shared" si="99"/>
        <v>1626.1875</v>
      </c>
      <c r="O71" s="144">
        <f t="shared" si="100"/>
        <v>681.914625</v>
      </c>
      <c r="P71" s="147">
        <f t="shared" si="131"/>
        <v>0.681914625</v>
      </c>
      <c r="Q71" s="144">
        <f t="shared" si="132"/>
        <v>73.5</v>
      </c>
      <c r="R71" s="163">
        <v>75</v>
      </c>
      <c r="S71" s="146">
        <f t="shared" si="102"/>
        <v>1626.1875</v>
      </c>
      <c r="T71" s="148">
        <v>8</v>
      </c>
      <c r="U71" s="148">
        <v>0.6</v>
      </c>
      <c r="V71" s="149">
        <f t="shared" si="103"/>
        <v>0.086</v>
      </c>
      <c r="W71" s="149">
        <v>1</v>
      </c>
      <c r="X71" s="150">
        <f t="shared" si="120"/>
        <v>139.852125</v>
      </c>
      <c r="Y71" s="163">
        <v>15</v>
      </c>
      <c r="Z71" s="150">
        <f t="shared" si="107"/>
        <v>102.28719375</v>
      </c>
      <c r="AA71" s="148">
        <v>1</v>
      </c>
      <c r="AB71" s="146">
        <f t="shared" si="104"/>
        <v>6.81914625</v>
      </c>
      <c r="AC71" s="149" t="s">
        <v>47</v>
      </c>
      <c r="AD71" s="149">
        <v>20</v>
      </c>
      <c r="AE71" s="149" t="s">
        <v>46</v>
      </c>
      <c r="AF71" s="146">
        <v>0</v>
      </c>
      <c r="AG71" s="150">
        <f t="shared" si="121"/>
        <v>6.81914625</v>
      </c>
      <c r="AH71" s="150">
        <f t="shared" si="109"/>
        <v>487200</v>
      </c>
      <c r="AI71" s="150">
        <f t="shared" si="122"/>
        <v>336930</v>
      </c>
      <c r="AJ71" s="151">
        <f t="shared" si="28"/>
        <v>0.308435960591133</v>
      </c>
      <c r="AK71" s="152">
        <v>30</v>
      </c>
      <c r="AL71" s="165">
        <v>7</v>
      </c>
      <c r="AM71" s="382">
        <f t="shared" si="81"/>
        <v>5.59228650137741</v>
      </c>
      <c r="AN71" s="154">
        <f t="shared" si="82"/>
        <v>4.514067524115756</v>
      </c>
      <c r="AO71" s="803">
        <f t="shared" si="29"/>
        <v>0.19280467425910372</v>
      </c>
      <c r="AP71" s="773">
        <v>16240</v>
      </c>
      <c r="AQ71" s="774"/>
      <c r="AR71" s="156">
        <v>16240</v>
      </c>
      <c r="AS71" s="155">
        <v>11231</v>
      </c>
      <c r="AT71" s="142"/>
      <c r="AU71" s="157">
        <v>11231</v>
      </c>
      <c r="AV71" s="144">
        <f t="shared" si="123"/>
        <v>-0.44599768497907577</v>
      </c>
      <c r="AW71" s="147">
        <f>44+17</f>
        <v>61</v>
      </c>
      <c r="AX71" s="144">
        <f t="shared" si="30"/>
        <v>45.75</v>
      </c>
      <c r="AY71" s="142">
        <v>0</v>
      </c>
      <c r="AZ71" s="142">
        <v>15.9</v>
      </c>
      <c r="BA71" s="158">
        <v>3</v>
      </c>
      <c r="BB71" s="142">
        <v>11.9</v>
      </c>
      <c r="BC71" s="142">
        <v>0.52</v>
      </c>
      <c r="BD71" s="145">
        <f t="shared" si="83"/>
        <v>0.041989816810344825</v>
      </c>
      <c r="BE71" s="143">
        <v>80</v>
      </c>
      <c r="BF71" s="143">
        <v>80</v>
      </c>
      <c r="BG71" s="143">
        <f t="shared" si="31"/>
        <v>0</v>
      </c>
      <c r="BH71" s="142">
        <v>2.3324</v>
      </c>
      <c r="BI71" s="142">
        <v>2.3324</v>
      </c>
      <c r="BJ71" s="150">
        <f t="shared" si="32"/>
        <v>0</v>
      </c>
      <c r="BK71" s="142">
        <v>0.5217</v>
      </c>
      <c r="BL71" s="145">
        <v>0.5217</v>
      </c>
      <c r="BM71" s="159">
        <f t="shared" si="33"/>
        <v>0</v>
      </c>
      <c r="BN71" s="96">
        <f t="shared" si="34"/>
        <v>0.003420369522064437</v>
      </c>
      <c r="BO71" s="142"/>
      <c r="BP71" s="142">
        <v>8.7</v>
      </c>
      <c r="BQ71" s="142">
        <v>3</v>
      </c>
      <c r="BR71" s="96">
        <f t="shared" si="134"/>
        <v>0.21141365432725426</v>
      </c>
      <c r="BS71" s="145">
        <f t="shared" si="84"/>
        <v>87.62613149509116</v>
      </c>
      <c r="BT71" s="145">
        <f t="shared" si="119"/>
        <v>1</v>
      </c>
      <c r="BU71" s="160">
        <f t="shared" si="133"/>
        <v>66</v>
      </c>
      <c r="BV71" s="142">
        <v>54</v>
      </c>
      <c r="BW71" s="142">
        <v>54</v>
      </c>
      <c r="BX71" s="161">
        <f t="shared" si="135"/>
        <v>1</v>
      </c>
      <c r="BY71" s="156">
        <f t="shared" si="85"/>
        <v>8.1</v>
      </c>
      <c r="BZ71" s="71">
        <f t="shared" si="20"/>
        <v>0.15</v>
      </c>
      <c r="CA71" s="719">
        <v>1.25</v>
      </c>
      <c r="CB71" s="720">
        <v>15.43</v>
      </c>
      <c r="CC71" s="142"/>
      <c r="CD71" s="162">
        <v>95</v>
      </c>
      <c r="CE71" s="159">
        <v>0</v>
      </c>
      <c r="CF71" s="163">
        <v>100</v>
      </c>
      <c r="CG71" s="142">
        <v>0</v>
      </c>
      <c r="CH71" s="142">
        <v>24</v>
      </c>
      <c r="CI71" s="143">
        <f t="shared" si="124"/>
        <v>24</v>
      </c>
      <c r="CJ71" s="145">
        <f t="shared" si="96"/>
        <v>66</v>
      </c>
      <c r="CK71" s="423" t="s">
        <v>45</v>
      </c>
      <c r="CL71" s="423">
        <v>1.24</v>
      </c>
      <c r="CM71" s="149" t="s">
        <v>43</v>
      </c>
      <c r="CN71" s="149">
        <v>4.05</v>
      </c>
      <c r="CO71" s="149" t="s">
        <v>42</v>
      </c>
      <c r="CP71" s="149">
        <v>0</v>
      </c>
      <c r="CQ71" s="149" t="s">
        <v>45</v>
      </c>
      <c r="CR71" s="149">
        <v>1.1</v>
      </c>
      <c r="CS71" s="141" t="s">
        <v>92</v>
      </c>
      <c r="CT71" s="149" t="s">
        <v>42</v>
      </c>
      <c r="CU71" s="149">
        <v>0</v>
      </c>
      <c r="CV71" s="149" t="s">
        <v>46</v>
      </c>
      <c r="CW71" s="432">
        <v>0.82</v>
      </c>
      <c r="CX71" s="793" t="s">
        <v>44</v>
      </c>
      <c r="CY71" s="793">
        <v>1</v>
      </c>
      <c r="CZ71" s="155" t="s">
        <v>42</v>
      </c>
      <c r="DA71" s="149">
        <v>1.24</v>
      </c>
      <c r="DB71" s="149" t="s">
        <v>45</v>
      </c>
      <c r="DC71" s="149">
        <v>1.23</v>
      </c>
      <c r="DD71" s="149" t="s">
        <v>44</v>
      </c>
      <c r="DE71" s="149">
        <v>1</v>
      </c>
      <c r="DF71" s="149" t="s">
        <v>44</v>
      </c>
      <c r="DG71" s="149">
        <v>1</v>
      </c>
      <c r="DH71" s="423" t="s">
        <v>44</v>
      </c>
      <c r="DI71" s="423">
        <v>1</v>
      </c>
      <c r="DJ71" s="423" t="s">
        <v>43</v>
      </c>
      <c r="DK71" s="423">
        <v>0.87</v>
      </c>
      <c r="DL71" s="423" t="s">
        <v>45</v>
      </c>
      <c r="DM71" s="149" t="s">
        <v>45</v>
      </c>
      <c r="DN71" s="146">
        <v>0.01</v>
      </c>
      <c r="DO71" s="149" t="s">
        <v>47</v>
      </c>
      <c r="DP71" s="146">
        <v>0.88</v>
      </c>
      <c r="DQ71" s="423" t="s">
        <v>43</v>
      </c>
      <c r="DR71" s="438">
        <v>1.12</v>
      </c>
      <c r="DS71" s="149" t="s">
        <v>45</v>
      </c>
      <c r="DT71" s="149" t="s">
        <v>45</v>
      </c>
      <c r="DU71" s="149">
        <v>0.81</v>
      </c>
      <c r="DV71" s="149" t="s">
        <v>45</v>
      </c>
      <c r="DW71" s="149">
        <v>0.85</v>
      </c>
      <c r="DX71" s="149" t="s">
        <v>45</v>
      </c>
      <c r="DY71" s="149">
        <v>0.84</v>
      </c>
      <c r="DZ71" s="149" t="s">
        <v>44</v>
      </c>
      <c r="EA71" s="149">
        <v>1</v>
      </c>
      <c r="EB71" s="149" t="s">
        <v>42</v>
      </c>
      <c r="EC71" s="424">
        <v>0.8</v>
      </c>
      <c r="ED71" s="424" t="s">
        <v>44</v>
      </c>
      <c r="EE71" s="424">
        <v>1</v>
      </c>
      <c r="EF71" s="149" t="s">
        <v>46</v>
      </c>
      <c r="EG71" s="99">
        <f t="shared" si="125"/>
        <v>0.004961737840613624</v>
      </c>
      <c r="EH71" s="99">
        <v>2.94</v>
      </c>
      <c r="EI71" s="99">
        <v>0.91</v>
      </c>
      <c r="EJ71" s="99">
        <f t="shared" si="126"/>
        <v>8.030000000000001</v>
      </c>
      <c r="EK71" s="99">
        <f t="shared" si="36"/>
        <v>0.9903000000000001</v>
      </c>
      <c r="EL71" s="444">
        <f t="shared" si="127"/>
        <v>2168.25</v>
      </c>
      <c r="EM71" s="444">
        <f t="shared" si="37"/>
        <v>2012.5611935629342</v>
      </c>
      <c r="EN71" s="708">
        <f t="shared" si="38"/>
        <v>29.358255030116087</v>
      </c>
      <c r="EO71" s="99">
        <f t="shared" si="128"/>
        <v>2904</v>
      </c>
      <c r="EP71" s="444">
        <f t="shared" si="129"/>
        <v>16.5</v>
      </c>
      <c r="EQ71" s="444">
        <f t="shared" si="39"/>
        <v>0.29606000000000005</v>
      </c>
      <c r="ER71" s="444">
        <f t="shared" si="40"/>
        <v>3.37769371073431</v>
      </c>
      <c r="ES71" s="444">
        <f t="shared" si="41"/>
        <v>4.4959128065395095</v>
      </c>
      <c r="ET71" s="444">
        <f t="shared" si="42"/>
        <v>160.33149694372332</v>
      </c>
      <c r="EU71" s="708">
        <f t="shared" si="43"/>
        <v>160.33149694372332</v>
      </c>
      <c r="EV71" s="99">
        <f t="shared" si="44"/>
        <v>16240</v>
      </c>
      <c r="EW71" s="444">
        <f t="shared" si="45"/>
        <v>11231</v>
      </c>
      <c r="EX71" s="712"/>
      <c r="EY71" s="99"/>
      <c r="EZ71" s="99"/>
      <c r="FA71" s="99"/>
      <c r="FB71" s="99"/>
      <c r="FC71" s="99"/>
      <c r="FD71" s="99"/>
      <c r="FE71" s="99"/>
      <c r="FF71" s="99"/>
      <c r="FG71" s="99"/>
      <c r="FH71" s="99"/>
      <c r="FI71" s="99"/>
      <c r="FJ71" s="99"/>
      <c r="FK71" s="99"/>
      <c r="FL71" s="99"/>
      <c r="FM71" s="99"/>
      <c r="FN71" s="99"/>
      <c r="FO71" s="393"/>
      <c r="FQ71" s="99"/>
      <c r="FR71" s="99"/>
      <c r="FS71" s="99"/>
      <c r="FT71" s="99"/>
      <c r="FU71" s="99"/>
      <c r="FV71" s="99"/>
      <c r="FW71" s="99"/>
      <c r="FX71" s="99"/>
      <c r="FY71" s="99"/>
      <c r="FZ71" s="99"/>
      <c r="GA71" s="99"/>
      <c r="GB71" s="99"/>
      <c r="GC71" s="99"/>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H71" s="99"/>
      <c r="HI71" s="99"/>
      <c r="HJ71" s="99"/>
      <c r="HK71" s="99"/>
      <c r="HL71" s="99"/>
      <c r="HM71" s="99"/>
      <c r="HN71" s="99"/>
      <c r="HO71" s="99"/>
      <c r="HP71" s="99"/>
      <c r="HQ71" s="99"/>
      <c r="HR71" s="99"/>
      <c r="HS71" s="99"/>
      <c r="HT71" s="99"/>
      <c r="HU71" s="393"/>
    </row>
    <row r="72" spans="1:229" s="164" customFormat="1" ht="13.5" customHeight="1">
      <c r="A72" s="141" t="s">
        <v>92</v>
      </c>
      <c r="B72" s="141" t="s">
        <v>92</v>
      </c>
      <c r="C72" s="141" t="s">
        <v>42</v>
      </c>
      <c r="D72" s="141">
        <v>6.79</v>
      </c>
      <c r="E72" s="377" t="s">
        <v>51</v>
      </c>
      <c r="F72" s="141" t="s">
        <v>52</v>
      </c>
      <c r="G72" s="143">
        <f>398*8</f>
        <v>3184</v>
      </c>
      <c r="H72" s="143">
        <v>2920</v>
      </c>
      <c r="I72" s="144">
        <f t="shared" si="80"/>
        <v>0.0829145728643216</v>
      </c>
      <c r="J72" s="142">
        <f t="shared" si="97"/>
        <v>176</v>
      </c>
      <c r="K72" s="142">
        <v>101</v>
      </c>
      <c r="L72" s="145">
        <f t="shared" si="130"/>
        <v>3128.4750000000004</v>
      </c>
      <c r="M72" s="145">
        <f t="shared" si="98"/>
        <v>782.1187500000001</v>
      </c>
      <c r="N72" s="146">
        <f t="shared" si="99"/>
        <v>2346.3562500000003</v>
      </c>
      <c r="O72" s="144">
        <f t="shared" si="100"/>
        <v>983.9053875000001</v>
      </c>
      <c r="P72" s="147">
        <f t="shared" si="131"/>
        <v>0.9839053875000001</v>
      </c>
      <c r="Q72" s="144">
        <f t="shared" si="132"/>
        <v>106.05000000000001</v>
      </c>
      <c r="R72" s="163">
        <v>75</v>
      </c>
      <c r="S72" s="146">
        <f t="shared" si="102"/>
        <v>2346.3562500000003</v>
      </c>
      <c r="T72" s="148">
        <v>8</v>
      </c>
      <c r="U72" s="148">
        <v>0.6</v>
      </c>
      <c r="V72" s="149">
        <f t="shared" si="103"/>
        <v>0.086</v>
      </c>
      <c r="W72" s="149">
        <v>1</v>
      </c>
      <c r="X72" s="150">
        <f t="shared" si="120"/>
        <v>201.7866375</v>
      </c>
      <c r="Y72" s="163">
        <v>15</v>
      </c>
      <c r="Z72" s="150">
        <f t="shared" si="107"/>
        <v>147.585808125</v>
      </c>
      <c r="AA72" s="148">
        <v>1</v>
      </c>
      <c r="AB72" s="146">
        <f t="shared" si="104"/>
        <v>9.839053875000001</v>
      </c>
      <c r="AC72" s="149" t="s">
        <v>47</v>
      </c>
      <c r="AD72" s="149">
        <v>20</v>
      </c>
      <c r="AE72" s="149" t="s">
        <v>46</v>
      </c>
      <c r="AF72" s="146">
        <v>0</v>
      </c>
      <c r="AG72" s="150">
        <f t="shared" si="121"/>
        <v>9.839053875000001</v>
      </c>
      <c r="AH72" s="150">
        <f t="shared" si="109"/>
        <v>364470</v>
      </c>
      <c r="AI72" s="150">
        <f t="shared" si="122"/>
        <v>267960</v>
      </c>
      <c r="AJ72" s="151">
        <f t="shared" si="28"/>
        <v>0.2647954564161659</v>
      </c>
      <c r="AK72" s="152">
        <v>30</v>
      </c>
      <c r="AL72" s="153">
        <v>17</v>
      </c>
      <c r="AM72" s="382">
        <f t="shared" si="81"/>
        <v>3.815640703517588</v>
      </c>
      <c r="AN72" s="154">
        <f t="shared" si="82"/>
        <v>3.058904109589041</v>
      </c>
      <c r="AO72" s="803">
        <f t="shared" si="29"/>
        <v>0.19832490864009328</v>
      </c>
      <c r="AP72" s="773">
        <v>12149</v>
      </c>
      <c r="AQ72" s="774"/>
      <c r="AR72" s="156">
        <v>12149</v>
      </c>
      <c r="AS72" s="155">
        <v>8932</v>
      </c>
      <c r="AT72" s="142"/>
      <c r="AU72" s="157">
        <v>8932</v>
      </c>
      <c r="AV72" s="144">
        <f t="shared" si="123"/>
        <v>-0.36016569637259294</v>
      </c>
      <c r="AW72" s="147">
        <f>44+18</f>
        <v>62</v>
      </c>
      <c r="AX72" s="144">
        <f t="shared" si="30"/>
        <v>46.5</v>
      </c>
      <c r="AY72" s="142">
        <v>0</v>
      </c>
      <c r="AZ72" s="142">
        <v>3.9</v>
      </c>
      <c r="BA72" s="158">
        <v>4</v>
      </c>
      <c r="BB72" s="142">
        <v>19</v>
      </c>
      <c r="BC72" s="142">
        <v>0.67</v>
      </c>
      <c r="BD72" s="145">
        <f t="shared" si="83"/>
        <v>0.08098653284220925</v>
      </c>
      <c r="BE72" s="143">
        <v>90</v>
      </c>
      <c r="BF72" s="143">
        <v>90</v>
      </c>
      <c r="BG72" s="143">
        <f t="shared" si="31"/>
        <v>0</v>
      </c>
      <c r="BH72" s="142">
        <v>3.8693</v>
      </c>
      <c r="BI72" s="142">
        <v>3.8693</v>
      </c>
      <c r="BJ72" s="150">
        <f t="shared" si="32"/>
        <v>0</v>
      </c>
      <c r="BK72" s="142">
        <v>6.3</v>
      </c>
      <c r="BL72" s="145">
        <v>6.3</v>
      </c>
      <c r="BM72" s="159">
        <f t="shared" si="33"/>
        <v>0</v>
      </c>
      <c r="BN72" s="96">
        <f t="shared" si="34"/>
        <v>0.003932593569623075</v>
      </c>
      <c r="BO72" s="142"/>
      <c r="BP72" s="142">
        <v>0</v>
      </c>
      <c r="BQ72" s="142">
        <v>3</v>
      </c>
      <c r="BR72" s="96">
        <f t="shared" si="134"/>
        <v>1</v>
      </c>
      <c r="BS72" s="145">
        <f t="shared" si="84"/>
        <v>97.09215822924067</v>
      </c>
      <c r="BT72" s="145">
        <f t="shared" si="119"/>
        <v>1</v>
      </c>
      <c r="BU72" s="160">
        <f t="shared" si="133"/>
        <v>72.36363636363636</v>
      </c>
      <c r="BV72" s="142">
        <v>64</v>
      </c>
      <c r="BW72" s="142">
        <v>64</v>
      </c>
      <c r="BX72" s="161">
        <f>BV72/BW72</f>
        <v>1</v>
      </c>
      <c r="BY72" s="156">
        <f t="shared" si="85"/>
        <v>9.6</v>
      </c>
      <c r="BZ72" s="71">
        <f t="shared" si="20"/>
        <v>0.15</v>
      </c>
      <c r="CA72" s="719">
        <v>1.36</v>
      </c>
      <c r="CB72" s="720">
        <v>9.04</v>
      </c>
      <c r="CC72" s="142"/>
      <c r="CD72" s="162">
        <v>95</v>
      </c>
      <c r="CE72" s="159">
        <v>0</v>
      </c>
      <c r="CF72" s="163">
        <v>100</v>
      </c>
      <c r="CG72" s="142">
        <v>0</v>
      </c>
      <c r="CH72" s="142">
        <v>24</v>
      </c>
      <c r="CI72" s="143">
        <f t="shared" si="124"/>
        <v>24</v>
      </c>
      <c r="CJ72" s="145">
        <f t="shared" si="96"/>
        <v>72.36363636363636</v>
      </c>
      <c r="CK72" s="423" t="s">
        <v>45</v>
      </c>
      <c r="CL72" s="423">
        <v>1.24</v>
      </c>
      <c r="CM72" s="149" t="s">
        <v>43</v>
      </c>
      <c r="CN72" s="149">
        <v>4.05</v>
      </c>
      <c r="CO72" s="149" t="s">
        <v>42</v>
      </c>
      <c r="CP72" s="149">
        <v>0</v>
      </c>
      <c r="CQ72" s="149" t="s">
        <v>45</v>
      </c>
      <c r="CR72" s="149">
        <v>1.1</v>
      </c>
      <c r="CS72" s="141" t="s">
        <v>92</v>
      </c>
      <c r="CT72" s="149" t="s">
        <v>42</v>
      </c>
      <c r="CU72" s="149">
        <v>0</v>
      </c>
      <c r="CV72" s="149" t="s">
        <v>46</v>
      </c>
      <c r="CW72" s="432">
        <v>0.82</v>
      </c>
      <c r="CX72" s="793" t="s">
        <v>44</v>
      </c>
      <c r="CY72" s="793">
        <v>1</v>
      </c>
      <c r="CZ72" s="155" t="s">
        <v>42</v>
      </c>
      <c r="DA72" s="149">
        <v>1.24</v>
      </c>
      <c r="DB72" s="149" t="s">
        <v>45</v>
      </c>
      <c r="DC72" s="149">
        <v>1.23</v>
      </c>
      <c r="DD72" s="149" t="s">
        <v>44</v>
      </c>
      <c r="DE72" s="149">
        <v>1</v>
      </c>
      <c r="DF72" s="149" t="s">
        <v>44</v>
      </c>
      <c r="DG72" s="149">
        <v>1</v>
      </c>
      <c r="DH72" s="423" t="s">
        <v>44</v>
      </c>
      <c r="DI72" s="423">
        <v>1</v>
      </c>
      <c r="DJ72" s="423" t="s">
        <v>43</v>
      </c>
      <c r="DK72" s="423">
        <v>0.87</v>
      </c>
      <c r="DL72" s="423" t="s">
        <v>45</v>
      </c>
      <c r="DM72" s="149" t="s">
        <v>45</v>
      </c>
      <c r="DN72" s="146">
        <v>0.01</v>
      </c>
      <c r="DO72" s="149" t="s">
        <v>47</v>
      </c>
      <c r="DP72" s="146">
        <v>0.88</v>
      </c>
      <c r="DQ72" s="423" t="s">
        <v>46</v>
      </c>
      <c r="DR72" s="438">
        <v>1.29</v>
      </c>
      <c r="DS72" s="149" t="s">
        <v>45</v>
      </c>
      <c r="DT72" s="149" t="s">
        <v>45</v>
      </c>
      <c r="DU72" s="149">
        <v>0.81</v>
      </c>
      <c r="DV72" s="149" t="s">
        <v>45</v>
      </c>
      <c r="DW72" s="149">
        <v>0.85</v>
      </c>
      <c r="DX72" s="149" t="s">
        <v>45</v>
      </c>
      <c r="DY72" s="149">
        <v>0.84</v>
      </c>
      <c r="DZ72" s="149" t="s">
        <v>44</v>
      </c>
      <c r="EA72" s="149">
        <v>1</v>
      </c>
      <c r="EB72" s="149" t="s">
        <v>42</v>
      </c>
      <c r="EC72" s="424">
        <v>0.8</v>
      </c>
      <c r="ED72" s="424" t="s">
        <v>44</v>
      </c>
      <c r="EE72" s="424">
        <v>1</v>
      </c>
      <c r="EF72" s="149" t="s">
        <v>46</v>
      </c>
      <c r="EG72" s="99">
        <f t="shared" si="125"/>
        <v>0.005714858762849618</v>
      </c>
      <c r="EH72" s="99">
        <v>2.94</v>
      </c>
      <c r="EI72" s="99">
        <v>0.91</v>
      </c>
      <c r="EJ72" s="99">
        <f t="shared" si="126"/>
        <v>8.030000000000001</v>
      </c>
      <c r="EK72" s="99">
        <f t="shared" si="36"/>
        <v>0.9903000000000001</v>
      </c>
      <c r="EL72" s="444">
        <f t="shared" si="127"/>
        <v>3128.4750000000004</v>
      </c>
      <c r="EM72" s="444">
        <f t="shared" si="37"/>
        <v>2893.5298153051413</v>
      </c>
      <c r="EN72" s="708">
        <f t="shared" si="38"/>
        <v>48.61617580845587</v>
      </c>
      <c r="EO72" s="99">
        <f t="shared" si="128"/>
        <v>3184</v>
      </c>
      <c r="EP72" s="444">
        <f t="shared" si="129"/>
        <v>18.09090909090909</v>
      </c>
      <c r="EQ72" s="444">
        <f t="shared" si="39"/>
        <v>0.29606000000000005</v>
      </c>
      <c r="ER72" s="444">
        <f t="shared" si="40"/>
        <v>3.37769371073431</v>
      </c>
      <c r="ES72" s="444">
        <f t="shared" si="41"/>
        <v>4.929403022046074</v>
      </c>
      <c r="ET72" s="444">
        <f t="shared" si="42"/>
        <v>218.79986068613445</v>
      </c>
      <c r="EU72" s="708">
        <f t="shared" si="43"/>
        <v>218.79986068613445</v>
      </c>
      <c r="EV72" s="99">
        <f t="shared" si="44"/>
        <v>12149</v>
      </c>
      <c r="EW72" s="444">
        <f t="shared" si="45"/>
        <v>8932</v>
      </c>
      <c r="EX72" s="712"/>
      <c r="EY72" s="99"/>
      <c r="EZ72" s="99"/>
      <c r="FA72" s="99"/>
      <c r="FB72" s="99"/>
      <c r="FC72" s="99"/>
      <c r="FD72" s="99"/>
      <c r="FE72" s="99"/>
      <c r="FF72" s="99"/>
      <c r="FG72" s="99"/>
      <c r="FH72" s="99"/>
      <c r="FI72" s="99"/>
      <c r="FJ72" s="99"/>
      <c r="FK72" s="99"/>
      <c r="FL72" s="99"/>
      <c r="FM72" s="99"/>
      <c r="FN72" s="99"/>
      <c r="FO72" s="393"/>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99"/>
      <c r="HO72" s="99"/>
      <c r="HP72" s="99"/>
      <c r="HQ72" s="99"/>
      <c r="HR72" s="99"/>
      <c r="HS72" s="99"/>
      <c r="HT72" s="99"/>
      <c r="HU72" s="393"/>
    </row>
    <row r="73" spans="1:229" s="164" customFormat="1" ht="14.25" customHeight="1">
      <c r="A73" s="141" t="s">
        <v>92</v>
      </c>
      <c r="B73" s="141" t="s">
        <v>92</v>
      </c>
      <c r="C73" s="141" t="s">
        <v>42</v>
      </c>
      <c r="D73" s="141">
        <v>6.79</v>
      </c>
      <c r="E73" s="377" t="s">
        <v>51</v>
      </c>
      <c r="F73" s="141" t="s">
        <v>52</v>
      </c>
      <c r="G73" s="143">
        <f>254*8</f>
        <v>2032</v>
      </c>
      <c r="H73" s="143">
        <v>2440</v>
      </c>
      <c r="I73" s="144">
        <f t="shared" si="80"/>
        <v>-0.20078740157480315</v>
      </c>
      <c r="J73" s="142">
        <f t="shared" si="97"/>
        <v>176</v>
      </c>
      <c r="K73" s="142">
        <v>67.3</v>
      </c>
      <c r="L73" s="145">
        <f t="shared" si="130"/>
        <v>2084.6175000000003</v>
      </c>
      <c r="M73" s="145">
        <f t="shared" si="98"/>
        <v>521.1543750000001</v>
      </c>
      <c r="N73" s="146">
        <f t="shared" si="99"/>
        <v>1563.4631250000002</v>
      </c>
      <c r="O73" s="144">
        <f t="shared" si="100"/>
        <v>655.61220375</v>
      </c>
      <c r="P73" s="147">
        <f t="shared" si="131"/>
        <v>0.6556122037500001</v>
      </c>
      <c r="Q73" s="144">
        <f t="shared" si="132"/>
        <v>70.665</v>
      </c>
      <c r="R73" s="163">
        <v>75</v>
      </c>
      <c r="S73" s="146">
        <f t="shared" si="102"/>
        <v>1563.4631250000002</v>
      </c>
      <c r="T73" s="148">
        <v>8</v>
      </c>
      <c r="U73" s="148">
        <v>0.6</v>
      </c>
      <c r="V73" s="149">
        <f>(T73+U73+(0.02*AD73*AF73))/100</f>
        <v>0.086</v>
      </c>
      <c r="W73" s="149">
        <v>1</v>
      </c>
      <c r="X73" s="150">
        <f t="shared" si="120"/>
        <v>134.45782875</v>
      </c>
      <c r="Y73" s="163">
        <v>15</v>
      </c>
      <c r="Z73" s="150">
        <f t="shared" si="107"/>
        <v>98.34183056250001</v>
      </c>
      <c r="AA73" s="148">
        <v>1</v>
      </c>
      <c r="AB73" s="146">
        <f t="shared" si="104"/>
        <v>6.556122037500001</v>
      </c>
      <c r="AC73" s="149" t="s">
        <v>47</v>
      </c>
      <c r="AD73" s="149">
        <v>20</v>
      </c>
      <c r="AE73" s="149" t="s">
        <v>46</v>
      </c>
      <c r="AF73" s="146">
        <v>0</v>
      </c>
      <c r="AG73" s="150">
        <f t="shared" si="121"/>
        <v>6.556122037500001</v>
      </c>
      <c r="AH73" s="150">
        <f t="shared" si="109"/>
        <v>128580</v>
      </c>
      <c r="AI73" s="150">
        <f t="shared" si="122"/>
        <v>125130</v>
      </c>
      <c r="AJ73" s="151">
        <f t="shared" si="28"/>
        <v>0.026831544563695752</v>
      </c>
      <c r="AK73" s="152">
        <v>30</v>
      </c>
      <c r="AL73" s="165">
        <v>4</v>
      </c>
      <c r="AM73" s="382">
        <f t="shared" si="81"/>
        <v>2.109251968503937</v>
      </c>
      <c r="AN73" s="154">
        <f t="shared" si="82"/>
        <v>1.7094262295081968</v>
      </c>
      <c r="AO73" s="803">
        <f t="shared" si="29"/>
        <v>0.18955807317763512</v>
      </c>
      <c r="AP73" s="773">
        <v>4286</v>
      </c>
      <c r="AQ73" s="774"/>
      <c r="AR73" s="156">
        <v>4286</v>
      </c>
      <c r="AS73" s="155">
        <v>4171</v>
      </c>
      <c r="AT73" s="142"/>
      <c r="AU73" s="157">
        <v>4171</v>
      </c>
      <c r="AV73" s="144">
        <f t="shared" si="123"/>
        <v>-0.02757132582114601</v>
      </c>
      <c r="AW73" s="147">
        <f>44+19</f>
        <v>63</v>
      </c>
      <c r="AX73" s="144">
        <f t="shared" si="30"/>
        <v>47.25</v>
      </c>
      <c r="AY73" s="142">
        <v>2.8</v>
      </c>
      <c r="AZ73" s="142">
        <v>4.4</v>
      </c>
      <c r="BA73" s="158">
        <v>22</v>
      </c>
      <c r="BB73" s="142">
        <v>24.9</v>
      </c>
      <c r="BC73" s="142">
        <v>1.38</v>
      </c>
      <c r="BD73" s="145">
        <f t="shared" si="83"/>
        <v>0.1529659831427905</v>
      </c>
      <c r="BE73" s="142">
        <v>1.5</v>
      </c>
      <c r="BF73" s="142">
        <v>1.41</v>
      </c>
      <c r="BG73" s="143">
        <f t="shared" si="31"/>
        <v>0.09000000000000008</v>
      </c>
      <c r="BH73" s="142">
        <v>0.9866</v>
      </c>
      <c r="BI73" s="142">
        <v>0.9866</v>
      </c>
      <c r="BJ73" s="150">
        <f t="shared" si="32"/>
        <v>0</v>
      </c>
      <c r="BK73" s="142">
        <v>3</v>
      </c>
      <c r="BL73" s="145">
        <v>3</v>
      </c>
      <c r="BM73" s="159">
        <f t="shared" si="33"/>
        <v>0</v>
      </c>
      <c r="BN73" s="96">
        <f t="shared" si="34"/>
        <v>0.0015048530127364944</v>
      </c>
      <c r="BO73" s="142"/>
      <c r="BP73" s="142">
        <v>6.5</v>
      </c>
      <c r="BQ73" s="142">
        <v>3</v>
      </c>
      <c r="BR73" s="96">
        <f t="shared" si="134"/>
        <v>0.13178211738305773</v>
      </c>
      <c r="BS73" s="145">
        <f t="shared" si="84"/>
        <v>36.610038300882124</v>
      </c>
      <c r="BT73" s="145">
        <f t="shared" si="119"/>
        <v>0.983596398498159</v>
      </c>
      <c r="BU73" s="160">
        <f t="shared" si="133"/>
        <v>46.18181818181818</v>
      </c>
      <c r="BV73" s="142">
        <v>27</v>
      </c>
      <c r="BW73" s="142">
        <v>27</v>
      </c>
      <c r="BX73" s="161">
        <f>BV73/BW73</f>
        <v>1</v>
      </c>
      <c r="BY73" s="156">
        <f t="shared" si="85"/>
        <v>4.05</v>
      </c>
      <c r="BZ73" s="71">
        <f t="shared" si="20"/>
        <v>0.15</v>
      </c>
      <c r="CA73" s="719">
        <v>1.03</v>
      </c>
      <c r="CB73" s="720">
        <v>13.31</v>
      </c>
      <c r="CC73" s="142"/>
      <c r="CD73" s="162">
        <v>95</v>
      </c>
      <c r="CE73" s="159">
        <v>0</v>
      </c>
      <c r="CF73" s="163">
        <v>100</v>
      </c>
      <c r="CG73" s="142">
        <v>0</v>
      </c>
      <c r="CH73" s="142">
        <v>24</v>
      </c>
      <c r="CI73" s="143">
        <f t="shared" si="124"/>
        <v>24</v>
      </c>
      <c r="CJ73" s="145">
        <f t="shared" si="96"/>
        <v>46.18181818181818</v>
      </c>
      <c r="CK73" s="423" t="s">
        <v>45</v>
      </c>
      <c r="CL73" s="423">
        <v>1.24</v>
      </c>
      <c r="CM73" s="149" t="s">
        <v>43</v>
      </c>
      <c r="CN73" s="149">
        <v>4.05</v>
      </c>
      <c r="CO73" s="149" t="s">
        <v>42</v>
      </c>
      <c r="CP73" s="149">
        <v>0</v>
      </c>
      <c r="CQ73" s="149" t="s">
        <v>45</v>
      </c>
      <c r="CR73" s="149">
        <v>1.1</v>
      </c>
      <c r="CS73" s="141" t="s">
        <v>92</v>
      </c>
      <c r="CT73" s="149" t="s">
        <v>42</v>
      </c>
      <c r="CU73" s="149">
        <v>0</v>
      </c>
      <c r="CV73" s="149" t="s">
        <v>46</v>
      </c>
      <c r="CW73" s="432">
        <v>0.82</v>
      </c>
      <c r="CX73" s="793" t="s">
        <v>44</v>
      </c>
      <c r="CY73" s="793">
        <v>1</v>
      </c>
      <c r="CZ73" s="155" t="s">
        <v>42</v>
      </c>
      <c r="DA73" s="149">
        <v>1.24</v>
      </c>
      <c r="DB73" s="149" t="s">
        <v>45</v>
      </c>
      <c r="DC73" s="149">
        <v>1.23</v>
      </c>
      <c r="DD73" s="149" t="s">
        <v>44</v>
      </c>
      <c r="DE73" s="149">
        <v>1</v>
      </c>
      <c r="DF73" s="149" t="s">
        <v>44</v>
      </c>
      <c r="DG73" s="149">
        <v>1</v>
      </c>
      <c r="DH73" s="423" t="s">
        <v>44</v>
      </c>
      <c r="DI73" s="423">
        <v>1</v>
      </c>
      <c r="DJ73" s="423" t="s">
        <v>43</v>
      </c>
      <c r="DK73" s="423">
        <v>0.87</v>
      </c>
      <c r="DL73" s="423" t="s">
        <v>45</v>
      </c>
      <c r="DM73" s="149" t="s">
        <v>45</v>
      </c>
      <c r="DN73" s="146">
        <v>0.01</v>
      </c>
      <c r="DO73" s="149" t="s">
        <v>47</v>
      </c>
      <c r="DP73" s="146">
        <v>0.88</v>
      </c>
      <c r="DQ73" s="423" t="s">
        <v>43</v>
      </c>
      <c r="DR73" s="438">
        <v>1.12</v>
      </c>
      <c r="DS73" s="149" t="s">
        <v>45</v>
      </c>
      <c r="DT73" s="149" t="s">
        <v>45</v>
      </c>
      <c r="DU73" s="149">
        <v>0.81</v>
      </c>
      <c r="DV73" s="149" t="s">
        <v>45</v>
      </c>
      <c r="DW73" s="149">
        <v>0.85</v>
      </c>
      <c r="DX73" s="149" t="s">
        <v>45</v>
      </c>
      <c r="DY73" s="149">
        <v>0.84</v>
      </c>
      <c r="DZ73" s="149" t="s">
        <v>44</v>
      </c>
      <c r="EA73" s="149">
        <v>1</v>
      </c>
      <c r="EB73" s="149" t="s">
        <v>42</v>
      </c>
      <c r="EC73" s="424">
        <v>0.8</v>
      </c>
      <c r="ED73" s="424" t="s">
        <v>44</v>
      </c>
      <c r="EE73" s="424">
        <v>1</v>
      </c>
      <c r="EF73" s="149" t="s">
        <v>46</v>
      </c>
      <c r="EG73" s="99">
        <f t="shared" si="125"/>
        <v>0.004961737840613624</v>
      </c>
      <c r="EH73" s="99">
        <v>2.94</v>
      </c>
      <c r="EI73" s="99">
        <v>0.91</v>
      </c>
      <c r="EJ73" s="99">
        <f t="shared" si="126"/>
        <v>8.030000000000001</v>
      </c>
      <c r="EK73" s="99">
        <f t="shared" si="36"/>
        <v>0.9903000000000001</v>
      </c>
      <c r="EL73" s="444">
        <f t="shared" si="127"/>
        <v>2084.6175000000003</v>
      </c>
      <c r="EM73" s="444">
        <f t="shared" si="37"/>
        <v>1935.6722472395331</v>
      </c>
      <c r="EN73" s="708">
        <f t="shared" si="38"/>
        <v>28.236636814292766</v>
      </c>
      <c r="EO73" s="99">
        <f t="shared" si="128"/>
        <v>2032</v>
      </c>
      <c r="EP73" s="444">
        <f t="shared" si="129"/>
        <v>11.545454545454545</v>
      </c>
      <c r="EQ73" s="444">
        <f t="shared" si="39"/>
        <v>0.29606000000000005</v>
      </c>
      <c r="ER73" s="444">
        <f t="shared" si="40"/>
        <v>3.37769371073431</v>
      </c>
      <c r="ES73" s="444">
        <f t="shared" si="41"/>
        <v>3.1459004211047805</v>
      </c>
      <c r="ET73" s="444">
        <f t="shared" si="42"/>
        <v>47.99876463998992</v>
      </c>
      <c r="EU73" s="708">
        <f t="shared" si="43"/>
        <v>47.99876463998992</v>
      </c>
      <c r="EV73" s="99">
        <f t="shared" si="44"/>
        <v>4286</v>
      </c>
      <c r="EW73" s="444">
        <f t="shared" si="45"/>
        <v>4171</v>
      </c>
      <c r="EX73" s="712"/>
      <c r="EY73" s="99"/>
      <c r="EZ73" s="99"/>
      <c r="FA73" s="99"/>
      <c r="FB73" s="99"/>
      <c r="FC73" s="99"/>
      <c r="FD73" s="99"/>
      <c r="FE73" s="99"/>
      <c r="FF73" s="99"/>
      <c r="FG73" s="99"/>
      <c r="FH73" s="99"/>
      <c r="FI73" s="99"/>
      <c r="FJ73" s="99"/>
      <c r="FK73" s="99"/>
      <c r="FL73" s="99"/>
      <c r="FM73" s="99"/>
      <c r="FN73" s="99"/>
      <c r="FO73" s="393"/>
      <c r="FQ73" s="99"/>
      <c r="FR73" s="99"/>
      <c r="FS73" s="99"/>
      <c r="FT73" s="99"/>
      <c r="FU73" s="99"/>
      <c r="FV73" s="99"/>
      <c r="FW73" s="99"/>
      <c r="FX73" s="99"/>
      <c r="FY73" s="99"/>
      <c r="FZ73" s="99"/>
      <c r="GA73" s="99"/>
      <c r="GB73" s="99"/>
      <c r="GC73" s="99"/>
      <c r="GD73" s="99"/>
      <c r="GE73" s="99"/>
      <c r="GF73" s="99"/>
      <c r="GG73" s="99"/>
      <c r="GH73" s="99"/>
      <c r="GI73" s="99"/>
      <c r="GJ73" s="99"/>
      <c r="GK73" s="99"/>
      <c r="GL73" s="99"/>
      <c r="GM73" s="99"/>
      <c r="GN73" s="99"/>
      <c r="GO73" s="99"/>
      <c r="GP73" s="99"/>
      <c r="GQ73" s="99"/>
      <c r="GR73" s="99"/>
      <c r="GS73" s="99"/>
      <c r="GT73" s="99"/>
      <c r="GU73" s="99"/>
      <c r="GV73" s="99"/>
      <c r="GW73" s="99"/>
      <c r="GX73" s="99"/>
      <c r="GY73" s="99"/>
      <c r="GZ73" s="99"/>
      <c r="HA73" s="99"/>
      <c r="HB73" s="99"/>
      <c r="HC73" s="99"/>
      <c r="HD73" s="99"/>
      <c r="HE73" s="99"/>
      <c r="HF73" s="99"/>
      <c r="HG73" s="99"/>
      <c r="HH73" s="99"/>
      <c r="HI73" s="99"/>
      <c r="HJ73" s="99"/>
      <c r="HK73" s="99"/>
      <c r="HL73" s="99"/>
      <c r="HM73" s="99"/>
      <c r="HN73" s="99"/>
      <c r="HO73" s="99"/>
      <c r="HP73" s="99"/>
      <c r="HQ73" s="99"/>
      <c r="HR73" s="99"/>
      <c r="HS73" s="99"/>
      <c r="HT73" s="99"/>
      <c r="HU73" s="393"/>
    </row>
    <row r="74" spans="1:229" s="164" customFormat="1" ht="17.25" customHeight="1">
      <c r="A74" s="141" t="s">
        <v>92</v>
      </c>
      <c r="B74" s="141" t="s">
        <v>92</v>
      </c>
      <c r="C74" s="141" t="s">
        <v>42</v>
      </c>
      <c r="D74" s="141">
        <v>6.79</v>
      </c>
      <c r="E74" s="377" t="s">
        <v>51</v>
      </c>
      <c r="F74" s="141" t="s">
        <v>53</v>
      </c>
      <c r="G74" s="143">
        <f>130*8</f>
        <v>1040</v>
      </c>
      <c r="H74" s="143">
        <v>1040</v>
      </c>
      <c r="I74" s="144">
        <f t="shared" si="80"/>
        <v>0</v>
      </c>
      <c r="J74" s="142">
        <f t="shared" si="97"/>
        <v>176</v>
      </c>
      <c r="K74" s="142">
        <v>201</v>
      </c>
      <c r="L74" s="145">
        <f t="shared" si="130"/>
        <v>6225.975</v>
      </c>
      <c r="M74" s="145">
        <f t="shared" si="98"/>
        <v>1556.49375</v>
      </c>
      <c r="N74" s="146">
        <f t="shared" si="99"/>
        <v>4669.481250000001</v>
      </c>
      <c r="O74" s="144">
        <f t="shared" si="100"/>
        <v>1958.0691374999997</v>
      </c>
      <c r="P74" s="147">
        <f t="shared" si="131"/>
        <v>1.9580691374999997</v>
      </c>
      <c r="Q74" s="144">
        <f t="shared" si="132"/>
        <v>211.05</v>
      </c>
      <c r="R74" s="163">
        <v>75</v>
      </c>
      <c r="S74" s="146">
        <f t="shared" si="102"/>
        <v>4669.481250000001</v>
      </c>
      <c r="T74" s="148">
        <v>8</v>
      </c>
      <c r="U74" s="148">
        <v>0.6</v>
      </c>
      <c r="V74" s="149">
        <f t="shared" si="103"/>
        <v>0.086</v>
      </c>
      <c r="W74" s="149">
        <v>1</v>
      </c>
      <c r="X74" s="150">
        <f t="shared" si="120"/>
        <v>401.57538750000003</v>
      </c>
      <c r="Y74" s="163">
        <v>15</v>
      </c>
      <c r="Z74" s="150">
        <f t="shared" si="107"/>
        <v>293.71037062499994</v>
      </c>
      <c r="AA74" s="148">
        <v>1</v>
      </c>
      <c r="AB74" s="146">
        <f t="shared" si="104"/>
        <v>19.580691374999997</v>
      </c>
      <c r="AC74" s="149" t="s">
        <v>47</v>
      </c>
      <c r="AD74" s="149">
        <v>20</v>
      </c>
      <c r="AE74" s="149" t="s">
        <v>46</v>
      </c>
      <c r="AF74" s="146">
        <v>0</v>
      </c>
      <c r="AG74" s="150">
        <f t="shared" si="121"/>
        <v>19.580691374999997</v>
      </c>
      <c r="AH74" s="150">
        <f t="shared" si="109"/>
        <v>104400</v>
      </c>
      <c r="AI74" s="150">
        <f t="shared" si="122"/>
        <v>95160</v>
      </c>
      <c r="AJ74" s="151">
        <f t="shared" si="28"/>
        <v>0.08850574712643679</v>
      </c>
      <c r="AK74" s="152">
        <v>30</v>
      </c>
      <c r="AL74" s="165">
        <v>5</v>
      </c>
      <c r="AM74" s="382">
        <f t="shared" si="81"/>
        <v>3.3461538461538463</v>
      </c>
      <c r="AN74" s="154">
        <f t="shared" si="82"/>
        <v>3.05</v>
      </c>
      <c r="AO74" s="803">
        <f t="shared" si="29"/>
        <v>0.08850574712643686</v>
      </c>
      <c r="AP74" s="773">
        <v>3480</v>
      </c>
      <c r="AQ74" s="774"/>
      <c r="AR74" s="156">
        <v>3480</v>
      </c>
      <c r="AS74" s="155">
        <v>3172</v>
      </c>
      <c r="AT74" s="142"/>
      <c r="AU74" s="157">
        <v>3172</v>
      </c>
      <c r="AV74" s="144">
        <f t="shared" si="123"/>
        <v>-0.09709962168978563</v>
      </c>
      <c r="AW74" s="147">
        <f>43+15</f>
        <v>58</v>
      </c>
      <c r="AX74" s="144">
        <f t="shared" si="30"/>
        <v>43.5</v>
      </c>
      <c r="AY74" s="142">
        <v>1.6</v>
      </c>
      <c r="AZ74" s="142">
        <v>15.1</v>
      </c>
      <c r="BA74" s="158">
        <v>11</v>
      </c>
      <c r="BB74" s="142">
        <v>2.3</v>
      </c>
      <c r="BC74" s="142">
        <v>8.05</v>
      </c>
      <c r="BD74" s="145">
        <f t="shared" si="83"/>
        <v>0.5626635452586206</v>
      </c>
      <c r="BE74" s="142">
        <v>3.0189</v>
      </c>
      <c r="BF74" s="142">
        <v>2.7</v>
      </c>
      <c r="BG74" s="143">
        <f t="shared" si="31"/>
        <v>0.31889999999999974</v>
      </c>
      <c r="BH74" s="142">
        <v>2.2396</v>
      </c>
      <c r="BI74" s="142">
        <v>2.2396</v>
      </c>
      <c r="BJ74" s="150">
        <f t="shared" si="32"/>
        <v>0</v>
      </c>
      <c r="BK74" s="142">
        <v>1</v>
      </c>
      <c r="BL74" s="145">
        <v>1</v>
      </c>
      <c r="BM74" s="159">
        <f t="shared" si="33"/>
        <v>0</v>
      </c>
      <c r="BN74" s="96">
        <f t="shared" si="34"/>
        <v>0.0011437798375492755</v>
      </c>
      <c r="BO74" s="142"/>
      <c r="BP74" s="142">
        <v>17.2</v>
      </c>
      <c r="BQ74" s="142">
        <v>3</v>
      </c>
      <c r="BR74" s="96">
        <f t="shared" si="134"/>
        <v>0.11520813185456491</v>
      </c>
      <c r="BS74" s="145">
        <f t="shared" si="84"/>
        <v>23.654024226619047</v>
      </c>
      <c r="BT74" s="145">
        <f t="shared" si="119"/>
        <v>0.9490452983941841</v>
      </c>
      <c r="BU74" s="160">
        <f t="shared" si="133"/>
        <v>23.636363636363637</v>
      </c>
      <c r="BV74" s="142">
        <v>40</v>
      </c>
      <c r="BW74" s="142">
        <v>40</v>
      </c>
      <c r="BX74" s="161">
        <f>BV74/BW74</f>
        <v>1</v>
      </c>
      <c r="BY74" s="156">
        <f t="shared" si="85"/>
        <v>6</v>
      </c>
      <c r="BZ74" s="71">
        <f t="shared" si="20"/>
        <v>0.15</v>
      </c>
      <c r="CA74" s="719">
        <v>1.1</v>
      </c>
      <c r="CB74" s="720">
        <v>0</v>
      </c>
      <c r="CC74" s="142"/>
      <c r="CD74" s="162">
        <v>95</v>
      </c>
      <c r="CE74" s="159">
        <v>0</v>
      </c>
      <c r="CF74" s="163">
        <v>100</v>
      </c>
      <c r="CG74" s="142">
        <v>0</v>
      </c>
      <c r="CH74" s="142">
        <v>24</v>
      </c>
      <c r="CI74" s="143">
        <f t="shared" si="124"/>
        <v>24</v>
      </c>
      <c r="CJ74" s="145">
        <f t="shared" si="96"/>
        <v>23.636363636363637</v>
      </c>
      <c r="CK74" s="423" t="s">
        <v>45</v>
      </c>
      <c r="CL74" s="423">
        <v>1.24</v>
      </c>
      <c r="CM74" s="149" t="s">
        <v>43</v>
      </c>
      <c r="CN74" s="149">
        <v>4.05</v>
      </c>
      <c r="CO74" s="149" t="s">
        <v>42</v>
      </c>
      <c r="CP74" s="149">
        <v>0</v>
      </c>
      <c r="CQ74" s="149" t="s">
        <v>45</v>
      </c>
      <c r="CR74" s="149">
        <v>1.1</v>
      </c>
      <c r="CS74" s="141" t="s">
        <v>92</v>
      </c>
      <c r="CT74" s="149" t="s">
        <v>42</v>
      </c>
      <c r="CU74" s="149">
        <v>0</v>
      </c>
      <c r="CV74" s="149" t="s">
        <v>46</v>
      </c>
      <c r="CW74" s="149">
        <v>0.82</v>
      </c>
      <c r="CX74" s="793" t="s">
        <v>44</v>
      </c>
      <c r="CY74" s="793">
        <v>1</v>
      </c>
      <c r="CZ74" s="155" t="s">
        <v>42</v>
      </c>
      <c r="DA74" s="149">
        <v>1.24</v>
      </c>
      <c r="DB74" s="149" t="s">
        <v>45</v>
      </c>
      <c r="DC74" s="149">
        <v>1.23</v>
      </c>
      <c r="DD74" s="149" t="s">
        <v>44</v>
      </c>
      <c r="DE74" s="149">
        <v>1</v>
      </c>
      <c r="DF74" s="149" t="s">
        <v>44</v>
      </c>
      <c r="DG74" s="149">
        <v>1</v>
      </c>
      <c r="DH74" s="423" t="s">
        <v>44</v>
      </c>
      <c r="DI74" s="423">
        <v>1</v>
      </c>
      <c r="DJ74" s="423" t="s">
        <v>43</v>
      </c>
      <c r="DK74" s="423">
        <v>0.87</v>
      </c>
      <c r="DL74" s="423" t="s">
        <v>45</v>
      </c>
      <c r="DM74" s="149" t="s">
        <v>45</v>
      </c>
      <c r="DN74" s="146">
        <v>0.01</v>
      </c>
      <c r="DO74" s="149" t="s">
        <v>47</v>
      </c>
      <c r="DP74" s="146">
        <v>0.88</v>
      </c>
      <c r="DQ74" s="423" t="s">
        <v>43</v>
      </c>
      <c r="DR74" s="438">
        <v>1.12</v>
      </c>
      <c r="DS74" s="149" t="s">
        <v>45</v>
      </c>
      <c r="DT74" s="149" t="s">
        <v>45</v>
      </c>
      <c r="DU74" s="149">
        <v>0.81</v>
      </c>
      <c r="DV74" s="149" t="s">
        <v>45</v>
      </c>
      <c r="DW74" s="149">
        <v>0.85</v>
      </c>
      <c r="DX74" s="149" t="s">
        <v>45</v>
      </c>
      <c r="DY74" s="149">
        <v>0.84</v>
      </c>
      <c r="DZ74" s="149" t="s">
        <v>44</v>
      </c>
      <c r="EA74" s="149">
        <v>1</v>
      </c>
      <c r="EB74" s="149" t="s">
        <v>42</v>
      </c>
      <c r="EC74" s="424">
        <v>0.8</v>
      </c>
      <c r="ED74" s="424" t="s">
        <v>44</v>
      </c>
      <c r="EE74" s="424">
        <v>1</v>
      </c>
      <c r="EF74" s="149" t="s">
        <v>46</v>
      </c>
      <c r="EG74" s="99">
        <f t="shared" si="125"/>
        <v>0.004961737840613624</v>
      </c>
      <c r="EH74" s="99">
        <v>2.94</v>
      </c>
      <c r="EI74" s="99">
        <v>0.91</v>
      </c>
      <c r="EJ74" s="99">
        <f t="shared" si="126"/>
        <v>8.030000000000001</v>
      </c>
      <c r="EK74" s="99">
        <f t="shared" si="36"/>
        <v>0.9903000000000001</v>
      </c>
      <c r="EL74" s="444">
        <f t="shared" si="127"/>
        <v>6225.975</v>
      </c>
      <c r="EM74" s="444">
        <f t="shared" si="37"/>
        <v>5720.099205367778</v>
      </c>
      <c r="EN74" s="708">
        <f t="shared" si="38"/>
        <v>83.44200007725144</v>
      </c>
      <c r="EO74" s="99">
        <f t="shared" si="128"/>
        <v>1040</v>
      </c>
      <c r="EP74" s="444">
        <f t="shared" si="129"/>
        <v>5.909090909090909</v>
      </c>
      <c r="EQ74" s="444">
        <f t="shared" si="39"/>
        <v>0.29606000000000005</v>
      </c>
      <c r="ER74" s="444">
        <f t="shared" si="40"/>
        <v>3.37769371073431</v>
      </c>
      <c r="ES74" s="444">
        <f t="shared" si="41"/>
        <v>1.6101065147386673</v>
      </c>
      <c r="ET74" s="444">
        <f t="shared" si="42"/>
        <v>4.996794695936886</v>
      </c>
      <c r="EU74" s="708">
        <f t="shared" si="43"/>
        <v>4.996794695936886</v>
      </c>
      <c r="EV74" s="99">
        <f t="shared" si="44"/>
        <v>3480</v>
      </c>
      <c r="EW74" s="444">
        <f t="shared" si="45"/>
        <v>3172</v>
      </c>
      <c r="EX74" s="712"/>
      <c r="EY74" s="99"/>
      <c r="EZ74" s="99"/>
      <c r="FA74" s="99"/>
      <c r="FB74" s="99"/>
      <c r="FC74" s="99"/>
      <c r="FD74" s="99"/>
      <c r="FE74" s="99"/>
      <c r="FF74" s="99"/>
      <c r="FG74" s="99"/>
      <c r="FH74" s="99"/>
      <c r="FI74" s="99"/>
      <c r="FJ74" s="99"/>
      <c r="FK74" s="99"/>
      <c r="FL74" s="99"/>
      <c r="FM74" s="99"/>
      <c r="FN74" s="99"/>
      <c r="FO74" s="393"/>
      <c r="FQ74" s="99"/>
      <c r="FR74" s="99"/>
      <c r="FS74" s="99"/>
      <c r="FT74" s="99"/>
      <c r="FU74" s="99"/>
      <c r="FV74" s="99"/>
      <c r="FW74" s="99"/>
      <c r="FX74" s="99"/>
      <c r="FY74" s="99"/>
      <c r="FZ74" s="99"/>
      <c r="GA74" s="99"/>
      <c r="GB74" s="99"/>
      <c r="GC74" s="99"/>
      <c r="GD74" s="99"/>
      <c r="GE74" s="99"/>
      <c r="GF74" s="99"/>
      <c r="GG74" s="99"/>
      <c r="GH74" s="99"/>
      <c r="GI74" s="99"/>
      <c r="GJ74" s="99"/>
      <c r="GK74" s="99"/>
      <c r="GL74" s="99"/>
      <c r="GM74" s="99"/>
      <c r="GN74" s="99"/>
      <c r="GO74" s="99"/>
      <c r="GP74" s="99"/>
      <c r="GQ74" s="99"/>
      <c r="GR74" s="99"/>
      <c r="GS74" s="99"/>
      <c r="GT74" s="99"/>
      <c r="GU74" s="99"/>
      <c r="GV74" s="99"/>
      <c r="GW74" s="99"/>
      <c r="GX74" s="99"/>
      <c r="GY74" s="99"/>
      <c r="GZ74" s="99"/>
      <c r="HA74" s="99"/>
      <c r="HB74" s="99"/>
      <c r="HC74" s="99"/>
      <c r="HD74" s="99"/>
      <c r="HE74" s="99"/>
      <c r="HF74" s="99"/>
      <c r="HG74" s="99"/>
      <c r="HH74" s="99"/>
      <c r="HI74" s="99"/>
      <c r="HJ74" s="99"/>
      <c r="HK74" s="99"/>
      <c r="HL74" s="99"/>
      <c r="HM74" s="99"/>
      <c r="HN74" s="99"/>
      <c r="HO74" s="99"/>
      <c r="HP74" s="99"/>
      <c r="HQ74" s="99"/>
      <c r="HR74" s="99"/>
      <c r="HS74" s="99"/>
      <c r="HT74" s="99"/>
      <c r="HU74" s="393"/>
    </row>
    <row r="75" spans="1:229" s="538" customFormat="1" ht="17.25" customHeight="1">
      <c r="A75" s="491"/>
      <c r="B75" s="491"/>
      <c r="C75" s="491"/>
      <c r="D75" s="491"/>
      <c r="E75" s="492"/>
      <c r="F75" s="491"/>
      <c r="G75" s="472"/>
      <c r="H75" s="472"/>
      <c r="I75" s="796"/>
      <c r="J75" s="496"/>
      <c r="K75" s="496"/>
      <c r="L75" s="477"/>
      <c r="M75" s="477"/>
      <c r="N75" s="499"/>
      <c r="O75" s="796"/>
      <c r="P75" s="797"/>
      <c r="Q75" s="796"/>
      <c r="R75" s="507"/>
      <c r="S75" s="499"/>
      <c r="T75" s="526"/>
      <c r="U75" s="526"/>
      <c r="V75" s="493"/>
      <c r="W75" s="493"/>
      <c r="X75" s="473"/>
      <c r="Y75" s="507"/>
      <c r="Z75" s="473"/>
      <c r="AA75" s="526"/>
      <c r="AB75" s="499"/>
      <c r="AC75" s="493"/>
      <c r="AD75" s="493"/>
      <c r="AE75" s="493"/>
      <c r="AF75" s="499"/>
      <c r="AG75" s="473"/>
      <c r="AH75" s="473"/>
      <c r="AI75" s="473"/>
      <c r="AJ75" s="473"/>
      <c r="AK75" s="500"/>
      <c r="AL75" s="527"/>
      <c r="AM75" s="798"/>
      <c r="AN75" s="500"/>
      <c r="AO75" s="500"/>
      <c r="AP75" s="767"/>
      <c r="AQ75" s="768"/>
      <c r="AR75" s="529"/>
      <c r="AS75" s="519"/>
      <c r="AT75" s="496"/>
      <c r="AU75" s="502"/>
      <c r="AV75" s="796"/>
      <c r="AW75" s="797"/>
      <c r="AX75" s="796"/>
      <c r="AY75" s="496"/>
      <c r="AZ75" s="496"/>
      <c r="BA75" s="530"/>
      <c r="BB75" s="496"/>
      <c r="BC75" s="496"/>
      <c r="BD75" s="477"/>
      <c r="BE75" s="496"/>
      <c r="BF75" s="496"/>
      <c r="BG75" s="472"/>
      <c r="BH75" s="496"/>
      <c r="BI75" s="496"/>
      <c r="BJ75" s="473"/>
      <c r="BK75" s="496"/>
      <c r="BL75" s="477"/>
      <c r="BM75" s="446"/>
      <c r="BN75" s="477"/>
      <c r="BO75" s="496"/>
      <c r="BP75" s="496"/>
      <c r="BQ75" s="496"/>
      <c r="BR75" s="477"/>
      <c r="BS75" s="477"/>
      <c r="BT75" s="477"/>
      <c r="BU75" s="531"/>
      <c r="BV75" s="496"/>
      <c r="BW75" s="496"/>
      <c r="BX75" s="505"/>
      <c r="BY75" s="529"/>
      <c r="BZ75" s="474"/>
      <c r="CA75" s="693"/>
      <c r="CB75" s="699"/>
      <c r="CC75" s="496"/>
      <c r="CD75" s="533"/>
      <c r="CE75" s="446"/>
      <c r="CF75" s="507"/>
      <c r="CG75" s="496"/>
      <c r="CH75" s="496"/>
      <c r="CI75" s="472"/>
      <c r="CJ75" s="477"/>
      <c r="CK75" s="508"/>
      <c r="CL75" s="508"/>
      <c r="CM75" s="493"/>
      <c r="CN75" s="493"/>
      <c r="CO75" s="493"/>
      <c r="CP75" s="493"/>
      <c r="CQ75" s="493"/>
      <c r="CR75" s="493"/>
      <c r="CS75" s="491"/>
      <c r="CT75" s="493"/>
      <c r="CU75" s="493"/>
      <c r="CV75" s="493"/>
      <c r="CW75" s="493"/>
      <c r="CX75" s="789"/>
      <c r="CY75" s="789"/>
      <c r="CZ75" s="519"/>
      <c r="DA75" s="493"/>
      <c r="DB75" s="493"/>
      <c r="DC75" s="493"/>
      <c r="DD75" s="493"/>
      <c r="DE75" s="493"/>
      <c r="DF75" s="493"/>
      <c r="DG75" s="493"/>
      <c r="DH75" s="508"/>
      <c r="DI75" s="508"/>
      <c r="DJ75" s="508"/>
      <c r="DK75" s="508"/>
      <c r="DL75" s="508"/>
      <c r="DM75" s="493"/>
      <c r="DN75" s="499"/>
      <c r="DO75" s="493"/>
      <c r="DP75" s="499"/>
      <c r="DQ75" s="508"/>
      <c r="DR75" s="535"/>
      <c r="DS75" s="493"/>
      <c r="DT75" s="493"/>
      <c r="DU75" s="493"/>
      <c r="DV75" s="493"/>
      <c r="DW75" s="493"/>
      <c r="DX75" s="493"/>
      <c r="DY75" s="493"/>
      <c r="DZ75" s="493"/>
      <c r="EA75" s="493"/>
      <c r="EB75" s="493"/>
      <c r="EC75" s="493"/>
      <c r="ED75" s="493"/>
      <c r="EE75" s="493"/>
      <c r="EF75" s="493"/>
      <c r="EG75" s="445"/>
      <c r="EH75" s="445"/>
      <c r="EI75" s="445"/>
      <c r="EJ75" s="445"/>
      <c r="EK75" s="445"/>
      <c r="EL75" s="488"/>
      <c r="EM75" s="488"/>
      <c r="EN75" s="702"/>
      <c r="EO75" s="445"/>
      <c r="EP75" s="488"/>
      <c r="EQ75" s="488"/>
      <c r="ER75" s="488"/>
      <c r="ES75" s="488"/>
      <c r="ET75" s="488"/>
      <c r="EU75" s="702" t="s">
        <v>421</v>
      </c>
      <c r="EV75" s="445"/>
      <c r="EW75" s="488"/>
      <c r="EX75" s="714" t="s">
        <v>427</v>
      </c>
      <c r="EY75" s="445"/>
      <c r="EZ75" s="445"/>
      <c r="FA75" s="445"/>
      <c r="FB75" s="445"/>
      <c r="FC75" s="445"/>
      <c r="FD75" s="445"/>
      <c r="FE75" s="445"/>
      <c r="FF75" s="445"/>
      <c r="FG75" s="445"/>
      <c r="FH75" s="445"/>
      <c r="FI75" s="445"/>
      <c r="FJ75" s="445"/>
      <c r="FK75" s="445"/>
      <c r="FL75" s="445"/>
      <c r="FM75" s="445"/>
      <c r="FN75" s="445"/>
      <c r="FO75" s="537"/>
      <c r="FQ75" s="445"/>
      <c r="FR75" s="445"/>
      <c r="FS75" s="445"/>
      <c r="FT75" s="445"/>
      <c r="FU75" s="445"/>
      <c r="FV75" s="445"/>
      <c r="FW75" s="445"/>
      <c r="FX75" s="445"/>
      <c r="FY75" s="445"/>
      <c r="FZ75" s="445"/>
      <c r="GA75" s="445"/>
      <c r="GB75" s="445"/>
      <c r="GC75" s="445"/>
      <c r="GD75" s="445"/>
      <c r="GE75" s="445"/>
      <c r="GF75" s="445"/>
      <c r="GG75" s="445"/>
      <c r="GH75" s="445"/>
      <c r="GI75" s="445"/>
      <c r="GJ75" s="445"/>
      <c r="GK75" s="445"/>
      <c r="GL75" s="445"/>
      <c r="GM75" s="445"/>
      <c r="GN75" s="445"/>
      <c r="GO75" s="445"/>
      <c r="GP75" s="445"/>
      <c r="GQ75" s="445"/>
      <c r="GR75" s="445"/>
      <c r="GS75" s="445"/>
      <c r="GT75" s="445"/>
      <c r="GU75" s="445"/>
      <c r="GV75" s="445"/>
      <c r="GW75" s="445"/>
      <c r="GX75" s="445"/>
      <c r="GY75" s="445"/>
      <c r="GZ75" s="445"/>
      <c r="HA75" s="445"/>
      <c r="HB75" s="445"/>
      <c r="HC75" s="445"/>
      <c r="HD75" s="445"/>
      <c r="HE75" s="445"/>
      <c r="HF75" s="445"/>
      <c r="HG75" s="445"/>
      <c r="HH75" s="445"/>
      <c r="HI75" s="445"/>
      <c r="HJ75" s="445"/>
      <c r="HK75" s="445"/>
      <c r="HL75" s="445"/>
      <c r="HM75" s="445"/>
      <c r="HN75" s="445"/>
      <c r="HO75" s="445"/>
      <c r="HP75" s="445"/>
      <c r="HQ75" s="445"/>
      <c r="HR75" s="445"/>
      <c r="HS75" s="445"/>
      <c r="HT75" s="445"/>
      <c r="HU75" s="537"/>
    </row>
    <row r="76" spans="1:154" s="807" customFormat="1" ht="15">
      <c r="A76" s="804"/>
      <c r="B76" s="805" t="s">
        <v>436</v>
      </c>
      <c r="C76" s="804"/>
      <c r="D76" s="804"/>
      <c r="E76" s="804"/>
      <c r="F76" s="804"/>
      <c r="G76" s="806"/>
      <c r="I76" s="808"/>
      <c r="K76" s="804"/>
      <c r="L76" s="804"/>
      <c r="M76" s="804"/>
      <c r="N76" s="804"/>
      <c r="O76" s="322"/>
      <c r="P76" s="804"/>
      <c r="Q76" s="322"/>
      <c r="R76" s="322"/>
      <c r="S76" s="804"/>
      <c r="T76" s="804"/>
      <c r="U76" s="804"/>
      <c r="V76" s="804"/>
      <c r="W76" s="804"/>
      <c r="X76" s="322"/>
      <c r="Y76" s="322"/>
      <c r="Z76" s="322"/>
      <c r="AA76" s="804"/>
      <c r="AB76" s="804"/>
      <c r="AC76" s="804"/>
      <c r="AD76" s="804"/>
      <c r="AE76" s="804"/>
      <c r="AF76" s="804"/>
      <c r="AG76" s="322"/>
      <c r="AH76" s="322"/>
      <c r="AI76" s="322"/>
      <c r="AJ76" s="322"/>
      <c r="AK76" s="808"/>
      <c r="AL76" s="809"/>
      <c r="AM76" s="809"/>
      <c r="AN76" s="808"/>
      <c r="AO76" s="808"/>
      <c r="AR76" s="808"/>
      <c r="AV76" s="808"/>
      <c r="AW76" s="804"/>
      <c r="AX76" s="808"/>
      <c r="BG76" s="808"/>
      <c r="BJ76" s="808"/>
      <c r="BM76" s="808"/>
      <c r="BN76" s="810"/>
      <c r="CA76" s="811"/>
      <c r="CB76" s="811"/>
      <c r="CD76" s="804"/>
      <c r="CE76" s="322"/>
      <c r="CF76" s="812"/>
      <c r="CI76" s="808"/>
      <c r="CJ76" s="804"/>
      <c r="CX76" s="813"/>
      <c r="CY76" s="813"/>
      <c r="DR76" s="810"/>
      <c r="EL76" s="810"/>
      <c r="EM76" s="810"/>
      <c r="EN76" s="814"/>
      <c r="EP76" s="810"/>
      <c r="EQ76" s="810"/>
      <c r="ER76" s="810"/>
      <c r="ES76" s="810"/>
      <c r="ET76" s="810"/>
      <c r="EU76" s="815"/>
      <c r="EX76" s="808"/>
    </row>
    <row r="77" spans="1:154" s="807" customFormat="1" ht="15">
      <c r="A77" s="804"/>
      <c r="B77" s="804" t="s">
        <v>435</v>
      </c>
      <c r="C77" s="804"/>
      <c r="D77" s="804"/>
      <c r="E77" s="804"/>
      <c r="F77" s="804"/>
      <c r="G77" s="806"/>
      <c r="I77" s="808"/>
      <c r="K77" s="804"/>
      <c r="L77" s="804"/>
      <c r="M77" s="804"/>
      <c r="N77" s="804"/>
      <c r="O77" s="322"/>
      <c r="P77" s="804"/>
      <c r="Q77" s="322"/>
      <c r="R77" s="322"/>
      <c r="S77" s="804"/>
      <c r="T77" s="804"/>
      <c r="U77" s="804"/>
      <c r="V77" s="804"/>
      <c r="W77" s="804"/>
      <c r="X77" s="322"/>
      <c r="Y77" s="322"/>
      <c r="Z77" s="322"/>
      <c r="AA77" s="804"/>
      <c r="AB77" s="804"/>
      <c r="AC77" s="804"/>
      <c r="AD77" s="804"/>
      <c r="AE77" s="804"/>
      <c r="AF77" s="804"/>
      <c r="AG77" s="322"/>
      <c r="AH77" s="322"/>
      <c r="AI77" s="322"/>
      <c r="AJ77" s="322"/>
      <c r="AK77" s="808"/>
      <c r="AL77" s="809"/>
      <c r="AM77" s="809"/>
      <c r="AN77" s="808"/>
      <c r="AO77" s="808"/>
      <c r="AR77" s="808"/>
      <c r="AV77" s="808"/>
      <c r="AW77" s="804"/>
      <c r="AX77" s="808"/>
      <c r="BG77" s="808"/>
      <c r="BJ77" s="808"/>
      <c r="BM77" s="808"/>
      <c r="BN77" s="810"/>
      <c r="CA77" s="811"/>
      <c r="CB77" s="811"/>
      <c r="CD77" s="804"/>
      <c r="CE77" s="322"/>
      <c r="CF77" s="812"/>
      <c r="CI77" s="808"/>
      <c r="CJ77" s="804"/>
      <c r="CX77" s="813"/>
      <c r="CY77" s="813"/>
      <c r="DR77" s="810"/>
      <c r="EL77" s="810"/>
      <c r="EM77" s="810"/>
      <c r="EN77" s="814"/>
      <c r="EP77" s="810"/>
      <c r="EQ77" s="810"/>
      <c r="ER77" s="810"/>
      <c r="ES77" s="810"/>
      <c r="ET77" s="810"/>
      <c r="EU77" s="815"/>
      <c r="EX77" s="808"/>
    </row>
    <row r="78" spans="1:154" s="807" customFormat="1" ht="15">
      <c r="A78" s="804"/>
      <c r="B78" s="804"/>
      <c r="C78" s="804"/>
      <c r="D78" s="804"/>
      <c r="E78" s="804"/>
      <c r="F78" s="804"/>
      <c r="G78" s="806"/>
      <c r="I78" s="808"/>
      <c r="K78" s="804"/>
      <c r="L78" s="804"/>
      <c r="M78" s="804"/>
      <c r="N78" s="804"/>
      <c r="O78" s="322"/>
      <c r="P78" s="804"/>
      <c r="Q78" s="322"/>
      <c r="R78" s="322"/>
      <c r="S78" s="804"/>
      <c r="T78" s="804"/>
      <c r="U78" s="804"/>
      <c r="V78" s="804"/>
      <c r="W78" s="804"/>
      <c r="X78" s="322"/>
      <c r="Y78" s="322"/>
      <c r="Z78" s="322"/>
      <c r="AA78" s="804"/>
      <c r="AB78" s="804"/>
      <c r="AC78" s="804"/>
      <c r="AD78" s="804"/>
      <c r="AE78" s="804"/>
      <c r="AF78" s="804"/>
      <c r="AG78" s="322"/>
      <c r="AH78" s="322"/>
      <c r="AI78" s="322"/>
      <c r="AJ78" s="322"/>
      <c r="AK78" s="808"/>
      <c r="AL78" s="809"/>
      <c r="AM78" s="809"/>
      <c r="AN78" s="808"/>
      <c r="AO78" s="808"/>
      <c r="AR78" s="808"/>
      <c r="AV78" s="808"/>
      <c r="AW78" s="804"/>
      <c r="AX78" s="808"/>
      <c r="BG78" s="808"/>
      <c r="BJ78" s="808"/>
      <c r="BM78" s="808"/>
      <c r="BN78" s="810"/>
      <c r="CA78" s="811"/>
      <c r="CB78" s="811"/>
      <c r="CD78" s="804"/>
      <c r="CE78" s="322"/>
      <c r="CF78" s="812"/>
      <c r="CI78" s="808"/>
      <c r="CJ78" s="804"/>
      <c r="CX78" s="813"/>
      <c r="CY78" s="813"/>
      <c r="DR78" s="810"/>
      <c r="EL78" s="810"/>
      <c r="EM78" s="810"/>
      <c r="EN78" s="814"/>
      <c r="EP78" s="810"/>
      <c r="EQ78" s="810"/>
      <c r="ER78" s="810"/>
      <c r="ES78" s="810"/>
      <c r="ET78" s="810"/>
      <c r="EU78" s="815"/>
      <c r="EX78" s="808"/>
    </row>
    <row r="79" spans="1:154" s="807" customFormat="1" ht="15">
      <c r="A79" s="804"/>
      <c r="B79" s="805" t="s">
        <v>437</v>
      </c>
      <c r="C79" s="804"/>
      <c r="D79" s="804"/>
      <c r="E79" s="804"/>
      <c r="F79" s="804"/>
      <c r="G79" s="806"/>
      <c r="I79" s="808"/>
      <c r="K79" s="804"/>
      <c r="L79" s="804"/>
      <c r="M79" s="804"/>
      <c r="N79" s="804"/>
      <c r="O79" s="322"/>
      <c r="P79" s="804"/>
      <c r="Q79" s="322"/>
      <c r="R79" s="322"/>
      <c r="S79" s="804"/>
      <c r="T79" s="804"/>
      <c r="U79" s="804"/>
      <c r="V79" s="804"/>
      <c r="W79" s="804"/>
      <c r="X79" s="322"/>
      <c r="Y79" s="322"/>
      <c r="Z79" s="322"/>
      <c r="AA79" s="804"/>
      <c r="AB79" s="804"/>
      <c r="AC79" s="804"/>
      <c r="AD79" s="804"/>
      <c r="AE79" s="804"/>
      <c r="AF79" s="804"/>
      <c r="AG79" s="322"/>
      <c r="AH79" s="322"/>
      <c r="AI79" s="322"/>
      <c r="AJ79" s="322"/>
      <c r="AK79" s="808"/>
      <c r="AL79" s="809"/>
      <c r="AM79" s="809"/>
      <c r="AN79" s="808"/>
      <c r="AO79" s="808"/>
      <c r="AR79" s="808"/>
      <c r="AV79" s="808"/>
      <c r="AW79" s="804"/>
      <c r="AX79" s="808"/>
      <c r="BG79" s="808"/>
      <c r="BJ79" s="808"/>
      <c r="BM79" s="808"/>
      <c r="BN79" s="810"/>
      <c r="CA79" s="811"/>
      <c r="CB79" s="811"/>
      <c r="CD79" s="804"/>
      <c r="CE79" s="322"/>
      <c r="CF79" s="812"/>
      <c r="CI79" s="808"/>
      <c r="CJ79" s="804"/>
      <c r="CX79" s="813"/>
      <c r="CY79" s="813"/>
      <c r="DR79" s="810"/>
      <c r="EL79" s="810"/>
      <c r="EM79" s="810"/>
      <c r="EN79" s="814"/>
      <c r="EP79" s="810"/>
      <c r="EQ79" s="810"/>
      <c r="ER79" s="810"/>
      <c r="ES79" s="810"/>
      <c r="ET79" s="810"/>
      <c r="EU79" s="815"/>
      <c r="EX79" s="808"/>
    </row>
    <row r="80" spans="1:154" s="807" customFormat="1" ht="15">
      <c r="A80" s="804"/>
      <c r="B80" s="805"/>
      <c r="C80" s="804"/>
      <c r="D80" s="804"/>
      <c r="E80" s="804"/>
      <c r="F80" s="804"/>
      <c r="G80" s="806"/>
      <c r="I80" s="808"/>
      <c r="K80" s="804"/>
      <c r="L80" s="804"/>
      <c r="M80" s="804"/>
      <c r="N80" s="804"/>
      <c r="O80" s="322"/>
      <c r="P80" s="804"/>
      <c r="Q80" s="322"/>
      <c r="R80" s="322"/>
      <c r="S80" s="804"/>
      <c r="T80" s="804"/>
      <c r="U80" s="804"/>
      <c r="V80" s="804"/>
      <c r="W80" s="804"/>
      <c r="X80" s="322"/>
      <c r="Y80" s="322"/>
      <c r="Z80" s="322"/>
      <c r="AA80" s="804"/>
      <c r="AB80" s="804"/>
      <c r="AC80" s="804"/>
      <c r="AD80" s="804"/>
      <c r="AE80" s="804"/>
      <c r="AF80" s="804"/>
      <c r="AG80" s="322"/>
      <c r="AH80" s="322"/>
      <c r="AI80" s="322"/>
      <c r="AJ80" s="322"/>
      <c r="AK80" s="808"/>
      <c r="AL80" s="809"/>
      <c r="AM80" s="809"/>
      <c r="AN80" s="808"/>
      <c r="AO80" s="808"/>
      <c r="AR80" s="808"/>
      <c r="AV80" s="808"/>
      <c r="AW80" s="804"/>
      <c r="AX80" s="808"/>
      <c r="BG80" s="808"/>
      <c r="BJ80" s="808"/>
      <c r="BM80" s="808"/>
      <c r="BN80" s="810"/>
      <c r="CA80" s="811"/>
      <c r="CB80" s="811"/>
      <c r="CD80" s="804"/>
      <c r="CE80" s="322"/>
      <c r="CF80" s="812"/>
      <c r="CI80" s="808"/>
      <c r="CJ80" s="804"/>
      <c r="CX80" s="813"/>
      <c r="CY80" s="813"/>
      <c r="DR80" s="810"/>
      <c r="EL80" s="810"/>
      <c r="EM80" s="810"/>
      <c r="EN80" s="814"/>
      <c r="EP80" s="810"/>
      <c r="EQ80" s="810"/>
      <c r="ER80" s="810"/>
      <c r="ES80" s="810"/>
      <c r="ET80" s="810"/>
      <c r="EU80" s="815"/>
      <c r="EX80" s="808"/>
    </row>
    <row r="81" spans="1:151" s="808" customFormat="1" ht="75">
      <c r="A81" s="322"/>
      <c r="B81" s="821" t="s">
        <v>450</v>
      </c>
      <c r="C81" s="826" t="s">
        <v>449</v>
      </c>
      <c r="D81" s="822" t="s">
        <v>448</v>
      </c>
      <c r="E81" s="822" t="s">
        <v>447</v>
      </c>
      <c r="F81" s="322"/>
      <c r="G81" s="816"/>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L81" s="817"/>
      <c r="AM81" s="817"/>
      <c r="AW81" s="322"/>
      <c r="BN81" s="818"/>
      <c r="CA81" s="819"/>
      <c r="CB81" s="819"/>
      <c r="CD81" s="322"/>
      <c r="CE81" s="322"/>
      <c r="CF81" s="812"/>
      <c r="CJ81" s="322"/>
      <c r="CX81" s="820"/>
      <c r="CY81" s="820"/>
      <c r="DR81" s="818"/>
      <c r="EL81" s="818"/>
      <c r="EM81" s="818"/>
      <c r="EN81" s="814"/>
      <c r="EP81" s="818"/>
      <c r="EQ81" s="818"/>
      <c r="ER81" s="818"/>
      <c r="ES81" s="818"/>
      <c r="ET81" s="818"/>
      <c r="EU81" s="815"/>
    </row>
    <row r="82" spans="1:154" s="27" customFormat="1" ht="48" customHeight="1">
      <c r="A82" s="26"/>
      <c r="B82" s="823">
        <v>1</v>
      </c>
      <c r="C82" s="824" t="s">
        <v>438</v>
      </c>
      <c r="D82" s="825" t="s">
        <v>439</v>
      </c>
      <c r="E82" s="823" t="s">
        <v>440</v>
      </c>
      <c r="F82" s="26"/>
      <c r="G82" s="31"/>
      <c r="I82" s="32"/>
      <c r="K82" s="26"/>
      <c r="L82" s="33"/>
      <c r="M82" s="33"/>
      <c r="N82" s="33"/>
      <c r="O82" s="33"/>
      <c r="P82" s="26"/>
      <c r="Q82" s="33"/>
      <c r="R82" s="33"/>
      <c r="S82" s="26"/>
      <c r="T82" s="26"/>
      <c r="U82" s="26"/>
      <c r="V82" s="26"/>
      <c r="W82" s="26"/>
      <c r="X82" s="33"/>
      <c r="Y82" s="33"/>
      <c r="Z82" s="33"/>
      <c r="AA82" s="26"/>
      <c r="AB82" s="26"/>
      <c r="AC82" s="26"/>
      <c r="AD82" s="26"/>
      <c r="AE82" s="26"/>
      <c r="AF82" s="26"/>
      <c r="AG82" s="33"/>
      <c r="AH82" s="33"/>
      <c r="AI82" s="33"/>
      <c r="AJ82" s="33"/>
      <c r="AK82" s="32"/>
      <c r="AL82" s="35"/>
      <c r="AM82" s="35"/>
      <c r="AN82" s="32"/>
      <c r="AO82" s="32"/>
      <c r="AP82" s="775"/>
      <c r="AQ82" s="775"/>
      <c r="AR82" s="32"/>
      <c r="AV82" s="32"/>
      <c r="AW82" s="26"/>
      <c r="AX82" s="32"/>
      <c r="BG82" s="32"/>
      <c r="BJ82" s="32"/>
      <c r="BM82" s="32"/>
      <c r="BN82" s="439"/>
      <c r="CA82" s="700"/>
      <c r="CB82" s="700"/>
      <c r="CD82" s="26"/>
      <c r="CE82" s="33"/>
      <c r="CF82" s="103"/>
      <c r="CI82" s="32"/>
      <c r="CJ82" s="26"/>
      <c r="CX82" s="794"/>
      <c r="CY82" s="794"/>
      <c r="DR82" s="439"/>
      <c r="EL82" s="439"/>
      <c r="EM82" s="439"/>
      <c r="EN82" s="711"/>
      <c r="EP82" s="439"/>
      <c r="EQ82" s="439"/>
      <c r="ER82" s="439"/>
      <c r="ES82" s="439"/>
      <c r="ET82" s="439"/>
      <c r="EU82" s="672"/>
      <c r="EX82" s="32"/>
    </row>
    <row r="83" spans="1:154" s="27" customFormat="1" ht="48" customHeight="1">
      <c r="A83" s="26"/>
      <c r="B83" s="823">
        <v>2</v>
      </c>
      <c r="C83" s="824" t="s">
        <v>441</v>
      </c>
      <c r="D83" s="825" t="s">
        <v>442</v>
      </c>
      <c r="E83" s="823" t="s">
        <v>440</v>
      </c>
      <c r="F83" s="26"/>
      <c r="G83" s="31"/>
      <c r="I83" s="32"/>
      <c r="K83" s="26"/>
      <c r="L83" s="33"/>
      <c r="M83" s="33"/>
      <c r="N83" s="33"/>
      <c r="O83" s="33"/>
      <c r="P83" s="26"/>
      <c r="Q83" s="33"/>
      <c r="R83" s="33"/>
      <c r="S83" s="26"/>
      <c r="T83" s="26"/>
      <c r="U83" s="26"/>
      <c r="V83" s="26"/>
      <c r="W83" s="26"/>
      <c r="X83" s="33"/>
      <c r="Y83" s="33"/>
      <c r="Z83" s="33"/>
      <c r="AA83" s="26"/>
      <c r="AB83" s="26"/>
      <c r="AC83" s="26"/>
      <c r="AD83" s="26"/>
      <c r="AE83" s="26"/>
      <c r="AF83" s="26"/>
      <c r="AG83" s="33"/>
      <c r="AH83" s="33"/>
      <c r="AI83" s="33"/>
      <c r="AJ83" s="33"/>
      <c r="AK83" s="32"/>
      <c r="AL83" s="35"/>
      <c r="AM83" s="35"/>
      <c r="AN83" s="32"/>
      <c r="AO83" s="32"/>
      <c r="AP83" s="775"/>
      <c r="AQ83" s="775"/>
      <c r="AR83" s="32"/>
      <c r="AV83" s="32"/>
      <c r="AW83" s="26"/>
      <c r="AX83" s="32"/>
      <c r="BG83" s="32"/>
      <c r="BJ83" s="32"/>
      <c r="BM83" s="32"/>
      <c r="BN83" s="439"/>
      <c r="CA83" s="700"/>
      <c r="CB83" s="700"/>
      <c r="CD83" s="26"/>
      <c r="CE83" s="33"/>
      <c r="CF83" s="103"/>
      <c r="CI83" s="32"/>
      <c r="CJ83" s="26"/>
      <c r="CX83" s="794"/>
      <c r="CY83" s="794"/>
      <c r="DR83" s="439"/>
      <c r="EL83" s="439"/>
      <c r="EM83" s="439"/>
      <c r="EN83" s="711"/>
      <c r="EP83" s="439"/>
      <c r="EQ83" s="439"/>
      <c r="ER83" s="439"/>
      <c r="ES83" s="439"/>
      <c r="ET83" s="439"/>
      <c r="EU83" s="672"/>
      <c r="EX83" s="32"/>
    </row>
    <row r="84" spans="1:154" s="27" customFormat="1" ht="15.75">
      <c r="A84" s="26"/>
      <c r="B84" s="823">
        <v>3</v>
      </c>
      <c r="C84" s="824" t="s">
        <v>443</v>
      </c>
      <c r="D84" s="825" t="s">
        <v>444</v>
      </c>
      <c r="E84" s="823" t="s">
        <v>440</v>
      </c>
      <c r="F84" s="26"/>
      <c r="G84" s="31"/>
      <c r="I84" s="32"/>
      <c r="K84" s="26"/>
      <c r="L84" s="33"/>
      <c r="M84" s="33"/>
      <c r="N84" s="33"/>
      <c r="O84" s="33"/>
      <c r="P84" s="26"/>
      <c r="Q84" s="33"/>
      <c r="R84" s="33"/>
      <c r="S84" s="26"/>
      <c r="T84" s="26"/>
      <c r="U84" s="26"/>
      <c r="V84" s="26"/>
      <c r="W84" s="26"/>
      <c r="X84" s="33"/>
      <c r="Y84" s="33"/>
      <c r="Z84" s="33"/>
      <c r="AA84" s="26"/>
      <c r="AB84" s="26"/>
      <c r="AC84" s="26"/>
      <c r="AD84" s="26"/>
      <c r="AE84" s="26"/>
      <c r="AF84" s="26"/>
      <c r="AG84" s="33"/>
      <c r="AH84" s="33"/>
      <c r="AI84" s="33"/>
      <c r="AJ84" s="33"/>
      <c r="AK84" s="32"/>
      <c r="AL84" s="35"/>
      <c r="AM84" s="35"/>
      <c r="AN84" s="32"/>
      <c r="AO84" s="32"/>
      <c r="AP84" s="775"/>
      <c r="AQ84" s="775"/>
      <c r="AR84" s="32"/>
      <c r="AV84" s="32"/>
      <c r="AW84" s="26"/>
      <c r="AX84" s="32"/>
      <c r="BG84" s="32"/>
      <c r="BJ84" s="32"/>
      <c r="BM84" s="32"/>
      <c r="BN84" s="439"/>
      <c r="CA84" s="700"/>
      <c r="CB84" s="700"/>
      <c r="CD84" s="26"/>
      <c r="CE84" s="33"/>
      <c r="CF84" s="103"/>
      <c r="CI84" s="32"/>
      <c r="CJ84" s="26"/>
      <c r="CX84" s="794"/>
      <c r="CY84" s="794"/>
      <c r="DR84" s="439"/>
      <c r="EL84" s="439"/>
      <c r="EM84" s="439"/>
      <c r="EN84" s="711"/>
      <c r="EP84" s="439"/>
      <c r="EQ84" s="439"/>
      <c r="ER84" s="439"/>
      <c r="ES84" s="439"/>
      <c r="ET84" s="439"/>
      <c r="EU84" s="672"/>
      <c r="EX84" s="32"/>
    </row>
    <row r="85" spans="1:154" s="27" customFormat="1" ht="12.75">
      <c r="A85" s="26"/>
      <c r="B85" s="827"/>
      <c r="C85" s="827"/>
      <c r="D85" s="827"/>
      <c r="E85" s="827"/>
      <c r="F85" s="26"/>
      <c r="G85" s="31"/>
      <c r="I85" s="32"/>
      <c r="K85" s="26"/>
      <c r="L85" s="33"/>
      <c r="M85" s="33"/>
      <c r="N85" s="33"/>
      <c r="O85" s="33"/>
      <c r="P85" s="26"/>
      <c r="Q85" s="33"/>
      <c r="R85" s="33"/>
      <c r="S85" s="26"/>
      <c r="T85" s="26"/>
      <c r="U85" s="26"/>
      <c r="V85" s="26"/>
      <c r="W85" s="26"/>
      <c r="X85" s="33"/>
      <c r="Y85" s="33"/>
      <c r="Z85" s="33"/>
      <c r="AA85" s="26"/>
      <c r="AB85" s="26"/>
      <c r="AC85" s="26"/>
      <c r="AD85" s="26"/>
      <c r="AE85" s="26"/>
      <c r="AF85" s="26"/>
      <c r="AG85" s="33"/>
      <c r="AH85" s="33"/>
      <c r="AI85" s="33"/>
      <c r="AJ85" s="33"/>
      <c r="AK85" s="32"/>
      <c r="AL85" s="35"/>
      <c r="AM85" s="35"/>
      <c r="AN85" s="32"/>
      <c r="AO85" s="32"/>
      <c r="AP85" s="775"/>
      <c r="AQ85" s="775"/>
      <c r="AR85" s="32"/>
      <c r="AV85" s="32"/>
      <c r="AW85" s="26"/>
      <c r="AX85" s="32"/>
      <c r="BG85" s="32"/>
      <c r="BJ85" s="32"/>
      <c r="BM85" s="32"/>
      <c r="BN85" s="439"/>
      <c r="CA85" s="700"/>
      <c r="CB85" s="700"/>
      <c r="CD85" s="26"/>
      <c r="CE85" s="33"/>
      <c r="CF85" s="103"/>
      <c r="CI85" s="32"/>
      <c r="CJ85" s="26"/>
      <c r="CX85" s="794"/>
      <c r="CY85" s="794"/>
      <c r="DR85" s="439"/>
      <c r="EL85" s="439"/>
      <c r="EM85" s="439"/>
      <c r="EN85" s="711"/>
      <c r="EP85" s="439"/>
      <c r="EQ85" s="439"/>
      <c r="ER85" s="439"/>
      <c r="ES85" s="439"/>
      <c r="ET85" s="439"/>
      <c r="EU85" s="672"/>
      <c r="EX85" s="32"/>
    </row>
    <row r="86" spans="1:154" s="27" customFormat="1" ht="12.75">
      <c r="A86" s="26"/>
      <c r="B86" s="26"/>
      <c r="C86" s="26"/>
      <c r="D86" s="26"/>
      <c r="E86" s="26"/>
      <c r="F86" s="26"/>
      <c r="G86" s="31"/>
      <c r="I86" s="32"/>
      <c r="K86" s="26"/>
      <c r="L86" s="33"/>
      <c r="M86" s="33"/>
      <c r="N86" s="33"/>
      <c r="O86" s="33"/>
      <c r="P86" s="26"/>
      <c r="Q86" s="33"/>
      <c r="R86" s="33"/>
      <c r="S86" s="26"/>
      <c r="T86" s="26"/>
      <c r="U86" s="26"/>
      <c r="V86" s="26"/>
      <c r="W86" s="26"/>
      <c r="X86" s="33"/>
      <c r="Y86" s="33"/>
      <c r="Z86" s="33"/>
      <c r="AA86" s="26"/>
      <c r="AB86" s="26"/>
      <c r="AC86" s="26"/>
      <c r="AD86" s="26"/>
      <c r="AE86" s="26"/>
      <c r="AF86" s="26"/>
      <c r="AG86" s="33"/>
      <c r="AH86" s="33"/>
      <c r="AI86" s="33"/>
      <c r="AJ86" s="33"/>
      <c r="AK86" s="32"/>
      <c r="AL86" s="35"/>
      <c r="AM86" s="35"/>
      <c r="AN86" s="32"/>
      <c r="AO86" s="32"/>
      <c r="AP86" s="775"/>
      <c r="AQ86" s="775"/>
      <c r="AR86" s="32"/>
      <c r="AV86" s="32"/>
      <c r="AW86" s="26"/>
      <c r="AX86" s="32"/>
      <c r="BG86" s="32"/>
      <c r="BJ86" s="32"/>
      <c r="BM86" s="32"/>
      <c r="BN86" s="439"/>
      <c r="CA86" s="700"/>
      <c r="CB86" s="700"/>
      <c r="CD86" s="26"/>
      <c r="CE86" s="33"/>
      <c r="CF86" s="103"/>
      <c r="CI86" s="32"/>
      <c r="CJ86" s="26"/>
      <c r="CX86" s="794"/>
      <c r="CY86" s="794"/>
      <c r="DR86" s="439"/>
      <c r="EL86" s="439"/>
      <c r="EM86" s="439"/>
      <c r="EN86" s="711"/>
      <c r="EP86" s="439"/>
      <c r="EQ86" s="439"/>
      <c r="ER86" s="439"/>
      <c r="ES86" s="439"/>
      <c r="ET86" s="439"/>
      <c r="EU86" s="672"/>
      <c r="EX86" s="32"/>
    </row>
    <row r="87" spans="1:154" s="27" customFormat="1" ht="12.75">
      <c r="A87" s="26"/>
      <c r="B87" s="26"/>
      <c r="C87" s="26"/>
      <c r="D87" s="26"/>
      <c r="E87" s="26"/>
      <c r="F87" s="26"/>
      <c r="G87" s="31"/>
      <c r="I87" s="32"/>
      <c r="K87" s="26"/>
      <c r="L87" s="33"/>
      <c r="M87" s="33"/>
      <c r="N87" s="33"/>
      <c r="O87" s="33"/>
      <c r="P87" s="26"/>
      <c r="Q87" s="33"/>
      <c r="R87" s="33"/>
      <c r="S87" s="26"/>
      <c r="T87" s="26"/>
      <c r="U87" s="26"/>
      <c r="V87" s="26"/>
      <c r="W87" s="26"/>
      <c r="X87" s="33"/>
      <c r="Y87" s="33"/>
      <c r="Z87" s="33"/>
      <c r="AA87" s="26"/>
      <c r="AB87" s="26"/>
      <c r="AC87" s="26"/>
      <c r="AD87" s="26"/>
      <c r="AE87" s="26"/>
      <c r="AF87" s="26"/>
      <c r="AG87" s="33"/>
      <c r="AH87" s="33"/>
      <c r="AI87" s="33"/>
      <c r="AJ87" s="33"/>
      <c r="AK87" s="32"/>
      <c r="AL87" s="35"/>
      <c r="AM87" s="35"/>
      <c r="AN87" s="32"/>
      <c r="AO87" s="32"/>
      <c r="AP87" s="775"/>
      <c r="AQ87" s="775"/>
      <c r="AR87" s="32"/>
      <c r="AV87" s="32"/>
      <c r="AW87" s="26"/>
      <c r="AX87" s="32"/>
      <c r="BG87" s="32"/>
      <c r="BJ87" s="32"/>
      <c r="BM87" s="32"/>
      <c r="BN87" s="439"/>
      <c r="CA87" s="700"/>
      <c r="CB87" s="700"/>
      <c r="CD87" s="26"/>
      <c r="CE87" s="33"/>
      <c r="CF87" s="103"/>
      <c r="CI87" s="32"/>
      <c r="CJ87" s="26"/>
      <c r="CX87" s="794"/>
      <c r="CY87" s="794"/>
      <c r="DR87" s="439"/>
      <c r="EL87" s="439"/>
      <c r="EM87" s="439"/>
      <c r="EN87" s="711"/>
      <c r="EP87" s="439"/>
      <c r="EQ87" s="439"/>
      <c r="ER87" s="439"/>
      <c r="ES87" s="439"/>
      <c r="ET87" s="439"/>
      <c r="EU87" s="672"/>
      <c r="EX87" s="32"/>
    </row>
    <row r="88" spans="1:154" s="27" customFormat="1" ht="12.75">
      <c r="A88" s="26"/>
      <c r="B88" s="26"/>
      <c r="C88" s="26"/>
      <c r="D88" s="26"/>
      <c r="E88" s="26"/>
      <c r="F88" s="26"/>
      <c r="G88" s="31"/>
      <c r="I88" s="32"/>
      <c r="K88" s="26"/>
      <c r="L88" s="33"/>
      <c r="M88" s="33"/>
      <c r="N88" s="33"/>
      <c r="O88" s="33"/>
      <c r="P88" s="26"/>
      <c r="Q88" s="33"/>
      <c r="R88" s="33"/>
      <c r="S88" s="26"/>
      <c r="T88" s="26"/>
      <c r="U88" s="26"/>
      <c r="V88" s="26"/>
      <c r="W88" s="26"/>
      <c r="X88" s="33"/>
      <c r="Y88" s="33"/>
      <c r="Z88" s="33"/>
      <c r="AA88" s="26"/>
      <c r="AB88" s="26"/>
      <c r="AC88" s="26"/>
      <c r="AD88" s="26"/>
      <c r="AE88" s="26"/>
      <c r="AF88" s="26"/>
      <c r="AG88" s="33"/>
      <c r="AH88" s="33"/>
      <c r="AI88" s="33"/>
      <c r="AJ88" s="33"/>
      <c r="AK88" s="32"/>
      <c r="AL88" s="35"/>
      <c r="AM88" s="35"/>
      <c r="AN88" s="32"/>
      <c r="AO88" s="32"/>
      <c r="AP88" s="775"/>
      <c r="AQ88" s="775"/>
      <c r="AR88" s="32"/>
      <c r="AV88" s="32"/>
      <c r="AW88" s="26"/>
      <c r="AX88" s="32"/>
      <c r="BG88" s="32"/>
      <c r="BJ88" s="32"/>
      <c r="BM88" s="32"/>
      <c r="BN88" s="439"/>
      <c r="CA88" s="700"/>
      <c r="CB88" s="700"/>
      <c r="CD88" s="26"/>
      <c r="CE88" s="33"/>
      <c r="CF88" s="103"/>
      <c r="CI88" s="32"/>
      <c r="CJ88" s="26"/>
      <c r="CX88" s="794"/>
      <c r="CY88" s="794"/>
      <c r="DR88" s="439"/>
      <c r="EL88" s="439"/>
      <c r="EM88" s="439"/>
      <c r="EN88" s="711"/>
      <c r="EP88" s="439"/>
      <c r="EQ88" s="439"/>
      <c r="ER88" s="439"/>
      <c r="ES88" s="439"/>
      <c r="ET88" s="439"/>
      <c r="EU88" s="672"/>
      <c r="EX88" s="32"/>
    </row>
    <row r="89" spans="1:154" s="27" customFormat="1" ht="12.75">
      <c r="A89" s="26"/>
      <c r="B89" s="26"/>
      <c r="C89" s="26"/>
      <c r="D89" s="26"/>
      <c r="E89" s="26"/>
      <c r="F89" s="26"/>
      <c r="G89" s="31"/>
      <c r="I89" s="32"/>
      <c r="K89" s="26"/>
      <c r="L89" s="33"/>
      <c r="M89" s="33"/>
      <c r="N89" s="33"/>
      <c r="O89" s="33"/>
      <c r="P89" s="26"/>
      <c r="Q89" s="33"/>
      <c r="R89" s="33"/>
      <c r="S89" s="26"/>
      <c r="T89" s="26"/>
      <c r="U89" s="26"/>
      <c r="V89" s="26"/>
      <c r="W89" s="26"/>
      <c r="X89" s="33"/>
      <c r="Y89" s="33"/>
      <c r="Z89" s="33"/>
      <c r="AA89" s="26"/>
      <c r="AB89" s="26"/>
      <c r="AC89" s="26"/>
      <c r="AD89" s="26"/>
      <c r="AE89" s="26"/>
      <c r="AF89" s="26"/>
      <c r="AG89" s="33"/>
      <c r="AH89" s="33"/>
      <c r="AI89" s="33"/>
      <c r="AJ89" s="33"/>
      <c r="AK89" s="32"/>
      <c r="AL89" s="35"/>
      <c r="AM89" s="35"/>
      <c r="AN89" s="32"/>
      <c r="AO89" s="32"/>
      <c r="AP89" s="775"/>
      <c r="AQ89" s="775"/>
      <c r="AR89" s="32"/>
      <c r="AV89" s="32"/>
      <c r="AW89" s="26"/>
      <c r="AX89" s="32"/>
      <c r="BG89" s="32"/>
      <c r="BJ89" s="32"/>
      <c r="BM89" s="32"/>
      <c r="BN89" s="439"/>
      <c r="CA89" s="700"/>
      <c r="CB89" s="700"/>
      <c r="CD89" s="26"/>
      <c r="CE89" s="33"/>
      <c r="CF89" s="103"/>
      <c r="CI89" s="32"/>
      <c r="CJ89" s="26"/>
      <c r="CX89" s="794"/>
      <c r="CY89" s="794"/>
      <c r="DR89" s="439"/>
      <c r="EL89" s="439"/>
      <c r="EM89" s="439"/>
      <c r="EN89" s="711"/>
      <c r="EP89" s="439"/>
      <c r="EQ89" s="439"/>
      <c r="ER89" s="439"/>
      <c r="ES89" s="439"/>
      <c r="ET89" s="439"/>
      <c r="EU89" s="672"/>
      <c r="EX89" s="32"/>
    </row>
    <row r="90" spans="1:154" s="27" customFormat="1" ht="12.75">
      <c r="A90" s="26"/>
      <c r="B90" s="26"/>
      <c r="C90" s="26"/>
      <c r="D90" s="26"/>
      <c r="E90" s="26"/>
      <c r="F90" s="26"/>
      <c r="G90" s="31"/>
      <c r="I90" s="32"/>
      <c r="K90" s="26"/>
      <c r="L90" s="33"/>
      <c r="M90" s="33"/>
      <c r="N90" s="33"/>
      <c r="O90" s="33"/>
      <c r="P90" s="26"/>
      <c r="Q90" s="33"/>
      <c r="R90" s="33"/>
      <c r="S90" s="26"/>
      <c r="T90" s="26"/>
      <c r="U90" s="26"/>
      <c r="V90" s="26"/>
      <c r="W90" s="26"/>
      <c r="X90" s="33"/>
      <c r="Y90" s="33"/>
      <c r="Z90" s="33"/>
      <c r="AA90" s="26"/>
      <c r="AB90" s="26"/>
      <c r="AC90" s="26"/>
      <c r="AD90" s="26"/>
      <c r="AE90" s="26"/>
      <c r="AF90" s="26"/>
      <c r="AG90" s="33"/>
      <c r="AH90" s="33"/>
      <c r="AI90" s="33"/>
      <c r="AJ90" s="33"/>
      <c r="AK90" s="32"/>
      <c r="AL90" s="35"/>
      <c r="AM90" s="35"/>
      <c r="AN90" s="32"/>
      <c r="AO90" s="32"/>
      <c r="AP90" s="775"/>
      <c r="AQ90" s="775"/>
      <c r="AR90" s="32"/>
      <c r="AV90" s="32"/>
      <c r="AW90" s="26"/>
      <c r="AX90" s="32"/>
      <c r="BG90" s="32"/>
      <c r="BJ90" s="32"/>
      <c r="BM90" s="32"/>
      <c r="BN90" s="439"/>
      <c r="CA90" s="700"/>
      <c r="CB90" s="700"/>
      <c r="CD90" s="26"/>
      <c r="CE90" s="33"/>
      <c r="CF90" s="103"/>
      <c r="CI90" s="32"/>
      <c r="CJ90" s="26"/>
      <c r="CX90" s="794"/>
      <c r="CY90" s="794"/>
      <c r="DR90" s="439"/>
      <c r="EL90" s="439"/>
      <c r="EM90" s="439"/>
      <c r="EN90" s="711"/>
      <c r="EP90" s="439"/>
      <c r="EQ90" s="439"/>
      <c r="ER90" s="439"/>
      <c r="ES90" s="439"/>
      <c r="ET90" s="439"/>
      <c r="EU90" s="672"/>
      <c r="EX90" s="32"/>
    </row>
    <row r="91" spans="1:154" s="27" customFormat="1" ht="12.75">
      <c r="A91" s="26"/>
      <c r="B91" s="26"/>
      <c r="C91" s="26"/>
      <c r="D91" s="26"/>
      <c r="E91" s="26"/>
      <c r="F91" s="26"/>
      <c r="G91" s="31"/>
      <c r="I91" s="32"/>
      <c r="K91" s="26"/>
      <c r="L91" s="33"/>
      <c r="M91" s="33"/>
      <c r="N91" s="33"/>
      <c r="O91" s="33"/>
      <c r="P91" s="26"/>
      <c r="Q91" s="33"/>
      <c r="R91" s="33"/>
      <c r="S91" s="26"/>
      <c r="T91" s="26"/>
      <c r="U91" s="26"/>
      <c r="V91" s="26"/>
      <c r="W91" s="26"/>
      <c r="X91" s="33"/>
      <c r="Y91" s="33"/>
      <c r="Z91" s="33"/>
      <c r="AA91" s="26"/>
      <c r="AB91" s="26"/>
      <c r="AC91" s="26"/>
      <c r="AD91" s="26"/>
      <c r="AE91" s="26"/>
      <c r="AF91" s="26"/>
      <c r="AG91" s="33"/>
      <c r="AH91" s="33"/>
      <c r="AI91" s="33"/>
      <c r="AJ91" s="33"/>
      <c r="AK91" s="32"/>
      <c r="AL91" s="35"/>
      <c r="AM91" s="35"/>
      <c r="AN91" s="32"/>
      <c r="AO91" s="32"/>
      <c r="AP91" s="775"/>
      <c r="AQ91" s="775"/>
      <c r="AR91" s="32"/>
      <c r="AV91" s="32"/>
      <c r="AW91" s="26"/>
      <c r="AX91" s="32"/>
      <c r="BG91" s="32"/>
      <c r="BJ91" s="32"/>
      <c r="BM91" s="32"/>
      <c r="BN91" s="439"/>
      <c r="CA91" s="700"/>
      <c r="CB91" s="700"/>
      <c r="CD91" s="26"/>
      <c r="CE91" s="33"/>
      <c r="CF91" s="103"/>
      <c r="CI91" s="32"/>
      <c r="CJ91" s="26"/>
      <c r="CX91" s="794"/>
      <c r="CY91" s="794"/>
      <c r="DR91" s="439"/>
      <c r="EL91" s="439"/>
      <c r="EM91" s="439"/>
      <c r="EN91" s="711"/>
      <c r="EP91" s="439"/>
      <c r="EQ91" s="439"/>
      <c r="ER91" s="439"/>
      <c r="ES91" s="439"/>
      <c r="ET91" s="439"/>
      <c r="EU91" s="672"/>
      <c r="EX91" s="32"/>
    </row>
    <row r="92" spans="1:154" s="27" customFormat="1" ht="12.75">
      <c r="A92" s="26"/>
      <c r="B92" s="26"/>
      <c r="C92" s="26"/>
      <c r="D92" s="26"/>
      <c r="E92" s="26"/>
      <c r="F92" s="26"/>
      <c r="G92" s="31"/>
      <c r="I92" s="32"/>
      <c r="K92" s="26"/>
      <c r="L92" s="33"/>
      <c r="M92" s="33"/>
      <c r="N92" s="33"/>
      <c r="O92" s="33"/>
      <c r="P92" s="26"/>
      <c r="Q92" s="33"/>
      <c r="R92" s="33"/>
      <c r="S92" s="26"/>
      <c r="T92" s="26"/>
      <c r="U92" s="26"/>
      <c r="V92" s="26"/>
      <c r="W92" s="26"/>
      <c r="X92" s="33"/>
      <c r="Y92" s="33"/>
      <c r="Z92" s="33"/>
      <c r="AA92" s="26"/>
      <c r="AB92" s="26"/>
      <c r="AC92" s="26"/>
      <c r="AD92" s="26"/>
      <c r="AE92" s="26"/>
      <c r="AF92" s="26"/>
      <c r="AG92" s="33"/>
      <c r="AH92" s="33"/>
      <c r="AI92" s="33"/>
      <c r="AJ92" s="33"/>
      <c r="AK92" s="32"/>
      <c r="AL92" s="35"/>
      <c r="AM92" s="35"/>
      <c r="AN92" s="32"/>
      <c r="AO92" s="32"/>
      <c r="AP92" s="775"/>
      <c r="AQ92" s="775"/>
      <c r="AR92" s="32"/>
      <c r="AV92" s="32"/>
      <c r="AW92" s="26"/>
      <c r="AX92" s="32"/>
      <c r="BG92" s="32"/>
      <c r="BJ92" s="32"/>
      <c r="BM92" s="32"/>
      <c r="BN92" s="439"/>
      <c r="CA92" s="700"/>
      <c r="CB92" s="700"/>
      <c r="CD92" s="26"/>
      <c r="CE92" s="33"/>
      <c r="CF92" s="103"/>
      <c r="CI92" s="32"/>
      <c r="CJ92" s="26"/>
      <c r="CX92" s="794"/>
      <c r="CY92" s="794"/>
      <c r="DR92" s="439"/>
      <c r="EL92" s="439"/>
      <c r="EM92" s="439"/>
      <c r="EN92" s="711"/>
      <c r="EP92" s="439"/>
      <c r="EQ92" s="439"/>
      <c r="ER92" s="439"/>
      <c r="ES92" s="439"/>
      <c r="ET92" s="439"/>
      <c r="EU92" s="672"/>
      <c r="EX92" s="32"/>
    </row>
    <row r="93" spans="1:154" s="27" customFormat="1" ht="12.75">
      <c r="A93" s="26"/>
      <c r="B93" s="26"/>
      <c r="C93" s="26"/>
      <c r="D93" s="26"/>
      <c r="E93" s="26"/>
      <c r="F93" s="26"/>
      <c r="G93" s="31"/>
      <c r="I93" s="32"/>
      <c r="K93" s="26"/>
      <c r="L93" s="33"/>
      <c r="M93" s="33"/>
      <c r="N93" s="33"/>
      <c r="O93" s="33"/>
      <c r="P93" s="26"/>
      <c r="Q93" s="33"/>
      <c r="R93" s="33"/>
      <c r="S93" s="26"/>
      <c r="T93" s="26"/>
      <c r="U93" s="26"/>
      <c r="V93" s="26"/>
      <c r="W93" s="26"/>
      <c r="X93" s="33"/>
      <c r="Y93" s="33"/>
      <c r="Z93" s="33"/>
      <c r="AA93" s="26"/>
      <c r="AB93" s="26"/>
      <c r="AC93" s="26"/>
      <c r="AD93" s="26"/>
      <c r="AE93" s="26"/>
      <c r="AF93" s="26"/>
      <c r="AG93" s="33"/>
      <c r="AH93" s="33"/>
      <c r="AI93" s="33"/>
      <c r="AJ93" s="33"/>
      <c r="AK93" s="32"/>
      <c r="AL93" s="35"/>
      <c r="AM93" s="35"/>
      <c r="AN93" s="32"/>
      <c r="AO93" s="32"/>
      <c r="AP93" s="775"/>
      <c r="AQ93" s="775"/>
      <c r="AR93" s="32"/>
      <c r="AV93" s="32"/>
      <c r="AW93" s="26"/>
      <c r="AX93" s="32"/>
      <c r="BG93" s="32"/>
      <c r="BJ93" s="32"/>
      <c r="BM93" s="32"/>
      <c r="BN93" s="439"/>
      <c r="CA93" s="700"/>
      <c r="CB93" s="700"/>
      <c r="CD93" s="26"/>
      <c r="CE93" s="33"/>
      <c r="CF93" s="103"/>
      <c r="CI93" s="32"/>
      <c r="CJ93" s="26"/>
      <c r="CX93" s="794"/>
      <c r="CY93" s="794"/>
      <c r="DR93" s="439"/>
      <c r="EL93" s="439"/>
      <c r="EM93" s="439"/>
      <c r="EN93" s="711"/>
      <c r="EP93" s="439"/>
      <c r="EQ93" s="439"/>
      <c r="ER93" s="439"/>
      <c r="ES93" s="439"/>
      <c r="ET93" s="439"/>
      <c r="EU93" s="672"/>
      <c r="EX93" s="32"/>
    </row>
    <row r="94" spans="1:154" s="27" customFormat="1" ht="12.75">
      <c r="A94" s="26"/>
      <c r="B94" s="26"/>
      <c r="C94" s="26"/>
      <c r="D94" s="26"/>
      <c r="E94" s="26"/>
      <c r="F94" s="26"/>
      <c r="G94" s="31"/>
      <c r="I94" s="32"/>
      <c r="K94" s="26"/>
      <c r="L94" s="33"/>
      <c r="M94" s="33"/>
      <c r="N94" s="33"/>
      <c r="O94" s="33"/>
      <c r="P94" s="26"/>
      <c r="Q94" s="33"/>
      <c r="R94" s="33"/>
      <c r="S94" s="26"/>
      <c r="T94" s="26"/>
      <c r="U94" s="26"/>
      <c r="V94" s="26"/>
      <c r="W94" s="26"/>
      <c r="X94" s="33"/>
      <c r="Y94" s="33"/>
      <c r="Z94" s="33"/>
      <c r="AA94" s="26"/>
      <c r="AB94" s="26"/>
      <c r="AC94" s="26"/>
      <c r="AD94" s="26"/>
      <c r="AE94" s="26"/>
      <c r="AF94" s="26"/>
      <c r="AG94" s="33"/>
      <c r="AH94" s="33"/>
      <c r="AI94" s="33"/>
      <c r="AJ94" s="33"/>
      <c r="AK94" s="32"/>
      <c r="AL94" s="35"/>
      <c r="AM94" s="35"/>
      <c r="AN94" s="32"/>
      <c r="AO94" s="32"/>
      <c r="AP94" s="775"/>
      <c r="AQ94" s="775"/>
      <c r="AR94" s="32"/>
      <c r="AV94" s="32"/>
      <c r="AW94" s="26"/>
      <c r="AX94" s="32"/>
      <c r="BG94" s="32"/>
      <c r="BJ94" s="32"/>
      <c r="BM94" s="32"/>
      <c r="BN94" s="439"/>
      <c r="CA94" s="700"/>
      <c r="CB94" s="700"/>
      <c r="CD94" s="26"/>
      <c r="CE94" s="33"/>
      <c r="CF94" s="103"/>
      <c r="CI94" s="32"/>
      <c r="CJ94" s="26"/>
      <c r="CX94" s="794"/>
      <c r="CY94" s="794"/>
      <c r="DR94" s="439"/>
      <c r="EL94" s="439"/>
      <c r="EM94" s="439"/>
      <c r="EN94" s="711"/>
      <c r="EP94" s="439"/>
      <c r="EQ94" s="439"/>
      <c r="ER94" s="439"/>
      <c r="ES94" s="439"/>
      <c r="ET94" s="439"/>
      <c r="EU94" s="672"/>
      <c r="EX94" s="32"/>
    </row>
    <row r="95" spans="1:154" s="27" customFormat="1" ht="12.75">
      <c r="A95" s="26"/>
      <c r="B95" s="26"/>
      <c r="C95" s="26"/>
      <c r="D95" s="26"/>
      <c r="E95" s="26"/>
      <c r="F95" s="26"/>
      <c r="G95" s="31"/>
      <c r="I95" s="32"/>
      <c r="K95" s="26"/>
      <c r="L95" s="33"/>
      <c r="M95" s="33"/>
      <c r="N95" s="33"/>
      <c r="O95" s="33"/>
      <c r="P95" s="26"/>
      <c r="Q95" s="33"/>
      <c r="R95" s="33"/>
      <c r="S95" s="26"/>
      <c r="T95" s="26"/>
      <c r="U95" s="26"/>
      <c r="V95" s="26"/>
      <c r="W95" s="26"/>
      <c r="X95" s="33"/>
      <c r="Y95" s="33"/>
      <c r="Z95" s="33"/>
      <c r="AA95" s="26"/>
      <c r="AB95" s="26"/>
      <c r="AC95" s="26"/>
      <c r="AD95" s="26"/>
      <c r="AE95" s="26"/>
      <c r="AF95" s="26"/>
      <c r="AG95" s="33"/>
      <c r="AH95" s="33"/>
      <c r="AI95" s="33"/>
      <c r="AJ95" s="33"/>
      <c r="AK95" s="32"/>
      <c r="AL95" s="35"/>
      <c r="AM95" s="35"/>
      <c r="AN95" s="32"/>
      <c r="AO95" s="32"/>
      <c r="AP95" s="775"/>
      <c r="AQ95" s="775"/>
      <c r="AR95" s="32"/>
      <c r="AV95" s="32"/>
      <c r="AW95" s="26"/>
      <c r="AX95" s="32"/>
      <c r="BG95" s="32"/>
      <c r="BJ95" s="32"/>
      <c r="BM95" s="32"/>
      <c r="BN95" s="439"/>
      <c r="CA95" s="700"/>
      <c r="CB95" s="700"/>
      <c r="CD95" s="26"/>
      <c r="CE95" s="33"/>
      <c r="CF95" s="103"/>
      <c r="CI95" s="32"/>
      <c r="CJ95" s="26"/>
      <c r="CX95" s="794"/>
      <c r="CY95" s="794"/>
      <c r="DR95" s="439"/>
      <c r="EL95" s="439"/>
      <c r="EM95" s="439"/>
      <c r="EN95" s="711"/>
      <c r="EP95" s="439"/>
      <c r="EQ95" s="439"/>
      <c r="ER95" s="439"/>
      <c r="ES95" s="439"/>
      <c r="ET95" s="439"/>
      <c r="EU95" s="672"/>
      <c r="EX95" s="32"/>
    </row>
    <row r="96" spans="1:154" s="27" customFormat="1" ht="12.75">
      <c r="A96" s="26"/>
      <c r="B96" s="26"/>
      <c r="C96" s="26"/>
      <c r="D96" s="26"/>
      <c r="E96" s="26"/>
      <c r="F96" s="26"/>
      <c r="G96" s="31"/>
      <c r="I96" s="32"/>
      <c r="K96" s="26"/>
      <c r="L96" s="33"/>
      <c r="M96" s="33"/>
      <c r="N96" s="33"/>
      <c r="O96" s="33"/>
      <c r="P96" s="26"/>
      <c r="Q96" s="33"/>
      <c r="R96" s="33"/>
      <c r="S96" s="26"/>
      <c r="T96" s="26"/>
      <c r="U96" s="26"/>
      <c r="V96" s="26"/>
      <c r="W96" s="26"/>
      <c r="X96" s="33"/>
      <c r="Y96" s="33"/>
      <c r="Z96" s="33"/>
      <c r="AA96" s="26"/>
      <c r="AB96" s="26"/>
      <c r="AC96" s="26"/>
      <c r="AD96" s="26"/>
      <c r="AE96" s="26"/>
      <c r="AF96" s="26"/>
      <c r="AG96" s="33"/>
      <c r="AH96" s="33"/>
      <c r="AI96" s="33"/>
      <c r="AJ96" s="33"/>
      <c r="AK96" s="32"/>
      <c r="AL96" s="35"/>
      <c r="AM96" s="35"/>
      <c r="AN96" s="32"/>
      <c r="AO96" s="32"/>
      <c r="AP96" s="775"/>
      <c r="AQ96" s="775"/>
      <c r="AR96" s="32"/>
      <c r="AV96" s="32"/>
      <c r="AW96" s="26"/>
      <c r="AX96" s="32"/>
      <c r="BG96" s="32"/>
      <c r="BJ96" s="32"/>
      <c r="BM96" s="32"/>
      <c r="BN96" s="439"/>
      <c r="CA96" s="700"/>
      <c r="CB96" s="700"/>
      <c r="CD96" s="26"/>
      <c r="CE96" s="33"/>
      <c r="CF96" s="103"/>
      <c r="CI96" s="32"/>
      <c r="CJ96" s="26"/>
      <c r="CX96" s="794"/>
      <c r="CY96" s="794"/>
      <c r="DR96" s="439"/>
      <c r="EL96" s="439"/>
      <c r="EM96" s="439"/>
      <c r="EN96" s="711"/>
      <c r="EP96" s="439"/>
      <c r="EQ96" s="439"/>
      <c r="ER96" s="439"/>
      <c r="ES96" s="439"/>
      <c r="ET96" s="439"/>
      <c r="EU96" s="672"/>
      <c r="EX96" s="32"/>
    </row>
    <row r="97" spans="1:154" s="27" customFormat="1" ht="12.75">
      <c r="A97" s="26"/>
      <c r="B97" s="26"/>
      <c r="C97" s="26"/>
      <c r="D97" s="26"/>
      <c r="E97" s="26"/>
      <c r="F97" s="26"/>
      <c r="G97" s="31"/>
      <c r="I97" s="32"/>
      <c r="K97" s="26"/>
      <c r="L97" s="33"/>
      <c r="M97" s="33"/>
      <c r="N97" s="33"/>
      <c r="O97" s="33"/>
      <c r="P97" s="26"/>
      <c r="Q97" s="33"/>
      <c r="R97" s="33"/>
      <c r="S97" s="26"/>
      <c r="T97" s="26"/>
      <c r="U97" s="26"/>
      <c r="V97" s="26"/>
      <c r="W97" s="26"/>
      <c r="X97" s="33"/>
      <c r="Y97" s="33"/>
      <c r="Z97" s="33"/>
      <c r="AA97" s="26"/>
      <c r="AB97" s="26"/>
      <c r="AC97" s="26"/>
      <c r="AD97" s="26"/>
      <c r="AE97" s="26"/>
      <c r="AF97" s="26"/>
      <c r="AG97" s="33"/>
      <c r="AH97" s="33"/>
      <c r="AI97" s="33"/>
      <c r="AJ97" s="33"/>
      <c r="AK97" s="32"/>
      <c r="AL97" s="35"/>
      <c r="AM97" s="35"/>
      <c r="AN97" s="32"/>
      <c r="AO97" s="32"/>
      <c r="AP97" s="775"/>
      <c r="AQ97" s="775"/>
      <c r="AR97" s="32"/>
      <c r="AV97" s="32"/>
      <c r="AW97" s="26"/>
      <c r="AX97" s="32"/>
      <c r="BG97" s="32"/>
      <c r="BJ97" s="32"/>
      <c r="BM97" s="32"/>
      <c r="BN97" s="439"/>
      <c r="CA97" s="700"/>
      <c r="CB97" s="700"/>
      <c r="CD97" s="26"/>
      <c r="CE97" s="33"/>
      <c r="CF97" s="103"/>
      <c r="CI97" s="32"/>
      <c r="CJ97" s="26"/>
      <c r="CX97" s="794"/>
      <c r="CY97" s="794"/>
      <c r="DR97" s="439"/>
      <c r="EL97" s="439"/>
      <c r="EM97" s="439"/>
      <c r="EN97" s="711"/>
      <c r="EP97" s="439"/>
      <c r="EQ97" s="439"/>
      <c r="ER97" s="439"/>
      <c r="ES97" s="439"/>
      <c r="ET97" s="439"/>
      <c r="EU97" s="672"/>
      <c r="EX97" s="32"/>
    </row>
    <row r="98" spans="1:154" s="27" customFormat="1" ht="12.75">
      <c r="A98" s="26"/>
      <c r="B98" s="26"/>
      <c r="C98" s="26"/>
      <c r="D98" s="26"/>
      <c r="E98" s="26"/>
      <c r="F98" s="26"/>
      <c r="G98" s="31"/>
      <c r="I98" s="32"/>
      <c r="K98" s="26"/>
      <c r="L98" s="33"/>
      <c r="M98" s="33"/>
      <c r="N98" s="33"/>
      <c r="O98" s="33"/>
      <c r="P98" s="26"/>
      <c r="Q98" s="33"/>
      <c r="R98" s="33"/>
      <c r="S98" s="26"/>
      <c r="T98" s="26"/>
      <c r="U98" s="26"/>
      <c r="V98" s="26"/>
      <c r="W98" s="26"/>
      <c r="X98" s="33"/>
      <c r="Y98" s="33"/>
      <c r="Z98" s="33"/>
      <c r="AA98" s="26"/>
      <c r="AB98" s="26"/>
      <c r="AC98" s="26"/>
      <c r="AD98" s="26"/>
      <c r="AE98" s="26"/>
      <c r="AF98" s="26"/>
      <c r="AG98" s="33"/>
      <c r="AH98" s="33"/>
      <c r="AI98" s="33"/>
      <c r="AJ98" s="33"/>
      <c r="AK98" s="32"/>
      <c r="AL98" s="35"/>
      <c r="AM98" s="35"/>
      <c r="AN98" s="32"/>
      <c r="AO98" s="32"/>
      <c r="AP98" s="775"/>
      <c r="AQ98" s="775"/>
      <c r="AR98" s="32"/>
      <c r="AV98" s="32"/>
      <c r="AW98" s="26"/>
      <c r="AX98" s="32"/>
      <c r="BG98" s="32"/>
      <c r="BJ98" s="32"/>
      <c r="BM98" s="32"/>
      <c r="BN98" s="439"/>
      <c r="CA98" s="700"/>
      <c r="CB98" s="700"/>
      <c r="CD98" s="26"/>
      <c r="CE98" s="33"/>
      <c r="CF98" s="103"/>
      <c r="CI98" s="32"/>
      <c r="CJ98" s="26"/>
      <c r="CX98" s="794"/>
      <c r="CY98" s="794"/>
      <c r="DR98" s="439"/>
      <c r="EL98" s="439"/>
      <c r="EM98" s="439"/>
      <c r="EN98" s="711"/>
      <c r="EP98" s="439"/>
      <c r="EQ98" s="439"/>
      <c r="ER98" s="439"/>
      <c r="ES98" s="439"/>
      <c r="ET98" s="439"/>
      <c r="EU98" s="672"/>
      <c r="EX98" s="32"/>
    </row>
    <row r="99" spans="1:154" s="27" customFormat="1" ht="12.75">
      <c r="A99" s="26"/>
      <c r="B99" s="26"/>
      <c r="C99" s="26"/>
      <c r="D99" s="26"/>
      <c r="E99" s="26"/>
      <c r="F99" s="26"/>
      <c r="G99" s="31"/>
      <c r="I99" s="32"/>
      <c r="K99" s="26"/>
      <c r="L99" s="33"/>
      <c r="M99" s="33"/>
      <c r="N99" s="33"/>
      <c r="O99" s="33"/>
      <c r="P99" s="26"/>
      <c r="Q99" s="33"/>
      <c r="R99" s="33"/>
      <c r="S99" s="26"/>
      <c r="T99" s="26"/>
      <c r="U99" s="26"/>
      <c r="V99" s="26"/>
      <c r="W99" s="26"/>
      <c r="X99" s="33"/>
      <c r="Y99" s="33"/>
      <c r="Z99" s="33"/>
      <c r="AA99" s="26"/>
      <c r="AB99" s="26"/>
      <c r="AC99" s="26"/>
      <c r="AD99" s="26"/>
      <c r="AE99" s="26"/>
      <c r="AF99" s="26"/>
      <c r="AG99" s="33"/>
      <c r="AH99" s="33"/>
      <c r="AI99" s="33"/>
      <c r="AJ99" s="33"/>
      <c r="AK99" s="32"/>
      <c r="AL99" s="35"/>
      <c r="AM99" s="35"/>
      <c r="AN99" s="32"/>
      <c r="AO99" s="32"/>
      <c r="AP99" s="775"/>
      <c r="AQ99" s="775"/>
      <c r="AR99" s="32"/>
      <c r="AV99" s="32"/>
      <c r="AW99" s="26"/>
      <c r="AX99" s="32"/>
      <c r="BG99" s="32"/>
      <c r="BJ99" s="32"/>
      <c r="BM99" s="32"/>
      <c r="BN99" s="439"/>
      <c r="CA99" s="700"/>
      <c r="CB99" s="700"/>
      <c r="CD99" s="26"/>
      <c r="CE99" s="33"/>
      <c r="CF99" s="103"/>
      <c r="CI99" s="32"/>
      <c r="CJ99" s="26"/>
      <c r="CX99" s="794"/>
      <c r="CY99" s="794"/>
      <c r="DR99" s="439"/>
      <c r="EL99" s="439"/>
      <c r="EM99" s="439"/>
      <c r="EN99" s="711"/>
      <c r="EP99" s="439"/>
      <c r="EQ99" s="439"/>
      <c r="ER99" s="439"/>
      <c r="ES99" s="439"/>
      <c r="ET99" s="439"/>
      <c r="EU99" s="672"/>
      <c r="EX99" s="32"/>
    </row>
    <row r="100" spans="1:154" s="27" customFormat="1" ht="12.75">
      <c r="A100" s="26"/>
      <c r="B100" s="26"/>
      <c r="C100" s="26"/>
      <c r="D100" s="26"/>
      <c r="E100" s="26"/>
      <c r="F100" s="26"/>
      <c r="G100" s="31"/>
      <c r="I100" s="32"/>
      <c r="K100" s="26"/>
      <c r="L100" s="33"/>
      <c r="M100" s="33"/>
      <c r="N100" s="33"/>
      <c r="O100" s="33"/>
      <c r="P100" s="26"/>
      <c r="Q100" s="33"/>
      <c r="R100" s="33"/>
      <c r="S100" s="26"/>
      <c r="T100" s="26"/>
      <c r="U100" s="26"/>
      <c r="V100" s="26"/>
      <c r="W100" s="26"/>
      <c r="X100" s="33"/>
      <c r="Y100" s="33"/>
      <c r="Z100" s="33"/>
      <c r="AA100" s="26"/>
      <c r="AB100" s="26"/>
      <c r="AC100" s="26"/>
      <c r="AD100" s="26"/>
      <c r="AE100" s="26"/>
      <c r="AF100" s="26"/>
      <c r="AG100" s="33"/>
      <c r="AH100" s="33"/>
      <c r="AI100" s="33"/>
      <c r="AJ100" s="33"/>
      <c r="AK100" s="32"/>
      <c r="AL100" s="35"/>
      <c r="AM100" s="35"/>
      <c r="AN100" s="32"/>
      <c r="AO100" s="32"/>
      <c r="AP100" s="775"/>
      <c r="AQ100" s="775"/>
      <c r="AR100" s="32"/>
      <c r="AV100" s="32"/>
      <c r="AW100" s="26"/>
      <c r="AX100" s="32"/>
      <c r="BG100" s="32"/>
      <c r="BJ100" s="32"/>
      <c r="BM100" s="32"/>
      <c r="BN100" s="439"/>
      <c r="CA100" s="700"/>
      <c r="CB100" s="700"/>
      <c r="CD100" s="26"/>
      <c r="CE100" s="33"/>
      <c r="CF100" s="103"/>
      <c r="CI100" s="32"/>
      <c r="CJ100" s="26"/>
      <c r="CX100" s="794"/>
      <c r="CY100" s="794"/>
      <c r="DR100" s="439"/>
      <c r="EL100" s="439"/>
      <c r="EM100" s="439"/>
      <c r="EN100" s="711"/>
      <c r="EP100" s="439"/>
      <c r="EQ100" s="439"/>
      <c r="ER100" s="439"/>
      <c r="ES100" s="439"/>
      <c r="ET100" s="439"/>
      <c r="EU100" s="672"/>
      <c r="EX100" s="32"/>
    </row>
    <row r="101" spans="1:154" s="27" customFormat="1" ht="12.75">
      <c r="A101" s="26"/>
      <c r="B101" s="26"/>
      <c r="C101" s="26"/>
      <c r="D101" s="26"/>
      <c r="E101" s="26"/>
      <c r="F101" s="26"/>
      <c r="G101" s="31"/>
      <c r="I101" s="32"/>
      <c r="K101" s="26"/>
      <c r="L101" s="33"/>
      <c r="M101" s="33"/>
      <c r="N101" s="33"/>
      <c r="O101" s="33"/>
      <c r="P101" s="26"/>
      <c r="Q101" s="33"/>
      <c r="R101" s="33"/>
      <c r="S101" s="26"/>
      <c r="T101" s="26"/>
      <c r="U101" s="26"/>
      <c r="V101" s="26"/>
      <c r="W101" s="26"/>
      <c r="X101" s="33"/>
      <c r="Y101" s="33"/>
      <c r="Z101" s="33"/>
      <c r="AA101" s="26"/>
      <c r="AB101" s="26"/>
      <c r="AC101" s="26"/>
      <c r="AD101" s="26"/>
      <c r="AE101" s="26"/>
      <c r="AF101" s="26"/>
      <c r="AG101" s="33"/>
      <c r="AH101" s="33"/>
      <c r="AI101" s="33"/>
      <c r="AJ101" s="33"/>
      <c r="AK101" s="32"/>
      <c r="AL101" s="35"/>
      <c r="AM101" s="35"/>
      <c r="AN101" s="32"/>
      <c r="AO101" s="32"/>
      <c r="AP101" s="775"/>
      <c r="AQ101" s="775"/>
      <c r="AR101" s="32"/>
      <c r="AV101" s="32"/>
      <c r="AW101" s="26"/>
      <c r="AX101" s="32"/>
      <c r="BG101" s="32"/>
      <c r="BJ101" s="32"/>
      <c r="BM101" s="32"/>
      <c r="BN101" s="439"/>
      <c r="CA101" s="700"/>
      <c r="CB101" s="700"/>
      <c r="CD101" s="26"/>
      <c r="CE101" s="33"/>
      <c r="CF101" s="103"/>
      <c r="CI101" s="32"/>
      <c r="CJ101" s="26"/>
      <c r="CX101" s="794"/>
      <c r="CY101" s="794"/>
      <c r="DR101" s="439"/>
      <c r="EL101" s="439"/>
      <c r="EM101" s="439"/>
      <c r="EN101" s="711"/>
      <c r="EP101" s="439"/>
      <c r="EQ101" s="439"/>
      <c r="ER101" s="439"/>
      <c r="ES101" s="439"/>
      <c r="ET101" s="439"/>
      <c r="EU101" s="672"/>
      <c r="EX101" s="32"/>
    </row>
    <row r="102" spans="1:154" s="27" customFormat="1" ht="12.75">
      <c r="A102" s="26"/>
      <c r="B102" s="26"/>
      <c r="C102" s="26"/>
      <c r="D102" s="26"/>
      <c r="E102" s="26"/>
      <c r="F102" s="26"/>
      <c r="G102" s="31"/>
      <c r="I102" s="32"/>
      <c r="K102" s="26"/>
      <c r="L102" s="33"/>
      <c r="M102" s="33"/>
      <c r="N102" s="33"/>
      <c r="O102" s="33"/>
      <c r="P102" s="26"/>
      <c r="Q102" s="33"/>
      <c r="R102" s="33"/>
      <c r="S102" s="26"/>
      <c r="T102" s="26"/>
      <c r="U102" s="26"/>
      <c r="V102" s="26"/>
      <c r="W102" s="26"/>
      <c r="X102" s="33"/>
      <c r="Y102" s="33"/>
      <c r="Z102" s="33"/>
      <c r="AA102" s="26"/>
      <c r="AB102" s="26"/>
      <c r="AC102" s="26"/>
      <c r="AD102" s="26"/>
      <c r="AE102" s="26"/>
      <c r="AF102" s="26"/>
      <c r="AG102" s="33"/>
      <c r="AH102" s="33"/>
      <c r="AI102" s="33"/>
      <c r="AJ102" s="33"/>
      <c r="AK102" s="32"/>
      <c r="AL102" s="35"/>
      <c r="AM102" s="35"/>
      <c r="AN102" s="32"/>
      <c r="AO102" s="32"/>
      <c r="AP102" s="775"/>
      <c r="AQ102" s="775"/>
      <c r="AR102" s="32"/>
      <c r="AV102" s="32"/>
      <c r="AW102" s="26"/>
      <c r="AX102" s="32"/>
      <c r="BG102" s="32"/>
      <c r="BJ102" s="32"/>
      <c r="BM102" s="32"/>
      <c r="BN102" s="439"/>
      <c r="CA102" s="700"/>
      <c r="CB102" s="700"/>
      <c r="CD102" s="26"/>
      <c r="CE102" s="33"/>
      <c r="CF102" s="103"/>
      <c r="CI102" s="32"/>
      <c r="CJ102" s="26"/>
      <c r="CX102" s="794"/>
      <c r="CY102" s="794"/>
      <c r="DR102" s="439"/>
      <c r="EL102" s="439"/>
      <c r="EM102" s="439"/>
      <c r="EN102" s="711"/>
      <c r="EP102" s="439"/>
      <c r="EQ102" s="439"/>
      <c r="ER102" s="439"/>
      <c r="ES102" s="439"/>
      <c r="ET102" s="439"/>
      <c r="EU102" s="672"/>
      <c r="EX102" s="32"/>
    </row>
    <row r="103" spans="1:154" s="27" customFormat="1" ht="12.75">
      <c r="A103" s="26"/>
      <c r="B103" s="26"/>
      <c r="C103" s="26"/>
      <c r="D103" s="26"/>
      <c r="E103" s="26"/>
      <c r="F103" s="26"/>
      <c r="G103" s="31"/>
      <c r="I103" s="32"/>
      <c r="K103" s="26"/>
      <c r="L103" s="33"/>
      <c r="M103" s="33"/>
      <c r="N103" s="33"/>
      <c r="O103" s="33"/>
      <c r="P103" s="26"/>
      <c r="Q103" s="33"/>
      <c r="R103" s="33"/>
      <c r="S103" s="26"/>
      <c r="T103" s="26"/>
      <c r="U103" s="26"/>
      <c r="V103" s="26"/>
      <c r="W103" s="26"/>
      <c r="X103" s="33"/>
      <c r="Y103" s="33"/>
      <c r="Z103" s="33"/>
      <c r="AA103" s="26"/>
      <c r="AB103" s="26"/>
      <c r="AC103" s="26"/>
      <c r="AD103" s="26"/>
      <c r="AE103" s="26"/>
      <c r="AF103" s="26"/>
      <c r="AG103" s="33"/>
      <c r="AH103" s="33"/>
      <c r="AI103" s="33"/>
      <c r="AJ103" s="33"/>
      <c r="AK103" s="32"/>
      <c r="AL103" s="35"/>
      <c r="AM103" s="35"/>
      <c r="AN103" s="32"/>
      <c r="AO103" s="32"/>
      <c r="AP103" s="775"/>
      <c r="AQ103" s="775"/>
      <c r="AR103" s="32"/>
      <c r="AV103" s="32"/>
      <c r="AW103" s="26"/>
      <c r="AX103" s="32"/>
      <c r="BG103" s="32"/>
      <c r="BJ103" s="32"/>
      <c r="BM103" s="32"/>
      <c r="BN103" s="439"/>
      <c r="CA103" s="700"/>
      <c r="CB103" s="700"/>
      <c r="CD103" s="26"/>
      <c r="CE103" s="33"/>
      <c r="CF103" s="103"/>
      <c r="CI103" s="32"/>
      <c r="CJ103" s="26"/>
      <c r="CX103" s="794"/>
      <c r="CY103" s="794"/>
      <c r="DR103" s="439"/>
      <c r="EL103" s="439"/>
      <c r="EM103" s="439"/>
      <c r="EN103" s="711"/>
      <c r="EP103" s="439"/>
      <c r="EQ103" s="439"/>
      <c r="ER103" s="439"/>
      <c r="ES103" s="439"/>
      <c r="ET103" s="439"/>
      <c r="EU103" s="672"/>
      <c r="EX103" s="32"/>
    </row>
    <row r="104" spans="1:154" s="27" customFormat="1" ht="12.75">
      <c r="A104" s="26"/>
      <c r="B104" s="26"/>
      <c r="C104" s="26"/>
      <c r="D104" s="26"/>
      <c r="E104" s="26"/>
      <c r="F104" s="26"/>
      <c r="G104" s="31"/>
      <c r="I104" s="32"/>
      <c r="K104" s="26"/>
      <c r="L104" s="33"/>
      <c r="M104" s="33"/>
      <c r="N104" s="33"/>
      <c r="O104" s="33"/>
      <c r="P104" s="26"/>
      <c r="Q104" s="33"/>
      <c r="R104" s="33"/>
      <c r="S104" s="26"/>
      <c r="T104" s="26"/>
      <c r="U104" s="26"/>
      <c r="V104" s="26"/>
      <c r="W104" s="26"/>
      <c r="X104" s="33"/>
      <c r="Y104" s="33"/>
      <c r="Z104" s="33"/>
      <c r="AA104" s="26"/>
      <c r="AB104" s="26"/>
      <c r="AC104" s="26"/>
      <c r="AD104" s="26"/>
      <c r="AE104" s="26"/>
      <c r="AF104" s="26"/>
      <c r="AG104" s="33"/>
      <c r="AH104" s="33"/>
      <c r="AI104" s="33"/>
      <c r="AJ104" s="33"/>
      <c r="AK104" s="32"/>
      <c r="AL104" s="35"/>
      <c r="AM104" s="35"/>
      <c r="AN104" s="32"/>
      <c r="AO104" s="32"/>
      <c r="AP104" s="775"/>
      <c r="AQ104" s="775"/>
      <c r="AR104" s="32"/>
      <c r="AV104" s="32"/>
      <c r="AW104" s="26"/>
      <c r="AX104" s="32"/>
      <c r="BG104" s="32"/>
      <c r="BJ104" s="32"/>
      <c r="BM104" s="32"/>
      <c r="BN104" s="439"/>
      <c r="CA104" s="700"/>
      <c r="CB104" s="700"/>
      <c r="CD104" s="26"/>
      <c r="CE104" s="33"/>
      <c r="CF104" s="103"/>
      <c r="CI104" s="32"/>
      <c r="CJ104" s="26"/>
      <c r="CX104" s="794"/>
      <c r="CY104" s="794"/>
      <c r="DR104" s="439"/>
      <c r="EL104" s="439"/>
      <c r="EM104" s="439"/>
      <c r="EN104" s="711"/>
      <c r="EP104" s="439"/>
      <c r="EQ104" s="439"/>
      <c r="ER104" s="439"/>
      <c r="ES104" s="439"/>
      <c r="ET104" s="439"/>
      <c r="EU104" s="672"/>
      <c r="EX104" s="32"/>
    </row>
    <row r="105" spans="1:154" s="27" customFormat="1" ht="12.75">
      <c r="A105" s="26"/>
      <c r="B105" s="26"/>
      <c r="C105" s="26"/>
      <c r="D105" s="26"/>
      <c r="E105" s="26"/>
      <c r="F105" s="26"/>
      <c r="G105" s="31"/>
      <c r="I105" s="32"/>
      <c r="K105" s="26"/>
      <c r="L105" s="33"/>
      <c r="M105" s="33"/>
      <c r="N105" s="33"/>
      <c r="O105" s="33"/>
      <c r="P105" s="26"/>
      <c r="Q105" s="33"/>
      <c r="R105" s="33"/>
      <c r="S105" s="26"/>
      <c r="T105" s="26"/>
      <c r="U105" s="26"/>
      <c r="V105" s="26"/>
      <c r="W105" s="26"/>
      <c r="X105" s="33"/>
      <c r="Y105" s="33"/>
      <c r="Z105" s="33"/>
      <c r="AA105" s="26"/>
      <c r="AB105" s="26"/>
      <c r="AC105" s="26"/>
      <c r="AD105" s="26"/>
      <c r="AE105" s="26"/>
      <c r="AF105" s="26"/>
      <c r="AG105" s="33"/>
      <c r="AH105" s="33"/>
      <c r="AI105" s="33"/>
      <c r="AJ105" s="33"/>
      <c r="AK105" s="32"/>
      <c r="AL105" s="35"/>
      <c r="AM105" s="35"/>
      <c r="AN105" s="32"/>
      <c r="AO105" s="32"/>
      <c r="AP105" s="775"/>
      <c r="AQ105" s="775"/>
      <c r="AR105" s="32"/>
      <c r="AV105" s="32"/>
      <c r="AW105" s="26"/>
      <c r="AX105" s="32"/>
      <c r="BG105" s="32"/>
      <c r="BJ105" s="32"/>
      <c r="BM105" s="32"/>
      <c r="BN105" s="439"/>
      <c r="CA105" s="700"/>
      <c r="CB105" s="700"/>
      <c r="CD105" s="26"/>
      <c r="CE105" s="33"/>
      <c r="CF105" s="103"/>
      <c r="CI105" s="32"/>
      <c r="CJ105" s="26"/>
      <c r="CX105" s="794"/>
      <c r="CY105" s="794"/>
      <c r="DR105" s="439"/>
      <c r="EL105" s="439"/>
      <c r="EM105" s="439"/>
      <c r="EN105" s="711"/>
      <c r="EP105" s="439"/>
      <c r="EQ105" s="439"/>
      <c r="ER105" s="439"/>
      <c r="ES105" s="439"/>
      <c r="ET105" s="439"/>
      <c r="EU105" s="672"/>
      <c r="EX105" s="32"/>
    </row>
    <row r="106" spans="1:154" s="27" customFormat="1" ht="12.75">
      <c r="A106" s="26"/>
      <c r="B106" s="26"/>
      <c r="C106" s="26"/>
      <c r="D106" s="26"/>
      <c r="E106" s="26"/>
      <c r="F106" s="26"/>
      <c r="G106" s="31"/>
      <c r="I106" s="32"/>
      <c r="K106" s="26"/>
      <c r="L106" s="33"/>
      <c r="M106" s="33"/>
      <c r="N106" s="33"/>
      <c r="O106" s="33"/>
      <c r="P106" s="26"/>
      <c r="Q106" s="33"/>
      <c r="R106" s="33"/>
      <c r="S106" s="26"/>
      <c r="T106" s="26"/>
      <c r="U106" s="26"/>
      <c r="V106" s="26"/>
      <c r="W106" s="26"/>
      <c r="X106" s="33"/>
      <c r="Y106" s="33"/>
      <c r="Z106" s="33"/>
      <c r="AA106" s="26"/>
      <c r="AB106" s="26"/>
      <c r="AC106" s="26"/>
      <c r="AD106" s="26"/>
      <c r="AE106" s="26"/>
      <c r="AF106" s="26"/>
      <c r="AG106" s="33"/>
      <c r="AH106" s="33"/>
      <c r="AI106" s="33"/>
      <c r="AJ106" s="33"/>
      <c r="AK106" s="32"/>
      <c r="AL106" s="35"/>
      <c r="AM106" s="35"/>
      <c r="AN106" s="32"/>
      <c r="AO106" s="32"/>
      <c r="AP106" s="775"/>
      <c r="AQ106" s="775"/>
      <c r="AR106" s="32"/>
      <c r="AV106" s="32"/>
      <c r="AW106" s="26"/>
      <c r="AX106" s="32"/>
      <c r="BG106" s="32"/>
      <c r="BJ106" s="32"/>
      <c r="BM106" s="32"/>
      <c r="BN106" s="439"/>
      <c r="CA106" s="700"/>
      <c r="CB106" s="700"/>
      <c r="CD106" s="26"/>
      <c r="CE106" s="33"/>
      <c r="CF106" s="103"/>
      <c r="CI106" s="32"/>
      <c r="CJ106" s="26"/>
      <c r="CX106" s="794"/>
      <c r="CY106" s="794"/>
      <c r="DR106" s="439"/>
      <c r="EL106" s="439"/>
      <c r="EM106" s="439"/>
      <c r="EN106" s="711"/>
      <c r="EP106" s="439"/>
      <c r="EQ106" s="439"/>
      <c r="ER106" s="439"/>
      <c r="ES106" s="439"/>
      <c r="ET106" s="439"/>
      <c r="EU106" s="672"/>
      <c r="EX106" s="32"/>
    </row>
    <row r="107" spans="1:154" s="27" customFormat="1" ht="12.75">
      <c r="A107" s="26"/>
      <c r="B107" s="26"/>
      <c r="C107" s="26"/>
      <c r="D107" s="26"/>
      <c r="E107" s="26"/>
      <c r="F107" s="26"/>
      <c r="G107" s="31"/>
      <c r="I107" s="32"/>
      <c r="K107" s="26"/>
      <c r="L107" s="33"/>
      <c r="M107" s="33"/>
      <c r="N107" s="33"/>
      <c r="O107" s="33"/>
      <c r="P107" s="26"/>
      <c r="Q107" s="33"/>
      <c r="R107" s="33"/>
      <c r="S107" s="26"/>
      <c r="T107" s="26"/>
      <c r="U107" s="26"/>
      <c r="V107" s="26"/>
      <c r="W107" s="26"/>
      <c r="X107" s="33"/>
      <c r="Y107" s="33"/>
      <c r="Z107" s="33"/>
      <c r="AA107" s="26"/>
      <c r="AB107" s="26"/>
      <c r="AC107" s="26"/>
      <c r="AD107" s="26"/>
      <c r="AE107" s="26"/>
      <c r="AF107" s="26"/>
      <c r="AG107" s="33"/>
      <c r="AH107" s="33"/>
      <c r="AI107" s="33"/>
      <c r="AJ107" s="33"/>
      <c r="AK107" s="32"/>
      <c r="AL107" s="35"/>
      <c r="AM107" s="35"/>
      <c r="AN107" s="32"/>
      <c r="AO107" s="32"/>
      <c r="AP107" s="775"/>
      <c r="AQ107" s="775"/>
      <c r="AR107" s="32"/>
      <c r="AV107" s="32"/>
      <c r="AW107" s="26"/>
      <c r="AX107" s="32"/>
      <c r="BG107" s="32"/>
      <c r="BJ107" s="32"/>
      <c r="BM107" s="32"/>
      <c r="BN107" s="439"/>
      <c r="CA107" s="700"/>
      <c r="CB107" s="700"/>
      <c r="CD107" s="26"/>
      <c r="CE107" s="33"/>
      <c r="CF107" s="103"/>
      <c r="CI107" s="32"/>
      <c r="CJ107" s="26"/>
      <c r="CX107" s="794"/>
      <c r="CY107" s="794"/>
      <c r="DR107" s="439"/>
      <c r="EL107" s="439"/>
      <c r="EM107" s="439"/>
      <c r="EN107" s="711"/>
      <c r="EP107" s="439"/>
      <c r="EQ107" s="439"/>
      <c r="ER107" s="439"/>
      <c r="ES107" s="439"/>
      <c r="ET107" s="439"/>
      <c r="EU107" s="672"/>
      <c r="EX107" s="32"/>
    </row>
    <row r="108" spans="1:154" s="27" customFormat="1" ht="12.75">
      <c r="A108" s="26"/>
      <c r="B108" s="26"/>
      <c r="C108" s="26"/>
      <c r="D108" s="26"/>
      <c r="E108" s="26"/>
      <c r="F108" s="26"/>
      <c r="G108" s="31"/>
      <c r="I108" s="32"/>
      <c r="K108" s="26"/>
      <c r="L108" s="33"/>
      <c r="M108" s="33"/>
      <c r="N108" s="33"/>
      <c r="O108" s="33"/>
      <c r="P108" s="26"/>
      <c r="Q108" s="33"/>
      <c r="R108" s="33"/>
      <c r="S108" s="26"/>
      <c r="T108" s="26"/>
      <c r="U108" s="26"/>
      <c r="V108" s="26"/>
      <c r="W108" s="26"/>
      <c r="X108" s="33"/>
      <c r="Y108" s="33"/>
      <c r="Z108" s="33"/>
      <c r="AA108" s="26"/>
      <c r="AB108" s="26"/>
      <c r="AC108" s="26"/>
      <c r="AD108" s="26"/>
      <c r="AE108" s="26"/>
      <c r="AF108" s="26"/>
      <c r="AG108" s="33"/>
      <c r="AH108" s="33"/>
      <c r="AI108" s="33"/>
      <c r="AJ108" s="33"/>
      <c r="AK108" s="32"/>
      <c r="AL108" s="35"/>
      <c r="AM108" s="35"/>
      <c r="AN108" s="32"/>
      <c r="AO108" s="32"/>
      <c r="AP108" s="775"/>
      <c r="AQ108" s="775"/>
      <c r="AR108" s="32"/>
      <c r="AV108" s="32"/>
      <c r="AW108" s="26"/>
      <c r="AX108" s="32"/>
      <c r="BG108" s="32"/>
      <c r="BJ108" s="32"/>
      <c r="BM108" s="32"/>
      <c r="BN108" s="439"/>
      <c r="CA108" s="700"/>
      <c r="CB108" s="700"/>
      <c r="CD108" s="26"/>
      <c r="CE108" s="33"/>
      <c r="CF108" s="103"/>
      <c r="CI108" s="32"/>
      <c r="CJ108" s="26"/>
      <c r="CX108" s="794"/>
      <c r="CY108" s="794"/>
      <c r="DR108" s="439"/>
      <c r="EL108" s="439"/>
      <c r="EM108" s="439"/>
      <c r="EN108" s="711"/>
      <c r="EP108" s="439"/>
      <c r="EQ108" s="439"/>
      <c r="ER108" s="439"/>
      <c r="ES108" s="439"/>
      <c r="ET108" s="439"/>
      <c r="EU108" s="672"/>
      <c r="EX108" s="32"/>
    </row>
    <row r="109" spans="1:154" s="27" customFormat="1" ht="12.75">
      <c r="A109" s="26"/>
      <c r="B109" s="26"/>
      <c r="C109" s="26"/>
      <c r="D109" s="26"/>
      <c r="E109" s="26"/>
      <c r="F109" s="26"/>
      <c r="G109" s="31"/>
      <c r="I109" s="32"/>
      <c r="K109" s="26"/>
      <c r="L109" s="33"/>
      <c r="M109" s="33"/>
      <c r="N109" s="33"/>
      <c r="O109" s="33"/>
      <c r="P109" s="26"/>
      <c r="Q109" s="33"/>
      <c r="R109" s="33"/>
      <c r="S109" s="26"/>
      <c r="T109" s="26"/>
      <c r="U109" s="26"/>
      <c r="V109" s="26"/>
      <c r="W109" s="26"/>
      <c r="X109" s="33"/>
      <c r="Y109" s="33"/>
      <c r="Z109" s="33"/>
      <c r="AA109" s="26"/>
      <c r="AB109" s="26"/>
      <c r="AC109" s="26"/>
      <c r="AD109" s="26"/>
      <c r="AE109" s="26"/>
      <c r="AF109" s="26"/>
      <c r="AG109" s="33"/>
      <c r="AH109" s="33"/>
      <c r="AI109" s="33"/>
      <c r="AJ109" s="33"/>
      <c r="AK109" s="32"/>
      <c r="AL109" s="35"/>
      <c r="AM109" s="35"/>
      <c r="AN109" s="32"/>
      <c r="AO109" s="32"/>
      <c r="AP109" s="775"/>
      <c r="AQ109" s="775"/>
      <c r="AR109" s="32"/>
      <c r="AV109" s="32"/>
      <c r="AW109" s="26"/>
      <c r="AX109" s="32"/>
      <c r="BG109" s="32"/>
      <c r="BJ109" s="32"/>
      <c r="BM109" s="32"/>
      <c r="BN109" s="439"/>
      <c r="CA109" s="700"/>
      <c r="CB109" s="700"/>
      <c r="CD109" s="26"/>
      <c r="CE109" s="33"/>
      <c r="CF109" s="103"/>
      <c r="CI109" s="32"/>
      <c r="CJ109" s="26"/>
      <c r="CX109" s="794"/>
      <c r="CY109" s="794"/>
      <c r="DR109" s="439"/>
      <c r="EL109" s="439"/>
      <c r="EM109" s="439"/>
      <c r="EN109" s="711"/>
      <c r="EP109" s="439"/>
      <c r="EQ109" s="439"/>
      <c r="ER109" s="439"/>
      <c r="ES109" s="439"/>
      <c r="ET109" s="439"/>
      <c r="EU109" s="672"/>
      <c r="EX109" s="32"/>
    </row>
    <row r="110" spans="1:154" s="27" customFormat="1" ht="12.75">
      <c r="A110" s="26"/>
      <c r="B110" s="26"/>
      <c r="C110" s="26"/>
      <c r="D110" s="26"/>
      <c r="E110" s="26"/>
      <c r="F110" s="26"/>
      <c r="G110" s="31"/>
      <c r="I110" s="32"/>
      <c r="K110" s="26"/>
      <c r="L110" s="33"/>
      <c r="M110" s="33"/>
      <c r="N110" s="33"/>
      <c r="O110" s="33"/>
      <c r="P110" s="26"/>
      <c r="Q110" s="33"/>
      <c r="R110" s="33"/>
      <c r="S110" s="26"/>
      <c r="T110" s="26"/>
      <c r="U110" s="26"/>
      <c r="V110" s="26"/>
      <c r="W110" s="26"/>
      <c r="X110" s="33"/>
      <c r="Y110" s="33"/>
      <c r="Z110" s="33"/>
      <c r="AA110" s="26"/>
      <c r="AB110" s="26"/>
      <c r="AC110" s="26"/>
      <c r="AD110" s="26"/>
      <c r="AE110" s="26"/>
      <c r="AF110" s="26"/>
      <c r="AG110" s="33"/>
      <c r="AH110" s="33"/>
      <c r="AI110" s="33"/>
      <c r="AJ110" s="33"/>
      <c r="AK110" s="32"/>
      <c r="AL110" s="35"/>
      <c r="AM110" s="35"/>
      <c r="AN110" s="32"/>
      <c r="AO110" s="32"/>
      <c r="AP110" s="775"/>
      <c r="AQ110" s="775"/>
      <c r="AR110" s="32"/>
      <c r="AV110" s="32"/>
      <c r="AW110" s="26"/>
      <c r="AX110" s="32"/>
      <c r="BG110" s="32"/>
      <c r="BJ110" s="32"/>
      <c r="BM110" s="32"/>
      <c r="BN110" s="439"/>
      <c r="CA110" s="700"/>
      <c r="CB110" s="700"/>
      <c r="CD110" s="26"/>
      <c r="CE110" s="33"/>
      <c r="CF110" s="103"/>
      <c r="CI110" s="32"/>
      <c r="CJ110" s="26"/>
      <c r="CX110" s="794"/>
      <c r="CY110" s="794"/>
      <c r="DR110" s="439"/>
      <c r="EL110" s="439"/>
      <c r="EM110" s="439"/>
      <c r="EN110" s="711"/>
      <c r="EP110" s="439"/>
      <c r="EQ110" s="439"/>
      <c r="ER110" s="439"/>
      <c r="ES110" s="439"/>
      <c r="ET110" s="439"/>
      <c r="EU110" s="672"/>
      <c r="EX110" s="32"/>
    </row>
    <row r="111" spans="1:154" s="27" customFormat="1" ht="12.75">
      <c r="A111" s="26"/>
      <c r="B111" s="26"/>
      <c r="C111" s="26"/>
      <c r="D111" s="26"/>
      <c r="E111" s="26"/>
      <c r="F111" s="26"/>
      <c r="G111" s="31"/>
      <c r="I111" s="32"/>
      <c r="K111" s="26"/>
      <c r="L111" s="33"/>
      <c r="M111" s="33"/>
      <c r="N111" s="33"/>
      <c r="O111" s="33"/>
      <c r="P111" s="26"/>
      <c r="Q111" s="33"/>
      <c r="R111" s="33"/>
      <c r="S111" s="26"/>
      <c r="T111" s="26"/>
      <c r="U111" s="26"/>
      <c r="V111" s="26"/>
      <c r="W111" s="26"/>
      <c r="X111" s="33"/>
      <c r="Y111" s="33"/>
      <c r="Z111" s="33"/>
      <c r="AA111" s="26"/>
      <c r="AB111" s="26"/>
      <c r="AC111" s="26"/>
      <c r="AD111" s="26"/>
      <c r="AE111" s="26"/>
      <c r="AF111" s="26"/>
      <c r="AG111" s="33"/>
      <c r="AH111" s="33"/>
      <c r="AI111" s="33"/>
      <c r="AJ111" s="33"/>
      <c r="AK111" s="32"/>
      <c r="AL111" s="35"/>
      <c r="AM111" s="35"/>
      <c r="AN111" s="32"/>
      <c r="AO111" s="32"/>
      <c r="AP111" s="775"/>
      <c r="AQ111" s="775"/>
      <c r="AR111" s="32"/>
      <c r="AV111" s="32"/>
      <c r="AW111" s="26"/>
      <c r="AX111" s="32"/>
      <c r="BG111" s="32"/>
      <c r="BJ111" s="32"/>
      <c r="BM111" s="32"/>
      <c r="BN111" s="439"/>
      <c r="CA111" s="700"/>
      <c r="CB111" s="700"/>
      <c r="CD111" s="26"/>
      <c r="CE111" s="33"/>
      <c r="CF111" s="103"/>
      <c r="CI111" s="32"/>
      <c r="CJ111" s="26"/>
      <c r="CX111" s="794"/>
      <c r="CY111" s="794"/>
      <c r="DR111" s="439"/>
      <c r="EL111" s="439"/>
      <c r="EM111" s="439"/>
      <c r="EN111" s="711"/>
      <c r="EP111" s="439"/>
      <c r="EQ111" s="439"/>
      <c r="ER111" s="439"/>
      <c r="ES111" s="439"/>
      <c r="ET111" s="439"/>
      <c r="EU111" s="672"/>
      <c r="EX111" s="32"/>
    </row>
    <row r="112" spans="1:154" s="27" customFormat="1" ht="12.75">
      <c r="A112" s="26"/>
      <c r="B112" s="26"/>
      <c r="C112" s="26"/>
      <c r="D112" s="26"/>
      <c r="E112" s="26"/>
      <c r="F112" s="26"/>
      <c r="G112" s="31"/>
      <c r="I112" s="32"/>
      <c r="K112" s="26"/>
      <c r="L112" s="33"/>
      <c r="M112" s="33"/>
      <c r="N112" s="33"/>
      <c r="O112" s="33"/>
      <c r="P112" s="26"/>
      <c r="Q112" s="33"/>
      <c r="R112" s="33"/>
      <c r="S112" s="26"/>
      <c r="T112" s="26"/>
      <c r="U112" s="26"/>
      <c r="V112" s="26"/>
      <c r="W112" s="26"/>
      <c r="X112" s="33"/>
      <c r="Y112" s="33"/>
      <c r="Z112" s="33"/>
      <c r="AA112" s="26"/>
      <c r="AB112" s="26"/>
      <c r="AC112" s="26"/>
      <c r="AD112" s="26"/>
      <c r="AE112" s="26"/>
      <c r="AF112" s="26"/>
      <c r="AG112" s="33"/>
      <c r="AH112" s="33"/>
      <c r="AI112" s="33"/>
      <c r="AJ112" s="33"/>
      <c r="AK112" s="32"/>
      <c r="AL112" s="35"/>
      <c r="AM112" s="35"/>
      <c r="AN112" s="32"/>
      <c r="AO112" s="32"/>
      <c r="AP112" s="775"/>
      <c r="AQ112" s="775"/>
      <c r="AR112" s="32"/>
      <c r="AV112" s="32"/>
      <c r="AW112" s="26"/>
      <c r="AX112" s="32"/>
      <c r="BG112" s="32"/>
      <c r="BJ112" s="32"/>
      <c r="BM112" s="32"/>
      <c r="BN112" s="439"/>
      <c r="CA112" s="700"/>
      <c r="CB112" s="700"/>
      <c r="CD112" s="26"/>
      <c r="CE112" s="33"/>
      <c r="CF112" s="103"/>
      <c r="CI112" s="32"/>
      <c r="CJ112" s="26"/>
      <c r="CX112" s="794"/>
      <c r="CY112" s="794"/>
      <c r="DR112" s="439"/>
      <c r="EL112" s="439"/>
      <c r="EM112" s="439"/>
      <c r="EN112" s="711"/>
      <c r="EP112" s="439"/>
      <c r="EQ112" s="439"/>
      <c r="ER112" s="439"/>
      <c r="ES112" s="439"/>
      <c r="ET112" s="439"/>
      <c r="EU112" s="672"/>
      <c r="EX112" s="32"/>
    </row>
    <row r="113" spans="1:154" s="27" customFormat="1" ht="12.75">
      <c r="A113" s="26"/>
      <c r="B113" s="26"/>
      <c r="C113" s="26"/>
      <c r="D113" s="26"/>
      <c r="E113" s="26"/>
      <c r="F113" s="26"/>
      <c r="G113" s="31"/>
      <c r="I113" s="32"/>
      <c r="K113" s="26"/>
      <c r="L113" s="33"/>
      <c r="M113" s="33"/>
      <c r="N113" s="33"/>
      <c r="O113" s="33"/>
      <c r="P113" s="26"/>
      <c r="Q113" s="33"/>
      <c r="R113" s="33"/>
      <c r="S113" s="26"/>
      <c r="T113" s="26"/>
      <c r="U113" s="26"/>
      <c r="V113" s="26"/>
      <c r="W113" s="26"/>
      <c r="X113" s="33"/>
      <c r="Y113" s="33"/>
      <c r="Z113" s="33"/>
      <c r="AA113" s="26"/>
      <c r="AB113" s="26"/>
      <c r="AC113" s="26"/>
      <c r="AD113" s="26"/>
      <c r="AE113" s="26"/>
      <c r="AF113" s="26"/>
      <c r="AG113" s="33"/>
      <c r="AH113" s="33"/>
      <c r="AI113" s="33"/>
      <c r="AJ113" s="33"/>
      <c r="AK113" s="32"/>
      <c r="AL113" s="35"/>
      <c r="AM113" s="35"/>
      <c r="AN113" s="32"/>
      <c r="AO113" s="32"/>
      <c r="AP113" s="775"/>
      <c r="AQ113" s="775"/>
      <c r="AR113" s="32"/>
      <c r="AV113" s="32"/>
      <c r="AW113" s="26"/>
      <c r="AX113" s="32"/>
      <c r="BG113" s="32"/>
      <c r="BJ113" s="32"/>
      <c r="BM113" s="32"/>
      <c r="BN113" s="439"/>
      <c r="CA113" s="700"/>
      <c r="CB113" s="700"/>
      <c r="CD113" s="26"/>
      <c r="CE113" s="33"/>
      <c r="CF113" s="103"/>
      <c r="CI113" s="32"/>
      <c r="CJ113" s="26"/>
      <c r="CX113" s="794"/>
      <c r="CY113" s="794"/>
      <c r="DR113" s="439"/>
      <c r="EL113" s="439"/>
      <c r="EM113" s="439"/>
      <c r="EN113" s="711"/>
      <c r="EP113" s="439"/>
      <c r="EQ113" s="439"/>
      <c r="ER113" s="439"/>
      <c r="ES113" s="439"/>
      <c r="ET113" s="439"/>
      <c r="EU113" s="672"/>
      <c r="EX113" s="32"/>
    </row>
    <row r="114" spans="1:154" s="27" customFormat="1" ht="12.75">
      <c r="A114" s="26"/>
      <c r="B114" s="26"/>
      <c r="C114" s="26"/>
      <c r="D114" s="26"/>
      <c r="E114" s="26"/>
      <c r="F114" s="26"/>
      <c r="G114" s="31"/>
      <c r="I114" s="32"/>
      <c r="K114" s="26"/>
      <c r="L114" s="33"/>
      <c r="M114" s="33"/>
      <c r="N114" s="33"/>
      <c r="O114" s="33"/>
      <c r="P114" s="26"/>
      <c r="Q114" s="33"/>
      <c r="R114" s="33"/>
      <c r="S114" s="26"/>
      <c r="T114" s="26"/>
      <c r="U114" s="26"/>
      <c r="V114" s="26"/>
      <c r="W114" s="26"/>
      <c r="X114" s="33"/>
      <c r="Y114" s="33"/>
      <c r="Z114" s="33"/>
      <c r="AA114" s="26"/>
      <c r="AB114" s="26"/>
      <c r="AC114" s="26"/>
      <c r="AD114" s="26"/>
      <c r="AE114" s="26"/>
      <c r="AF114" s="26"/>
      <c r="AG114" s="33"/>
      <c r="AH114" s="33"/>
      <c r="AI114" s="33"/>
      <c r="AJ114" s="33"/>
      <c r="AK114" s="32"/>
      <c r="AL114" s="35"/>
      <c r="AM114" s="35"/>
      <c r="AN114" s="32"/>
      <c r="AO114" s="32"/>
      <c r="AP114" s="775"/>
      <c r="AQ114" s="775"/>
      <c r="AR114" s="32"/>
      <c r="AV114" s="32"/>
      <c r="AW114" s="26"/>
      <c r="AX114" s="32"/>
      <c r="BG114" s="32"/>
      <c r="BJ114" s="32"/>
      <c r="BM114" s="32"/>
      <c r="BN114" s="439"/>
      <c r="CA114" s="700"/>
      <c r="CB114" s="700"/>
      <c r="CD114" s="26"/>
      <c r="CE114" s="33"/>
      <c r="CF114" s="103"/>
      <c r="CI114" s="32"/>
      <c r="CJ114" s="26"/>
      <c r="CX114" s="794"/>
      <c r="CY114" s="794"/>
      <c r="DR114" s="439"/>
      <c r="EL114" s="439"/>
      <c r="EM114" s="439"/>
      <c r="EN114" s="711"/>
      <c r="EP114" s="439"/>
      <c r="EQ114" s="439"/>
      <c r="ER114" s="439"/>
      <c r="ES114" s="439"/>
      <c r="ET114" s="439"/>
      <c r="EU114" s="672"/>
      <c r="EX114" s="32"/>
    </row>
    <row r="115" spans="1:154" s="27" customFormat="1" ht="12.75">
      <c r="A115" s="26"/>
      <c r="B115" s="26"/>
      <c r="C115" s="26"/>
      <c r="D115" s="26"/>
      <c r="E115" s="26"/>
      <c r="F115" s="26"/>
      <c r="G115" s="31"/>
      <c r="I115" s="32"/>
      <c r="K115" s="26"/>
      <c r="L115" s="33"/>
      <c r="M115" s="33"/>
      <c r="N115" s="33"/>
      <c r="O115" s="33"/>
      <c r="P115" s="26"/>
      <c r="Q115" s="33"/>
      <c r="R115" s="33"/>
      <c r="S115" s="26"/>
      <c r="T115" s="26"/>
      <c r="U115" s="26"/>
      <c r="V115" s="26"/>
      <c r="W115" s="26"/>
      <c r="X115" s="33"/>
      <c r="Y115" s="33"/>
      <c r="Z115" s="33"/>
      <c r="AA115" s="26"/>
      <c r="AB115" s="26"/>
      <c r="AC115" s="26"/>
      <c r="AD115" s="26"/>
      <c r="AE115" s="26"/>
      <c r="AF115" s="26"/>
      <c r="AG115" s="33"/>
      <c r="AH115" s="33"/>
      <c r="AI115" s="33"/>
      <c r="AJ115" s="33"/>
      <c r="AK115" s="32"/>
      <c r="AL115" s="35"/>
      <c r="AM115" s="35"/>
      <c r="AN115" s="32"/>
      <c r="AO115" s="32"/>
      <c r="AP115" s="775"/>
      <c r="AQ115" s="775"/>
      <c r="AR115" s="32"/>
      <c r="AV115" s="32"/>
      <c r="AW115" s="26"/>
      <c r="AX115" s="32"/>
      <c r="BG115" s="32"/>
      <c r="BJ115" s="32"/>
      <c r="BM115" s="32"/>
      <c r="BN115" s="439"/>
      <c r="CA115" s="700"/>
      <c r="CB115" s="700"/>
      <c r="CD115" s="26"/>
      <c r="CE115" s="33"/>
      <c r="CF115" s="103"/>
      <c r="CI115" s="32"/>
      <c r="CJ115" s="26"/>
      <c r="CX115" s="794"/>
      <c r="CY115" s="794"/>
      <c r="DR115" s="439"/>
      <c r="EL115" s="439"/>
      <c r="EM115" s="439"/>
      <c r="EN115" s="711"/>
      <c r="EP115" s="439"/>
      <c r="EQ115" s="439"/>
      <c r="ER115" s="439"/>
      <c r="ES115" s="439"/>
      <c r="ET115" s="439"/>
      <c r="EU115" s="672"/>
      <c r="EX115" s="32"/>
    </row>
    <row r="116" spans="1:154" s="27" customFormat="1" ht="12.75">
      <c r="A116" s="26"/>
      <c r="B116" s="26"/>
      <c r="C116" s="26"/>
      <c r="D116" s="26"/>
      <c r="E116" s="26"/>
      <c r="F116" s="26"/>
      <c r="G116" s="31"/>
      <c r="I116" s="32"/>
      <c r="K116" s="26"/>
      <c r="L116" s="33"/>
      <c r="M116" s="33"/>
      <c r="N116" s="33"/>
      <c r="O116" s="33"/>
      <c r="P116" s="26"/>
      <c r="Q116" s="33"/>
      <c r="R116" s="33"/>
      <c r="S116" s="26"/>
      <c r="T116" s="26"/>
      <c r="U116" s="26"/>
      <c r="V116" s="26"/>
      <c r="W116" s="26"/>
      <c r="X116" s="33"/>
      <c r="Y116" s="33"/>
      <c r="Z116" s="33"/>
      <c r="AA116" s="26"/>
      <c r="AB116" s="26"/>
      <c r="AC116" s="26"/>
      <c r="AD116" s="26"/>
      <c r="AE116" s="26"/>
      <c r="AF116" s="26"/>
      <c r="AG116" s="33"/>
      <c r="AH116" s="33"/>
      <c r="AI116" s="33"/>
      <c r="AJ116" s="33"/>
      <c r="AK116" s="32"/>
      <c r="AL116" s="35"/>
      <c r="AM116" s="35"/>
      <c r="AN116" s="32"/>
      <c r="AO116" s="32"/>
      <c r="AP116" s="775"/>
      <c r="AQ116" s="775"/>
      <c r="AR116" s="32"/>
      <c r="AV116" s="32"/>
      <c r="AW116" s="26"/>
      <c r="AX116" s="32"/>
      <c r="BG116" s="32"/>
      <c r="BJ116" s="32"/>
      <c r="BM116" s="32"/>
      <c r="BN116" s="439"/>
      <c r="CA116" s="700"/>
      <c r="CB116" s="700"/>
      <c r="CD116" s="26"/>
      <c r="CE116" s="33"/>
      <c r="CF116" s="103"/>
      <c r="CI116" s="32"/>
      <c r="CJ116" s="26"/>
      <c r="CX116" s="794"/>
      <c r="CY116" s="794"/>
      <c r="DR116" s="439"/>
      <c r="EL116" s="439"/>
      <c r="EM116" s="439"/>
      <c r="EN116" s="711"/>
      <c r="EP116" s="439"/>
      <c r="EQ116" s="439"/>
      <c r="ER116" s="439"/>
      <c r="ES116" s="439"/>
      <c r="ET116" s="439"/>
      <c r="EU116" s="672"/>
      <c r="EX116" s="32"/>
    </row>
    <row r="117" spans="1:154" s="27" customFormat="1" ht="12.75">
      <c r="A117" s="26"/>
      <c r="B117" s="26"/>
      <c r="C117" s="26"/>
      <c r="D117" s="26"/>
      <c r="E117" s="26"/>
      <c r="F117" s="26"/>
      <c r="G117" s="31"/>
      <c r="I117" s="32"/>
      <c r="K117" s="26"/>
      <c r="L117" s="33"/>
      <c r="M117" s="33"/>
      <c r="N117" s="33"/>
      <c r="O117" s="33"/>
      <c r="P117" s="26"/>
      <c r="Q117" s="33"/>
      <c r="R117" s="33"/>
      <c r="S117" s="26"/>
      <c r="T117" s="26"/>
      <c r="U117" s="26"/>
      <c r="V117" s="26"/>
      <c r="W117" s="26"/>
      <c r="X117" s="33"/>
      <c r="Y117" s="33"/>
      <c r="Z117" s="33"/>
      <c r="AA117" s="26"/>
      <c r="AB117" s="26"/>
      <c r="AC117" s="26"/>
      <c r="AD117" s="26"/>
      <c r="AE117" s="26"/>
      <c r="AF117" s="26"/>
      <c r="AG117" s="33"/>
      <c r="AH117" s="33"/>
      <c r="AI117" s="33"/>
      <c r="AJ117" s="33"/>
      <c r="AK117" s="32"/>
      <c r="AL117" s="35"/>
      <c r="AM117" s="35"/>
      <c r="AN117" s="32"/>
      <c r="AO117" s="32"/>
      <c r="AP117" s="775"/>
      <c r="AQ117" s="775"/>
      <c r="AR117" s="32"/>
      <c r="AV117" s="32"/>
      <c r="AW117" s="26"/>
      <c r="AX117" s="32"/>
      <c r="BG117" s="32"/>
      <c r="BJ117" s="32"/>
      <c r="BM117" s="32"/>
      <c r="BN117" s="439"/>
      <c r="CA117" s="700"/>
      <c r="CB117" s="700"/>
      <c r="CD117" s="26"/>
      <c r="CE117" s="33"/>
      <c r="CF117" s="103"/>
      <c r="CI117" s="32"/>
      <c r="CJ117" s="26"/>
      <c r="CX117" s="794"/>
      <c r="CY117" s="794"/>
      <c r="DR117" s="439"/>
      <c r="EL117" s="439"/>
      <c r="EM117" s="439"/>
      <c r="EN117" s="711"/>
      <c r="EP117" s="439"/>
      <c r="EQ117" s="439"/>
      <c r="ER117" s="439"/>
      <c r="ES117" s="439"/>
      <c r="ET117" s="439"/>
      <c r="EU117" s="672"/>
      <c r="EX117" s="32"/>
    </row>
    <row r="118" spans="1:154" s="27" customFormat="1" ht="12.75">
      <c r="A118" s="26"/>
      <c r="B118" s="26"/>
      <c r="C118" s="26"/>
      <c r="D118" s="26"/>
      <c r="E118" s="26"/>
      <c r="F118" s="26"/>
      <c r="G118" s="31"/>
      <c r="I118" s="32"/>
      <c r="K118" s="26"/>
      <c r="L118" s="33"/>
      <c r="M118" s="33"/>
      <c r="N118" s="33"/>
      <c r="O118" s="33"/>
      <c r="P118" s="26"/>
      <c r="Q118" s="33"/>
      <c r="R118" s="33"/>
      <c r="S118" s="26"/>
      <c r="T118" s="26"/>
      <c r="U118" s="26"/>
      <c r="V118" s="26"/>
      <c r="W118" s="26"/>
      <c r="X118" s="33"/>
      <c r="Y118" s="33"/>
      <c r="Z118" s="33"/>
      <c r="AA118" s="26"/>
      <c r="AB118" s="26"/>
      <c r="AC118" s="26"/>
      <c r="AD118" s="26"/>
      <c r="AE118" s="26"/>
      <c r="AF118" s="26"/>
      <c r="AG118" s="33"/>
      <c r="AH118" s="33"/>
      <c r="AI118" s="33"/>
      <c r="AJ118" s="33"/>
      <c r="AK118" s="32"/>
      <c r="AL118" s="35"/>
      <c r="AM118" s="35"/>
      <c r="AN118" s="32"/>
      <c r="AO118" s="32"/>
      <c r="AP118" s="775"/>
      <c r="AQ118" s="775"/>
      <c r="AR118" s="32"/>
      <c r="AV118" s="32"/>
      <c r="AW118" s="26"/>
      <c r="AX118" s="32"/>
      <c r="BG118" s="32"/>
      <c r="BJ118" s="32"/>
      <c r="BM118" s="32"/>
      <c r="BN118" s="439"/>
      <c r="CA118" s="700"/>
      <c r="CB118" s="700"/>
      <c r="CD118" s="26"/>
      <c r="CE118" s="33"/>
      <c r="CF118" s="103"/>
      <c r="CI118" s="32"/>
      <c r="CJ118" s="26"/>
      <c r="CX118" s="794"/>
      <c r="CY118" s="794"/>
      <c r="DR118" s="439"/>
      <c r="EL118" s="439"/>
      <c r="EM118" s="439"/>
      <c r="EN118" s="711"/>
      <c r="EP118" s="439"/>
      <c r="EQ118" s="439"/>
      <c r="ER118" s="439"/>
      <c r="ES118" s="439"/>
      <c r="ET118" s="439"/>
      <c r="EU118" s="672"/>
      <c r="EX118" s="32"/>
    </row>
    <row r="119" spans="1:154" s="27" customFormat="1" ht="12.75">
      <c r="A119" s="26"/>
      <c r="B119" s="26"/>
      <c r="C119" s="26"/>
      <c r="D119" s="26"/>
      <c r="E119" s="26"/>
      <c r="F119" s="26"/>
      <c r="G119" s="31"/>
      <c r="I119" s="32"/>
      <c r="K119" s="26"/>
      <c r="L119" s="33"/>
      <c r="M119" s="33"/>
      <c r="N119" s="33"/>
      <c r="O119" s="33"/>
      <c r="P119" s="26"/>
      <c r="Q119" s="33"/>
      <c r="R119" s="33"/>
      <c r="S119" s="26"/>
      <c r="T119" s="26"/>
      <c r="U119" s="26"/>
      <c r="V119" s="26"/>
      <c r="W119" s="26"/>
      <c r="X119" s="33"/>
      <c r="Y119" s="33"/>
      <c r="Z119" s="33"/>
      <c r="AA119" s="26"/>
      <c r="AB119" s="26"/>
      <c r="AC119" s="26"/>
      <c r="AD119" s="26"/>
      <c r="AE119" s="26"/>
      <c r="AF119" s="26"/>
      <c r="AG119" s="33"/>
      <c r="AH119" s="33"/>
      <c r="AI119" s="33"/>
      <c r="AJ119" s="33"/>
      <c r="AK119" s="32"/>
      <c r="AL119" s="35"/>
      <c r="AM119" s="35"/>
      <c r="AN119" s="32"/>
      <c r="AO119" s="32"/>
      <c r="AP119" s="775"/>
      <c r="AQ119" s="775"/>
      <c r="AR119" s="32"/>
      <c r="AV119" s="32"/>
      <c r="AW119" s="26"/>
      <c r="AX119" s="32"/>
      <c r="BG119" s="32"/>
      <c r="BJ119" s="32"/>
      <c r="BM119" s="32"/>
      <c r="BN119" s="439"/>
      <c r="CA119" s="700"/>
      <c r="CB119" s="700"/>
      <c r="CD119" s="26"/>
      <c r="CE119" s="33"/>
      <c r="CF119" s="103"/>
      <c r="CI119" s="32"/>
      <c r="CJ119" s="26"/>
      <c r="CX119" s="794"/>
      <c r="CY119" s="794"/>
      <c r="DR119" s="439"/>
      <c r="EL119" s="439"/>
      <c r="EM119" s="439"/>
      <c r="EN119" s="711"/>
      <c r="EP119" s="439"/>
      <c r="EQ119" s="439"/>
      <c r="ER119" s="439"/>
      <c r="ES119" s="439"/>
      <c r="ET119" s="439"/>
      <c r="EU119" s="672"/>
      <c r="EX119" s="32"/>
    </row>
    <row r="120" spans="1:154" s="27" customFormat="1" ht="12.75">
      <c r="A120" s="26"/>
      <c r="B120" s="26"/>
      <c r="C120" s="26"/>
      <c r="D120" s="26"/>
      <c r="E120" s="26"/>
      <c r="F120" s="26"/>
      <c r="G120" s="31"/>
      <c r="I120" s="32"/>
      <c r="K120" s="26"/>
      <c r="L120" s="33"/>
      <c r="M120" s="33"/>
      <c r="N120" s="33"/>
      <c r="O120" s="33"/>
      <c r="P120" s="26"/>
      <c r="Q120" s="33"/>
      <c r="R120" s="33"/>
      <c r="S120" s="26"/>
      <c r="T120" s="26"/>
      <c r="U120" s="26"/>
      <c r="V120" s="26"/>
      <c r="W120" s="26"/>
      <c r="X120" s="33"/>
      <c r="Y120" s="33"/>
      <c r="Z120" s="33"/>
      <c r="AA120" s="26"/>
      <c r="AB120" s="26"/>
      <c r="AC120" s="26"/>
      <c r="AD120" s="26"/>
      <c r="AE120" s="26"/>
      <c r="AF120" s="26"/>
      <c r="AG120" s="33"/>
      <c r="AH120" s="33"/>
      <c r="AI120" s="33"/>
      <c r="AJ120" s="33"/>
      <c r="AK120" s="32"/>
      <c r="AL120" s="35"/>
      <c r="AM120" s="35"/>
      <c r="AN120" s="32"/>
      <c r="AO120" s="32"/>
      <c r="AP120" s="775"/>
      <c r="AQ120" s="775"/>
      <c r="AR120" s="32"/>
      <c r="AV120" s="32"/>
      <c r="AW120" s="26"/>
      <c r="AX120" s="32"/>
      <c r="BG120" s="32"/>
      <c r="BJ120" s="32"/>
      <c r="BM120" s="32"/>
      <c r="BN120" s="439"/>
      <c r="CA120" s="700"/>
      <c r="CB120" s="700"/>
      <c r="CD120" s="26"/>
      <c r="CE120" s="33"/>
      <c r="CF120" s="103"/>
      <c r="CI120" s="32"/>
      <c r="CJ120" s="26"/>
      <c r="CX120" s="794"/>
      <c r="CY120" s="794"/>
      <c r="DR120" s="439"/>
      <c r="EL120" s="439"/>
      <c r="EM120" s="439"/>
      <c r="EN120" s="711"/>
      <c r="EP120" s="439"/>
      <c r="EQ120" s="439"/>
      <c r="ER120" s="439"/>
      <c r="ES120" s="439"/>
      <c r="ET120" s="439"/>
      <c r="EU120" s="672"/>
      <c r="EX120" s="32"/>
    </row>
    <row r="121" spans="1:154" s="27" customFormat="1" ht="12.75">
      <c r="A121" s="26"/>
      <c r="B121" s="26"/>
      <c r="C121" s="26"/>
      <c r="D121" s="26"/>
      <c r="E121" s="26"/>
      <c r="F121" s="26"/>
      <c r="G121" s="31"/>
      <c r="I121" s="32"/>
      <c r="K121" s="26"/>
      <c r="L121" s="33"/>
      <c r="M121" s="33"/>
      <c r="N121" s="33"/>
      <c r="O121" s="33"/>
      <c r="P121" s="26"/>
      <c r="Q121" s="33"/>
      <c r="R121" s="33"/>
      <c r="S121" s="26"/>
      <c r="T121" s="26"/>
      <c r="U121" s="26"/>
      <c r="V121" s="26"/>
      <c r="W121" s="26"/>
      <c r="X121" s="33"/>
      <c r="Y121" s="33"/>
      <c r="Z121" s="33"/>
      <c r="AA121" s="26"/>
      <c r="AB121" s="26"/>
      <c r="AC121" s="26"/>
      <c r="AD121" s="26"/>
      <c r="AE121" s="26"/>
      <c r="AF121" s="26"/>
      <c r="AG121" s="33"/>
      <c r="AH121" s="33"/>
      <c r="AI121" s="33"/>
      <c r="AJ121" s="33"/>
      <c r="AK121" s="32"/>
      <c r="AL121" s="35"/>
      <c r="AM121" s="35"/>
      <c r="AN121" s="32"/>
      <c r="AO121" s="32"/>
      <c r="AP121" s="775"/>
      <c r="AQ121" s="775"/>
      <c r="AR121" s="32"/>
      <c r="AV121" s="32"/>
      <c r="AW121" s="26"/>
      <c r="AX121" s="32"/>
      <c r="BG121" s="32"/>
      <c r="BJ121" s="32"/>
      <c r="BM121" s="32"/>
      <c r="BN121" s="439"/>
      <c r="CA121" s="700"/>
      <c r="CB121" s="700"/>
      <c r="CD121" s="26"/>
      <c r="CE121" s="33"/>
      <c r="CF121" s="103"/>
      <c r="CI121" s="32"/>
      <c r="CJ121" s="26"/>
      <c r="CX121" s="794"/>
      <c r="CY121" s="794"/>
      <c r="DR121" s="439"/>
      <c r="EL121" s="439"/>
      <c r="EM121" s="439"/>
      <c r="EN121" s="711"/>
      <c r="EP121" s="439"/>
      <c r="EQ121" s="439"/>
      <c r="ER121" s="439"/>
      <c r="ES121" s="439"/>
      <c r="ET121" s="439"/>
      <c r="EU121" s="672"/>
      <c r="EX121" s="32"/>
    </row>
    <row r="122" spans="1:154" s="27" customFormat="1" ht="12.75">
      <c r="A122" s="26"/>
      <c r="B122" s="26"/>
      <c r="C122" s="26"/>
      <c r="D122" s="26"/>
      <c r="E122" s="26"/>
      <c r="F122" s="26"/>
      <c r="G122" s="31"/>
      <c r="I122" s="32"/>
      <c r="K122" s="26"/>
      <c r="L122" s="33"/>
      <c r="M122" s="33"/>
      <c r="N122" s="33"/>
      <c r="O122" s="33"/>
      <c r="P122" s="26"/>
      <c r="Q122" s="33"/>
      <c r="R122" s="33"/>
      <c r="S122" s="26"/>
      <c r="T122" s="26"/>
      <c r="U122" s="26"/>
      <c r="V122" s="26"/>
      <c r="W122" s="26"/>
      <c r="X122" s="33"/>
      <c r="Y122" s="33"/>
      <c r="Z122" s="33"/>
      <c r="AA122" s="26"/>
      <c r="AB122" s="26"/>
      <c r="AC122" s="26"/>
      <c r="AD122" s="26"/>
      <c r="AE122" s="26"/>
      <c r="AF122" s="26"/>
      <c r="AG122" s="33"/>
      <c r="AH122" s="33"/>
      <c r="AI122" s="33"/>
      <c r="AJ122" s="33"/>
      <c r="AK122" s="32"/>
      <c r="AL122" s="35"/>
      <c r="AM122" s="35"/>
      <c r="AN122" s="32"/>
      <c r="AO122" s="32"/>
      <c r="AP122" s="775"/>
      <c r="AQ122" s="775"/>
      <c r="AR122" s="32"/>
      <c r="AV122" s="32"/>
      <c r="AW122" s="26"/>
      <c r="AX122" s="32"/>
      <c r="BG122" s="32"/>
      <c r="BJ122" s="32"/>
      <c r="BM122" s="32"/>
      <c r="BN122" s="439"/>
      <c r="CA122" s="700"/>
      <c r="CB122" s="700"/>
      <c r="CD122" s="26"/>
      <c r="CE122" s="33"/>
      <c r="CF122" s="103"/>
      <c r="CI122" s="32"/>
      <c r="CJ122" s="26"/>
      <c r="CX122" s="794"/>
      <c r="CY122" s="794"/>
      <c r="DR122" s="439"/>
      <c r="EL122" s="439"/>
      <c r="EM122" s="439"/>
      <c r="EN122" s="711"/>
      <c r="EP122" s="439"/>
      <c r="EQ122" s="439"/>
      <c r="ER122" s="439"/>
      <c r="ES122" s="439"/>
      <c r="ET122" s="439"/>
      <c r="EU122" s="672"/>
      <c r="EX122" s="32"/>
    </row>
    <row r="123" spans="1:154" s="27" customFormat="1" ht="12.75">
      <c r="A123" s="26"/>
      <c r="B123" s="26"/>
      <c r="C123" s="26"/>
      <c r="D123" s="26"/>
      <c r="E123" s="26"/>
      <c r="F123" s="26"/>
      <c r="G123" s="31"/>
      <c r="I123" s="32"/>
      <c r="K123" s="26"/>
      <c r="L123" s="33"/>
      <c r="M123" s="33"/>
      <c r="N123" s="33"/>
      <c r="O123" s="33"/>
      <c r="P123" s="26"/>
      <c r="Q123" s="33"/>
      <c r="R123" s="33"/>
      <c r="S123" s="26"/>
      <c r="T123" s="26"/>
      <c r="U123" s="26"/>
      <c r="V123" s="26"/>
      <c r="W123" s="26"/>
      <c r="X123" s="33"/>
      <c r="Y123" s="33"/>
      <c r="Z123" s="33"/>
      <c r="AA123" s="26"/>
      <c r="AB123" s="26"/>
      <c r="AC123" s="26"/>
      <c r="AD123" s="26"/>
      <c r="AE123" s="26"/>
      <c r="AF123" s="26"/>
      <c r="AG123" s="33"/>
      <c r="AH123" s="33"/>
      <c r="AI123" s="33"/>
      <c r="AJ123" s="33"/>
      <c r="AK123" s="32"/>
      <c r="AL123" s="35"/>
      <c r="AM123" s="35"/>
      <c r="AN123" s="32"/>
      <c r="AO123" s="32"/>
      <c r="AP123" s="775"/>
      <c r="AQ123" s="775"/>
      <c r="AR123" s="32"/>
      <c r="AV123" s="32"/>
      <c r="AW123" s="26"/>
      <c r="AX123" s="32"/>
      <c r="BG123" s="32"/>
      <c r="BJ123" s="32"/>
      <c r="BM123" s="32"/>
      <c r="BN123" s="439"/>
      <c r="CA123" s="700"/>
      <c r="CB123" s="700"/>
      <c r="CD123" s="26"/>
      <c r="CE123" s="33"/>
      <c r="CF123" s="103"/>
      <c r="CI123" s="32"/>
      <c r="CJ123" s="26"/>
      <c r="CX123" s="794"/>
      <c r="CY123" s="794"/>
      <c r="DR123" s="439"/>
      <c r="EL123" s="439"/>
      <c r="EM123" s="439"/>
      <c r="EN123" s="711"/>
      <c r="EP123" s="439"/>
      <c r="EQ123" s="439"/>
      <c r="ER123" s="439"/>
      <c r="ES123" s="439"/>
      <c r="ET123" s="439"/>
      <c r="EU123" s="672"/>
      <c r="EX123" s="32"/>
    </row>
    <row r="124" spans="1:154" s="27" customFormat="1" ht="12.75">
      <c r="A124" s="26"/>
      <c r="B124" s="26"/>
      <c r="C124" s="26"/>
      <c r="D124" s="26"/>
      <c r="E124" s="26"/>
      <c r="F124" s="26"/>
      <c r="G124" s="31"/>
      <c r="I124" s="32"/>
      <c r="K124" s="26"/>
      <c r="L124" s="33"/>
      <c r="M124" s="33"/>
      <c r="N124" s="33"/>
      <c r="O124" s="33"/>
      <c r="P124" s="26"/>
      <c r="Q124" s="33"/>
      <c r="R124" s="33"/>
      <c r="S124" s="26"/>
      <c r="T124" s="26"/>
      <c r="U124" s="26"/>
      <c r="V124" s="26"/>
      <c r="W124" s="26"/>
      <c r="X124" s="33"/>
      <c r="Y124" s="33"/>
      <c r="Z124" s="33"/>
      <c r="AA124" s="26"/>
      <c r="AB124" s="26"/>
      <c r="AC124" s="26"/>
      <c r="AD124" s="26"/>
      <c r="AE124" s="26"/>
      <c r="AF124" s="26"/>
      <c r="AG124" s="33"/>
      <c r="AH124" s="33"/>
      <c r="AI124" s="33"/>
      <c r="AJ124" s="33"/>
      <c r="AK124" s="32"/>
      <c r="AL124" s="35"/>
      <c r="AM124" s="35"/>
      <c r="AN124" s="32"/>
      <c r="AO124" s="32"/>
      <c r="AP124" s="775"/>
      <c r="AQ124" s="775"/>
      <c r="AR124" s="32"/>
      <c r="AV124" s="32"/>
      <c r="AW124" s="26"/>
      <c r="AX124" s="32"/>
      <c r="BG124" s="32"/>
      <c r="BJ124" s="32"/>
      <c r="BM124" s="32"/>
      <c r="BN124" s="439"/>
      <c r="CA124" s="700"/>
      <c r="CB124" s="700"/>
      <c r="CD124" s="26"/>
      <c r="CE124" s="33"/>
      <c r="CF124" s="103"/>
      <c r="CI124" s="32"/>
      <c r="CJ124" s="26"/>
      <c r="CX124" s="794"/>
      <c r="CY124" s="794"/>
      <c r="DR124" s="439"/>
      <c r="EL124" s="439"/>
      <c r="EM124" s="439"/>
      <c r="EN124" s="711"/>
      <c r="EP124" s="439"/>
      <c r="EQ124" s="439"/>
      <c r="ER124" s="439"/>
      <c r="ES124" s="439"/>
      <c r="ET124" s="439"/>
      <c r="EU124" s="672"/>
      <c r="EX124" s="32"/>
    </row>
    <row r="125" spans="1:154" s="27" customFormat="1" ht="12.75">
      <c r="A125" s="26"/>
      <c r="B125" s="26"/>
      <c r="C125" s="26"/>
      <c r="D125" s="26"/>
      <c r="E125" s="26"/>
      <c r="F125" s="26"/>
      <c r="G125" s="31"/>
      <c r="I125" s="32"/>
      <c r="K125" s="26"/>
      <c r="L125" s="33"/>
      <c r="M125" s="33"/>
      <c r="N125" s="33"/>
      <c r="O125" s="33"/>
      <c r="P125" s="26"/>
      <c r="Q125" s="33"/>
      <c r="R125" s="33"/>
      <c r="S125" s="26"/>
      <c r="T125" s="26"/>
      <c r="U125" s="26"/>
      <c r="V125" s="26"/>
      <c r="W125" s="26"/>
      <c r="X125" s="33"/>
      <c r="Y125" s="33"/>
      <c r="Z125" s="33"/>
      <c r="AA125" s="26"/>
      <c r="AB125" s="26"/>
      <c r="AC125" s="26"/>
      <c r="AD125" s="26"/>
      <c r="AE125" s="26"/>
      <c r="AF125" s="26"/>
      <c r="AG125" s="33"/>
      <c r="AH125" s="33"/>
      <c r="AI125" s="33"/>
      <c r="AJ125" s="33"/>
      <c r="AK125" s="32"/>
      <c r="AL125" s="35"/>
      <c r="AM125" s="35"/>
      <c r="AN125" s="32"/>
      <c r="AO125" s="32"/>
      <c r="AP125" s="775"/>
      <c r="AQ125" s="775"/>
      <c r="AR125" s="32"/>
      <c r="AV125" s="32"/>
      <c r="AW125" s="26"/>
      <c r="AX125" s="32"/>
      <c r="BG125" s="32"/>
      <c r="BJ125" s="32"/>
      <c r="BM125" s="32"/>
      <c r="BN125" s="439"/>
      <c r="CA125" s="700"/>
      <c r="CB125" s="700"/>
      <c r="CD125" s="26"/>
      <c r="CE125" s="33"/>
      <c r="CF125" s="103"/>
      <c r="CI125" s="32"/>
      <c r="CJ125" s="26"/>
      <c r="CX125" s="794"/>
      <c r="CY125" s="794"/>
      <c r="DR125" s="439"/>
      <c r="EL125" s="439"/>
      <c r="EM125" s="439"/>
      <c r="EN125" s="711"/>
      <c r="EP125" s="439"/>
      <c r="EQ125" s="439"/>
      <c r="ER125" s="439"/>
      <c r="ES125" s="439"/>
      <c r="ET125" s="439"/>
      <c r="EU125" s="672"/>
      <c r="EX125" s="32"/>
    </row>
    <row r="126" spans="1:154" s="27" customFormat="1" ht="12.75">
      <c r="A126" s="26"/>
      <c r="B126" s="26"/>
      <c r="C126" s="26"/>
      <c r="D126" s="26"/>
      <c r="E126" s="26"/>
      <c r="F126" s="26"/>
      <c r="G126" s="31"/>
      <c r="I126" s="32"/>
      <c r="K126" s="26"/>
      <c r="L126" s="33"/>
      <c r="M126" s="33"/>
      <c r="N126" s="33"/>
      <c r="O126" s="33"/>
      <c r="P126" s="26"/>
      <c r="Q126" s="33"/>
      <c r="R126" s="33"/>
      <c r="S126" s="26"/>
      <c r="T126" s="26"/>
      <c r="U126" s="26"/>
      <c r="V126" s="26"/>
      <c r="W126" s="26"/>
      <c r="X126" s="33"/>
      <c r="Y126" s="33"/>
      <c r="Z126" s="33"/>
      <c r="AA126" s="26"/>
      <c r="AB126" s="26"/>
      <c r="AC126" s="26"/>
      <c r="AD126" s="26"/>
      <c r="AE126" s="26"/>
      <c r="AF126" s="26"/>
      <c r="AG126" s="33"/>
      <c r="AH126" s="33"/>
      <c r="AI126" s="33"/>
      <c r="AJ126" s="33"/>
      <c r="AK126" s="32"/>
      <c r="AL126" s="35"/>
      <c r="AM126" s="35"/>
      <c r="AN126" s="32"/>
      <c r="AO126" s="32"/>
      <c r="AP126" s="775"/>
      <c r="AQ126" s="775"/>
      <c r="AR126" s="32"/>
      <c r="AV126" s="32"/>
      <c r="AW126" s="26"/>
      <c r="AX126" s="32"/>
      <c r="BG126" s="32"/>
      <c r="BJ126" s="32"/>
      <c r="BM126" s="32"/>
      <c r="BN126" s="439"/>
      <c r="CA126" s="700"/>
      <c r="CB126" s="700"/>
      <c r="CD126" s="26"/>
      <c r="CE126" s="33"/>
      <c r="CF126" s="103"/>
      <c r="CI126" s="32"/>
      <c r="CJ126" s="26"/>
      <c r="CX126" s="794"/>
      <c r="CY126" s="794"/>
      <c r="DR126" s="439"/>
      <c r="EL126" s="439"/>
      <c r="EM126" s="439"/>
      <c r="EN126" s="711"/>
      <c r="EP126" s="439"/>
      <c r="EQ126" s="439"/>
      <c r="ER126" s="439"/>
      <c r="ES126" s="439"/>
      <c r="ET126" s="439"/>
      <c r="EU126" s="672"/>
      <c r="EX126" s="32"/>
    </row>
    <row r="127" spans="1:154" s="27" customFormat="1" ht="12.75">
      <c r="A127" s="26"/>
      <c r="B127" s="26"/>
      <c r="C127" s="26"/>
      <c r="D127" s="26"/>
      <c r="E127" s="26"/>
      <c r="F127" s="26"/>
      <c r="G127" s="31"/>
      <c r="I127" s="32"/>
      <c r="K127" s="26"/>
      <c r="L127" s="33"/>
      <c r="M127" s="33"/>
      <c r="N127" s="33"/>
      <c r="O127" s="33"/>
      <c r="P127" s="26"/>
      <c r="Q127" s="33"/>
      <c r="R127" s="33"/>
      <c r="S127" s="26"/>
      <c r="T127" s="26"/>
      <c r="U127" s="26"/>
      <c r="V127" s="26"/>
      <c r="W127" s="26"/>
      <c r="X127" s="33"/>
      <c r="Y127" s="33"/>
      <c r="Z127" s="33"/>
      <c r="AA127" s="26"/>
      <c r="AB127" s="26"/>
      <c r="AC127" s="26"/>
      <c r="AD127" s="26"/>
      <c r="AE127" s="26"/>
      <c r="AF127" s="26"/>
      <c r="AG127" s="33"/>
      <c r="AH127" s="33"/>
      <c r="AI127" s="33"/>
      <c r="AJ127" s="33"/>
      <c r="AK127" s="32"/>
      <c r="AL127" s="35"/>
      <c r="AM127" s="35"/>
      <c r="AN127" s="32"/>
      <c r="AO127" s="32"/>
      <c r="AP127" s="775"/>
      <c r="AQ127" s="775"/>
      <c r="AR127" s="32"/>
      <c r="AV127" s="32"/>
      <c r="AW127" s="26"/>
      <c r="AX127" s="32"/>
      <c r="BG127" s="32"/>
      <c r="BJ127" s="32"/>
      <c r="BM127" s="32"/>
      <c r="BN127" s="439"/>
      <c r="CA127" s="700"/>
      <c r="CB127" s="700"/>
      <c r="CD127" s="26"/>
      <c r="CE127" s="33"/>
      <c r="CF127" s="103"/>
      <c r="CI127" s="32"/>
      <c r="CJ127" s="26"/>
      <c r="CX127" s="794"/>
      <c r="CY127" s="794"/>
      <c r="DR127" s="439"/>
      <c r="EL127" s="439"/>
      <c r="EM127" s="439"/>
      <c r="EN127" s="711"/>
      <c r="EP127" s="439"/>
      <c r="EQ127" s="439"/>
      <c r="ER127" s="439"/>
      <c r="ES127" s="439"/>
      <c r="ET127" s="439"/>
      <c r="EU127" s="672"/>
      <c r="EX127" s="32"/>
    </row>
    <row r="128" spans="1:154" s="27" customFormat="1" ht="12.75">
      <c r="A128" s="26"/>
      <c r="B128" s="26"/>
      <c r="C128" s="26"/>
      <c r="D128" s="26"/>
      <c r="E128" s="26"/>
      <c r="F128" s="26"/>
      <c r="G128" s="31"/>
      <c r="I128" s="32"/>
      <c r="K128" s="26"/>
      <c r="L128" s="33"/>
      <c r="M128" s="33"/>
      <c r="N128" s="33"/>
      <c r="O128" s="33"/>
      <c r="P128" s="26"/>
      <c r="Q128" s="33"/>
      <c r="R128" s="33"/>
      <c r="S128" s="26"/>
      <c r="T128" s="26"/>
      <c r="U128" s="26"/>
      <c r="V128" s="26"/>
      <c r="W128" s="26"/>
      <c r="X128" s="33"/>
      <c r="Y128" s="33"/>
      <c r="Z128" s="33"/>
      <c r="AA128" s="26"/>
      <c r="AB128" s="26"/>
      <c r="AC128" s="26"/>
      <c r="AD128" s="26"/>
      <c r="AE128" s="26"/>
      <c r="AF128" s="26"/>
      <c r="AG128" s="33"/>
      <c r="AH128" s="33"/>
      <c r="AI128" s="33"/>
      <c r="AJ128" s="33"/>
      <c r="AK128" s="32"/>
      <c r="AL128" s="35"/>
      <c r="AM128" s="35"/>
      <c r="AN128" s="32"/>
      <c r="AO128" s="32"/>
      <c r="AP128" s="775"/>
      <c r="AQ128" s="775"/>
      <c r="AR128" s="32"/>
      <c r="AV128" s="32"/>
      <c r="AW128" s="26"/>
      <c r="AX128" s="32"/>
      <c r="BG128" s="32"/>
      <c r="BJ128" s="32"/>
      <c r="BM128" s="32"/>
      <c r="BN128" s="439"/>
      <c r="CA128" s="700"/>
      <c r="CB128" s="700"/>
      <c r="CD128" s="26"/>
      <c r="CE128" s="33"/>
      <c r="CF128" s="103"/>
      <c r="CI128" s="32"/>
      <c r="CJ128" s="26"/>
      <c r="CX128" s="794"/>
      <c r="CY128" s="794"/>
      <c r="DR128" s="439"/>
      <c r="EL128" s="439"/>
      <c r="EM128" s="439"/>
      <c r="EN128" s="711"/>
      <c r="EP128" s="439"/>
      <c r="EQ128" s="439"/>
      <c r="ER128" s="439"/>
      <c r="ES128" s="439"/>
      <c r="ET128" s="439"/>
      <c r="EU128" s="672"/>
      <c r="EX128" s="32"/>
    </row>
    <row r="129" spans="1:154" s="27" customFormat="1" ht="12.75">
      <c r="A129" s="26"/>
      <c r="B129" s="26"/>
      <c r="C129" s="26"/>
      <c r="D129" s="26"/>
      <c r="E129" s="26"/>
      <c r="F129" s="26"/>
      <c r="G129" s="31"/>
      <c r="I129" s="32"/>
      <c r="K129" s="26"/>
      <c r="L129" s="33"/>
      <c r="M129" s="33"/>
      <c r="N129" s="33"/>
      <c r="O129" s="33"/>
      <c r="P129" s="26"/>
      <c r="Q129" s="33"/>
      <c r="R129" s="33"/>
      <c r="S129" s="26"/>
      <c r="T129" s="26"/>
      <c r="U129" s="26"/>
      <c r="V129" s="26"/>
      <c r="W129" s="26"/>
      <c r="X129" s="33"/>
      <c r="Y129" s="33"/>
      <c r="Z129" s="33"/>
      <c r="AA129" s="26"/>
      <c r="AB129" s="26"/>
      <c r="AC129" s="26"/>
      <c r="AD129" s="26"/>
      <c r="AE129" s="26"/>
      <c r="AF129" s="26"/>
      <c r="AG129" s="33"/>
      <c r="AH129" s="33"/>
      <c r="AI129" s="33"/>
      <c r="AJ129" s="33"/>
      <c r="AK129" s="32"/>
      <c r="AL129" s="35"/>
      <c r="AM129" s="35"/>
      <c r="AN129" s="32"/>
      <c r="AO129" s="32"/>
      <c r="AP129" s="775"/>
      <c r="AQ129" s="775"/>
      <c r="AR129" s="32"/>
      <c r="AV129" s="32"/>
      <c r="AW129" s="26"/>
      <c r="AX129" s="32"/>
      <c r="BG129" s="32"/>
      <c r="BJ129" s="32"/>
      <c r="BM129" s="32"/>
      <c r="BN129" s="439"/>
      <c r="CA129" s="700"/>
      <c r="CB129" s="700"/>
      <c r="CD129" s="26"/>
      <c r="CE129" s="33"/>
      <c r="CF129" s="103"/>
      <c r="CI129" s="32"/>
      <c r="CJ129" s="26"/>
      <c r="CX129" s="794"/>
      <c r="CY129" s="794"/>
      <c r="DR129" s="439"/>
      <c r="EL129" s="439"/>
      <c r="EM129" s="439"/>
      <c r="EN129" s="711"/>
      <c r="EP129" s="439"/>
      <c r="EQ129" s="439"/>
      <c r="ER129" s="439"/>
      <c r="ES129" s="439"/>
      <c r="ET129" s="439"/>
      <c r="EU129" s="672"/>
      <c r="EX129" s="32"/>
    </row>
    <row r="130" spans="1:154" s="27" customFormat="1" ht="12.75">
      <c r="A130" s="26"/>
      <c r="B130" s="26"/>
      <c r="C130" s="26"/>
      <c r="D130" s="26"/>
      <c r="E130" s="26"/>
      <c r="F130" s="26"/>
      <c r="G130" s="31"/>
      <c r="I130" s="32"/>
      <c r="K130" s="26"/>
      <c r="L130" s="33"/>
      <c r="M130" s="33"/>
      <c r="N130" s="33"/>
      <c r="O130" s="33"/>
      <c r="P130" s="26"/>
      <c r="Q130" s="33"/>
      <c r="R130" s="33"/>
      <c r="S130" s="26"/>
      <c r="T130" s="26"/>
      <c r="U130" s="26"/>
      <c r="V130" s="26"/>
      <c r="W130" s="26"/>
      <c r="X130" s="33"/>
      <c r="Y130" s="33"/>
      <c r="Z130" s="33"/>
      <c r="AA130" s="26"/>
      <c r="AB130" s="26"/>
      <c r="AC130" s="26"/>
      <c r="AD130" s="26"/>
      <c r="AE130" s="26"/>
      <c r="AF130" s="26"/>
      <c r="AG130" s="33"/>
      <c r="AH130" s="33"/>
      <c r="AI130" s="33"/>
      <c r="AJ130" s="33"/>
      <c r="AK130" s="32"/>
      <c r="AL130" s="35"/>
      <c r="AM130" s="35"/>
      <c r="AN130" s="32"/>
      <c r="AO130" s="32"/>
      <c r="AP130" s="775"/>
      <c r="AQ130" s="775"/>
      <c r="AR130" s="32"/>
      <c r="AV130" s="32"/>
      <c r="AW130" s="26"/>
      <c r="AX130" s="32"/>
      <c r="BG130" s="32"/>
      <c r="BJ130" s="32"/>
      <c r="BM130" s="32"/>
      <c r="BN130" s="439"/>
      <c r="CA130" s="700"/>
      <c r="CB130" s="700"/>
      <c r="CD130" s="26"/>
      <c r="CE130" s="33"/>
      <c r="CF130" s="103"/>
      <c r="CI130" s="32"/>
      <c r="CJ130" s="26"/>
      <c r="CX130" s="794"/>
      <c r="CY130" s="794"/>
      <c r="DR130" s="439"/>
      <c r="EL130" s="439"/>
      <c r="EM130" s="439"/>
      <c r="EN130" s="711"/>
      <c r="EP130" s="439"/>
      <c r="EQ130" s="439"/>
      <c r="ER130" s="439"/>
      <c r="ES130" s="439"/>
      <c r="ET130" s="439"/>
      <c r="EU130" s="672"/>
      <c r="EX130" s="32"/>
    </row>
    <row r="131" spans="1:154" s="27" customFormat="1" ht="12.75">
      <c r="A131" s="26"/>
      <c r="B131" s="26"/>
      <c r="C131" s="26"/>
      <c r="D131" s="26"/>
      <c r="E131" s="26"/>
      <c r="F131" s="26"/>
      <c r="G131" s="31"/>
      <c r="I131" s="32"/>
      <c r="K131" s="26"/>
      <c r="L131" s="33"/>
      <c r="M131" s="33"/>
      <c r="N131" s="33"/>
      <c r="O131" s="33"/>
      <c r="P131" s="26"/>
      <c r="Q131" s="33"/>
      <c r="R131" s="33"/>
      <c r="S131" s="26"/>
      <c r="T131" s="26"/>
      <c r="U131" s="26"/>
      <c r="V131" s="26"/>
      <c r="W131" s="26"/>
      <c r="X131" s="33"/>
      <c r="Y131" s="33"/>
      <c r="Z131" s="33"/>
      <c r="AA131" s="26"/>
      <c r="AB131" s="26"/>
      <c r="AC131" s="26"/>
      <c r="AD131" s="26"/>
      <c r="AE131" s="26"/>
      <c r="AF131" s="26"/>
      <c r="AG131" s="33"/>
      <c r="AH131" s="33"/>
      <c r="AI131" s="33"/>
      <c r="AJ131" s="33"/>
      <c r="AK131" s="32"/>
      <c r="AL131" s="35"/>
      <c r="AM131" s="35"/>
      <c r="AN131" s="32"/>
      <c r="AO131" s="32"/>
      <c r="AP131" s="775"/>
      <c r="AQ131" s="775"/>
      <c r="AR131" s="32"/>
      <c r="AV131" s="32"/>
      <c r="AW131" s="26"/>
      <c r="AX131" s="32"/>
      <c r="BG131" s="32"/>
      <c r="BJ131" s="32"/>
      <c r="BM131" s="32"/>
      <c r="BN131" s="439"/>
      <c r="CA131" s="700"/>
      <c r="CB131" s="700"/>
      <c r="CD131" s="26"/>
      <c r="CE131" s="33"/>
      <c r="CF131" s="103"/>
      <c r="CI131" s="32"/>
      <c r="CJ131" s="26"/>
      <c r="CX131" s="794"/>
      <c r="CY131" s="794"/>
      <c r="DR131" s="439"/>
      <c r="EL131" s="439"/>
      <c r="EM131" s="439"/>
      <c r="EN131" s="711"/>
      <c r="EP131" s="439"/>
      <c r="EQ131" s="439"/>
      <c r="ER131" s="439"/>
      <c r="ES131" s="439"/>
      <c r="ET131" s="439"/>
      <c r="EU131" s="672"/>
      <c r="EX131" s="32"/>
    </row>
    <row r="132" spans="1:154" s="27" customFormat="1" ht="12.75">
      <c r="A132" s="26"/>
      <c r="B132" s="26"/>
      <c r="C132" s="26"/>
      <c r="D132" s="26"/>
      <c r="E132" s="26"/>
      <c r="F132" s="26"/>
      <c r="G132" s="31"/>
      <c r="I132" s="32"/>
      <c r="K132" s="26"/>
      <c r="L132" s="33"/>
      <c r="M132" s="33"/>
      <c r="N132" s="33"/>
      <c r="O132" s="33"/>
      <c r="P132" s="26"/>
      <c r="Q132" s="33"/>
      <c r="R132" s="33"/>
      <c r="S132" s="26"/>
      <c r="T132" s="26"/>
      <c r="U132" s="26"/>
      <c r="V132" s="26"/>
      <c r="W132" s="26"/>
      <c r="X132" s="33"/>
      <c r="Y132" s="33"/>
      <c r="Z132" s="33"/>
      <c r="AA132" s="26"/>
      <c r="AB132" s="26"/>
      <c r="AC132" s="26"/>
      <c r="AD132" s="26"/>
      <c r="AE132" s="26"/>
      <c r="AF132" s="26"/>
      <c r="AG132" s="33"/>
      <c r="AH132" s="33"/>
      <c r="AI132" s="33"/>
      <c r="AJ132" s="33"/>
      <c r="AK132" s="32"/>
      <c r="AL132" s="35"/>
      <c r="AM132" s="35"/>
      <c r="AN132" s="32"/>
      <c r="AO132" s="32"/>
      <c r="AP132" s="775"/>
      <c r="AQ132" s="775"/>
      <c r="AR132" s="32"/>
      <c r="AV132" s="32"/>
      <c r="AW132" s="26"/>
      <c r="AX132" s="32"/>
      <c r="BG132" s="32"/>
      <c r="BJ132" s="32"/>
      <c r="BM132" s="32"/>
      <c r="BN132" s="439"/>
      <c r="CA132" s="700"/>
      <c r="CB132" s="700"/>
      <c r="CD132" s="26"/>
      <c r="CE132" s="33"/>
      <c r="CF132" s="103"/>
      <c r="CI132" s="32"/>
      <c r="CJ132" s="26"/>
      <c r="CX132" s="794"/>
      <c r="CY132" s="794"/>
      <c r="DR132" s="439"/>
      <c r="EL132" s="439"/>
      <c r="EM132" s="439"/>
      <c r="EN132" s="711"/>
      <c r="EP132" s="439"/>
      <c r="EQ132" s="439"/>
      <c r="ER132" s="439"/>
      <c r="ES132" s="439"/>
      <c r="ET132" s="439"/>
      <c r="EU132" s="672"/>
      <c r="EX132" s="32"/>
    </row>
    <row r="133" spans="1:154" s="27" customFormat="1" ht="12.75">
      <c r="A133" s="26"/>
      <c r="B133" s="26"/>
      <c r="C133" s="26"/>
      <c r="D133" s="26"/>
      <c r="E133" s="26"/>
      <c r="F133" s="26"/>
      <c r="G133" s="31"/>
      <c r="I133" s="32"/>
      <c r="K133" s="26"/>
      <c r="L133" s="33"/>
      <c r="M133" s="33"/>
      <c r="N133" s="33"/>
      <c r="O133" s="33"/>
      <c r="P133" s="26"/>
      <c r="Q133" s="33"/>
      <c r="R133" s="33"/>
      <c r="S133" s="26"/>
      <c r="T133" s="26"/>
      <c r="U133" s="26"/>
      <c r="V133" s="26"/>
      <c r="W133" s="26"/>
      <c r="X133" s="33"/>
      <c r="Y133" s="33"/>
      <c r="Z133" s="33"/>
      <c r="AA133" s="26"/>
      <c r="AB133" s="26"/>
      <c r="AC133" s="26"/>
      <c r="AD133" s="26"/>
      <c r="AE133" s="26"/>
      <c r="AF133" s="26"/>
      <c r="AG133" s="33"/>
      <c r="AH133" s="33"/>
      <c r="AI133" s="33"/>
      <c r="AJ133" s="33"/>
      <c r="AK133" s="32"/>
      <c r="AL133" s="35"/>
      <c r="AM133" s="35"/>
      <c r="AN133" s="32"/>
      <c r="AO133" s="32"/>
      <c r="AP133" s="775"/>
      <c r="AQ133" s="775"/>
      <c r="AR133" s="32"/>
      <c r="AV133" s="32"/>
      <c r="AW133" s="26"/>
      <c r="AX133" s="32"/>
      <c r="BG133" s="32"/>
      <c r="BJ133" s="32"/>
      <c r="BM133" s="32"/>
      <c r="BN133" s="439"/>
      <c r="CA133" s="700"/>
      <c r="CB133" s="700"/>
      <c r="CD133" s="26"/>
      <c r="CE133" s="33"/>
      <c r="CF133" s="103"/>
      <c r="CI133" s="32"/>
      <c r="CJ133" s="26"/>
      <c r="CX133" s="794"/>
      <c r="CY133" s="794"/>
      <c r="DR133" s="439"/>
      <c r="EL133" s="439"/>
      <c r="EM133" s="439"/>
      <c r="EN133" s="711"/>
      <c r="EP133" s="439"/>
      <c r="EQ133" s="439"/>
      <c r="ER133" s="439"/>
      <c r="ES133" s="439"/>
      <c r="ET133" s="439"/>
      <c r="EU133" s="672"/>
      <c r="EX133" s="32"/>
    </row>
    <row r="134" spans="1:154" s="27" customFormat="1" ht="12.75">
      <c r="A134" s="26"/>
      <c r="B134" s="26"/>
      <c r="C134" s="26"/>
      <c r="D134" s="26"/>
      <c r="E134" s="26"/>
      <c r="F134" s="26"/>
      <c r="G134" s="31"/>
      <c r="I134" s="32"/>
      <c r="K134" s="26"/>
      <c r="L134" s="33"/>
      <c r="M134" s="33"/>
      <c r="N134" s="33"/>
      <c r="O134" s="33"/>
      <c r="P134" s="26"/>
      <c r="Q134" s="33"/>
      <c r="R134" s="33"/>
      <c r="S134" s="26"/>
      <c r="T134" s="26"/>
      <c r="U134" s="26"/>
      <c r="V134" s="26"/>
      <c r="W134" s="26"/>
      <c r="X134" s="33"/>
      <c r="Y134" s="33"/>
      <c r="Z134" s="33"/>
      <c r="AA134" s="26"/>
      <c r="AB134" s="26"/>
      <c r="AC134" s="26"/>
      <c r="AD134" s="26"/>
      <c r="AE134" s="26"/>
      <c r="AF134" s="26"/>
      <c r="AG134" s="33"/>
      <c r="AH134" s="33"/>
      <c r="AI134" s="33"/>
      <c r="AJ134" s="33"/>
      <c r="AK134" s="32"/>
      <c r="AL134" s="35"/>
      <c r="AM134" s="35"/>
      <c r="AN134" s="32"/>
      <c r="AO134" s="32"/>
      <c r="AP134" s="775"/>
      <c r="AQ134" s="775"/>
      <c r="AR134" s="32"/>
      <c r="AV134" s="32"/>
      <c r="AW134" s="26"/>
      <c r="AX134" s="32"/>
      <c r="BG134" s="32"/>
      <c r="BJ134" s="32"/>
      <c r="BM134" s="32"/>
      <c r="BN134" s="439"/>
      <c r="CA134" s="700"/>
      <c r="CB134" s="700"/>
      <c r="CD134" s="26"/>
      <c r="CE134" s="33"/>
      <c r="CF134" s="103"/>
      <c r="CI134" s="32"/>
      <c r="CJ134" s="26"/>
      <c r="CX134" s="794"/>
      <c r="CY134" s="794"/>
      <c r="DR134" s="439"/>
      <c r="EL134" s="439"/>
      <c r="EM134" s="439"/>
      <c r="EN134" s="711"/>
      <c r="EP134" s="439"/>
      <c r="EQ134" s="439"/>
      <c r="ER134" s="439"/>
      <c r="ES134" s="439"/>
      <c r="ET134" s="439"/>
      <c r="EU134" s="672"/>
      <c r="EX134" s="32"/>
    </row>
    <row r="135" spans="1:154" s="27" customFormat="1" ht="12.75">
      <c r="A135" s="26"/>
      <c r="B135" s="26"/>
      <c r="C135" s="26"/>
      <c r="D135" s="26"/>
      <c r="E135" s="26"/>
      <c r="F135" s="26"/>
      <c r="G135" s="31"/>
      <c r="I135" s="32"/>
      <c r="K135" s="26"/>
      <c r="L135" s="33"/>
      <c r="M135" s="33"/>
      <c r="N135" s="33"/>
      <c r="O135" s="33"/>
      <c r="P135" s="26"/>
      <c r="Q135" s="33"/>
      <c r="R135" s="33"/>
      <c r="S135" s="26"/>
      <c r="T135" s="26"/>
      <c r="U135" s="26"/>
      <c r="V135" s="26"/>
      <c r="W135" s="26"/>
      <c r="X135" s="33"/>
      <c r="Y135" s="33"/>
      <c r="Z135" s="33"/>
      <c r="AA135" s="26"/>
      <c r="AB135" s="26"/>
      <c r="AC135" s="26"/>
      <c r="AD135" s="26"/>
      <c r="AE135" s="26"/>
      <c r="AF135" s="26"/>
      <c r="AG135" s="33"/>
      <c r="AH135" s="33"/>
      <c r="AI135" s="33"/>
      <c r="AJ135" s="33"/>
      <c r="AK135" s="32"/>
      <c r="AL135" s="35"/>
      <c r="AM135" s="35"/>
      <c r="AN135" s="32"/>
      <c r="AO135" s="32"/>
      <c r="AP135" s="775"/>
      <c r="AQ135" s="775"/>
      <c r="AR135" s="32"/>
      <c r="AV135" s="32"/>
      <c r="AW135" s="26"/>
      <c r="AX135" s="32"/>
      <c r="BG135" s="32"/>
      <c r="BJ135" s="32"/>
      <c r="BM135" s="32"/>
      <c r="BN135" s="439"/>
      <c r="CA135" s="700"/>
      <c r="CB135" s="700"/>
      <c r="CD135" s="26"/>
      <c r="CE135" s="33"/>
      <c r="CF135" s="103"/>
      <c r="CI135" s="32"/>
      <c r="CJ135" s="26"/>
      <c r="CX135" s="794"/>
      <c r="CY135" s="794"/>
      <c r="DR135" s="439"/>
      <c r="EL135" s="439"/>
      <c r="EM135" s="439"/>
      <c r="EN135" s="711"/>
      <c r="EP135" s="439"/>
      <c r="EQ135" s="439"/>
      <c r="ER135" s="439"/>
      <c r="ES135" s="439"/>
      <c r="ET135" s="439"/>
      <c r="EU135" s="672"/>
      <c r="EX135" s="32"/>
    </row>
    <row r="136" spans="1:154" s="27" customFormat="1" ht="12.75">
      <c r="A136" s="26"/>
      <c r="B136" s="26"/>
      <c r="C136" s="26"/>
      <c r="D136" s="26"/>
      <c r="E136" s="26"/>
      <c r="F136" s="26"/>
      <c r="G136" s="31"/>
      <c r="I136" s="32"/>
      <c r="K136" s="26"/>
      <c r="L136" s="33"/>
      <c r="M136" s="33"/>
      <c r="N136" s="33"/>
      <c r="O136" s="33"/>
      <c r="P136" s="26"/>
      <c r="Q136" s="33"/>
      <c r="R136" s="33"/>
      <c r="S136" s="26"/>
      <c r="T136" s="26"/>
      <c r="U136" s="26"/>
      <c r="V136" s="26"/>
      <c r="W136" s="26"/>
      <c r="X136" s="33"/>
      <c r="Y136" s="33"/>
      <c r="Z136" s="33"/>
      <c r="AA136" s="26"/>
      <c r="AB136" s="26"/>
      <c r="AC136" s="26"/>
      <c r="AD136" s="26"/>
      <c r="AE136" s="26"/>
      <c r="AF136" s="26"/>
      <c r="AG136" s="33"/>
      <c r="AH136" s="33"/>
      <c r="AI136" s="33"/>
      <c r="AJ136" s="33"/>
      <c r="AK136" s="32"/>
      <c r="AL136" s="35"/>
      <c r="AM136" s="35"/>
      <c r="AN136" s="32"/>
      <c r="AO136" s="32"/>
      <c r="AP136" s="775"/>
      <c r="AQ136" s="775"/>
      <c r="AR136" s="32"/>
      <c r="AV136" s="32"/>
      <c r="AW136" s="26"/>
      <c r="AX136" s="32"/>
      <c r="BG136" s="32"/>
      <c r="BJ136" s="32"/>
      <c r="BM136" s="32"/>
      <c r="BN136" s="439"/>
      <c r="CA136" s="700"/>
      <c r="CB136" s="700"/>
      <c r="CD136" s="26"/>
      <c r="CE136" s="33"/>
      <c r="CF136" s="103"/>
      <c r="CI136" s="32"/>
      <c r="CJ136" s="26"/>
      <c r="CX136" s="794"/>
      <c r="CY136" s="794"/>
      <c r="DR136" s="439"/>
      <c r="EL136" s="439"/>
      <c r="EM136" s="439"/>
      <c r="EN136" s="711"/>
      <c r="EP136" s="439"/>
      <c r="EQ136" s="439"/>
      <c r="ER136" s="439"/>
      <c r="ES136" s="439"/>
      <c r="ET136" s="439"/>
      <c r="EU136" s="672"/>
      <c r="EX136" s="32"/>
    </row>
    <row r="137" spans="1:154" s="27" customFormat="1" ht="12.75">
      <c r="A137" s="26"/>
      <c r="B137" s="26"/>
      <c r="C137" s="26"/>
      <c r="D137" s="26"/>
      <c r="E137" s="26"/>
      <c r="F137" s="26"/>
      <c r="G137" s="31"/>
      <c r="I137" s="32"/>
      <c r="K137" s="26"/>
      <c r="L137" s="33"/>
      <c r="M137" s="33"/>
      <c r="N137" s="33"/>
      <c r="O137" s="33"/>
      <c r="P137" s="26"/>
      <c r="Q137" s="33"/>
      <c r="R137" s="33"/>
      <c r="S137" s="26"/>
      <c r="T137" s="26"/>
      <c r="U137" s="26"/>
      <c r="V137" s="26"/>
      <c r="W137" s="26"/>
      <c r="X137" s="33"/>
      <c r="Y137" s="33"/>
      <c r="Z137" s="33"/>
      <c r="AA137" s="26"/>
      <c r="AB137" s="26"/>
      <c r="AC137" s="26"/>
      <c r="AD137" s="26"/>
      <c r="AE137" s="26"/>
      <c r="AF137" s="26"/>
      <c r="AG137" s="33"/>
      <c r="AH137" s="33"/>
      <c r="AI137" s="33"/>
      <c r="AJ137" s="33"/>
      <c r="AK137" s="32"/>
      <c r="AL137" s="35"/>
      <c r="AM137" s="35"/>
      <c r="AN137" s="32"/>
      <c r="AO137" s="32"/>
      <c r="AP137" s="775"/>
      <c r="AQ137" s="775"/>
      <c r="AR137" s="32"/>
      <c r="AV137" s="32"/>
      <c r="AW137" s="26"/>
      <c r="AX137" s="32"/>
      <c r="BG137" s="32"/>
      <c r="BJ137" s="32"/>
      <c r="BM137" s="32"/>
      <c r="BN137" s="439"/>
      <c r="CA137" s="700"/>
      <c r="CB137" s="700"/>
      <c r="CD137" s="26"/>
      <c r="CE137" s="33"/>
      <c r="CF137" s="103"/>
      <c r="CI137" s="32"/>
      <c r="CJ137" s="26"/>
      <c r="CX137" s="794"/>
      <c r="CY137" s="794"/>
      <c r="DR137" s="439"/>
      <c r="EL137" s="439"/>
      <c r="EM137" s="439"/>
      <c r="EN137" s="711"/>
      <c r="EP137" s="439"/>
      <c r="EQ137" s="439"/>
      <c r="ER137" s="439"/>
      <c r="ES137" s="439"/>
      <c r="ET137" s="439"/>
      <c r="EU137" s="672"/>
      <c r="EX137" s="32"/>
    </row>
    <row r="138" spans="1:154" s="27" customFormat="1" ht="12.75">
      <c r="A138" s="26"/>
      <c r="B138" s="26"/>
      <c r="C138" s="26"/>
      <c r="D138" s="26"/>
      <c r="E138" s="26"/>
      <c r="F138" s="26"/>
      <c r="G138" s="31"/>
      <c r="I138" s="32"/>
      <c r="K138" s="26"/>
      <c r="L138" s="33"/>
      <c r="M138" s="33"/>
      <c r="N138" s="33"/>
      <c r="O138" s="33"/>
      <c r="P138" s="26"/>
      <c r="Q138" s="33"/>
      <c r="R138" s="33"/>
      <c r="S138" s="26"/>
      <c r="T138" s="26"/>
      <c r="U138" s="26"/>
      <c r="V138" s="26"/>
      <c r="W138" s="26"/>
      <c r="X138" s="33"/>
      <c r="Y138" s="33"/>
      <c r="Z138" s="33"/>
      <c r="AA138" s="26"/>
      <c r="AB138" s="26"/>
      <c r="AC138" s="26"/>
      <c r="AD138" s="26"/>
      <c r="AE138" s="26"/>
      <c r="AF138" s="26"/>
      <c r="AG138" s="33"/>
      <c r="AH138" s="33"/>
      <c r="AI138" s="33"/>
      <c r="AJ138" s="33"/>
      <c r="AK138" s="32"/>
      <c r="AL138" s="35"/>
      <c r="AM138" s="35"/>
      <c r="AN138" s="32"/>
      <c r="AO138" s="32"/>
      <c r="AP138" s="775"/>
      <c r="AQ138" s="775"/>
      <c r="AR138" s="32"/>
      <c r="AV138" s="32"/>
      <c r="AW138" s="26"/>
      <c r="AX138" s="32"/>
      <c r="BG138" s="32"/>
      <c r="BJ138" s="32"/>
      <c r="BM138" s="32"/>
      <c r="BN138" s="439"/>
      <c r="CA138" s="700"/>
      <c r="CB138" s="700"/>
      <c r="CD138" s="26"/>
      <c r="CE138" s="33"/>
      <c r="CF138" s="103"/>
      <c r="CI138" s="32"/>
      <c r="CJ138" s="26"/>
      <c r="CX138" s="794"/>
      <c r="CY138" s="794"/>
      <c r="DR138" s="439"/>
      <c r="EL138" s="439"/>
      <c r="EM138" s="439"/>
      <c r="EN138" s="711"/>
      <c r="EP138" s="439"/>
      <c r="EQ138" s="439"/>
      <c r="ER138" s="439"/>
      <c r="ES138" s="439"/>
      <c r="ET138" s="439"/>
      <c r="EU138" s="672"/>
      <c r="EX138" s="32"/>
    </row>
    <row r="139" spans="1:154" s="27" customFormat="1" ht="12.75">
      <c r="A139" s="26"/>
      <c r="B139" s="26"/>
      <c r="C139" s="26"/>
      <c r="D139" s="26"/>
      <c r="E139" s="26"/>
      <c r="F139" s="26"/>
      <c r="G139" s="31"/>
      <c r="I139" s="32"/>
      <c r="K139" s="26"/>
      <c r="L139" s="33"/>
      <c r="M139" s="33"/>
      <c r="N139" s="33"/>
      <c r="O139" s="33"/>
      <c r="P139" s="26"/>
      <c r="Q139" s="33"/>
      <c r="R139" s="33"/>
      <c r="S139" s="26"/>
      <c r="T139" s="26"/>
      <c r="U139" s="26"/>
      <c r="V139" s="26"/>
      <c r="W139" s="26"/>
      <c r="X139" s="33"/>
      <c r="Y139" s="33"/>
      <c r="Z139" s="33"/>
      <c r="AA139" s="26"/>
      <c r="AB139" s="26"/>
      <c r="AC139" s="26"/>
      <c r="AD139" s="26"/>
      <c r="AE139" s="26"/>
      <c r="AF139" s="26"/>
      <c r="AG139" s="33"/>
      <c r="AH139" s="33"/>
      <c r="AI139" s="33"/>
      <c r="AJ139" s="33"/>
      <c r="AK139" s="32"/>
      <c r="AL139" s="35"/>
      <c r="AM139" s="35"/>
      <c r="AN139" s="32"/>
      <c r="AO139" s="32"/>
      <c r="AP139" s="775"/>
      <c r="AQ139" s="775"/>
      <c r="AR139" s="32"/>
      <c r="AV139" s="32"/>
      <c r="AW139" s="26"/>
      <c r="AX139" s="32"/>
      <c r="BG139" s="32"/>
      <c r="BJ139" s="32"/>
      <c r="BM139" s="32"/>
      <c r="BN139" s="439"/>
      <c r="CA139" s="700"/>
      <c r="CB139" s="700"/>
      <c r="CD139" s="26"/>
      <c r="CE139" s="33"/>
      <c r="CF139" s="103"/>
      <c r="CI139" s="32"/>
      <c r="CJ139" s="26"/>
      <c r="CX139" s="794"/>
      <c r="CY139" s="794"/>
      <c r="DR139" s="439"/>
      <c r="EL139" s="439"/>
      <c r="EM139" s="439"/>
      <c r="EN139" s="711"/>
      <c r="EP139" s="439"/>
      <c r="EQ139" s="439"/>
      <c r="ER139" s="439"/>
      <c r="ES139" s="439"/>
      <c r="ET139" s="439"/>
      <c r="EU139" s="672"/>
      <c r="EX139" s="32"/>
    </row>
    <row r="140" spans="1:154" s="27" customFormat="1" ht="12.75">
      <c r="A140" s="26"/>
      <c r="B140" s="26"/>
      <c r="C140" s="26"/>
      <c r="D140" s="26"/>
      <c r="E140" s="26"/>
      <c r="F140" s="26"/>
      <c r="G140" s="31"/>
      <c r="I140" s="32"/>
      <c r="K140" s="26"/>
      <c r="L140" s="33"/>
      <c r="M140" s="33"/>
      <c r="N140" s="33"/>
      <c r="O140" s="33"/>
      <c r="P140" s="26"/>
      <c r="Q140" s="33"/>
      <c r="R140" s="33"/>
      <c r="S140" s="26"/>
      <c r="T140" s="26"/>
      <c r="U140" s="26"/>
      <c r="V140" s="26"/>
      <c r="W140" s="26"/>
      <c r="X140" s="33"/>
      <c r="Y140" s="33"/>
      <c r="Z140" s="33"/>
      <c r="AA140" s="26"/>
      <c r="AB140" s="26"/>
      <c r="AC140" s="26"/>
      <c r="AD140" s="26"/>
      <c r="AE140" s="26"/>
      <c r="AF140" s="26"/>
      <c r="AG140" s="33"/>
      <c r="AH140" s="33"/>
      <c r="AI140" s="33"/>
      <c r="AJ140" s="33"/>
      <c r="AK140" s="32"/>
      <c r="AL140" s="35"/>
      <c r="AM140" s="35"/>
      <c r="AN140" s="32"/>
      <c r="AO140" s="32"/>
      <c r="AP140" s="775"/>
      <c r="AQ140" s="775"/>
      <c r="AR140" s="32"/>
      <c r="AV140" s="32"/>
      <c r="AW140" s="26"/>
      <c r="AX140" s="32"/>
      <c r="BG140" s="32"/>
      <c r="BJ140" s="32"/>
      <c r="BM140" s="32"/>
      <c r="BN140" s="439"/>
      <c r="CA140" s="700"/>
      <c r="CB140" s="700"/>
      <c r="CD140" s="26"/>
      <c r="CE140" s="33"/>
      <c r="CF140" s="103"/>
      <c r="CI140" s="32"/>
      <c r="CJ140" s="26"/>
      <c r="CX140" s="794"/>
      <c r="CY140" s="794"/>
      <c r="DR140" s="439"/>
      <c r="EL140" s="439"/>
      <c r="EM140" s="439"/>
      <c r="EN140" s="711"/>
      <c r="EP140" s="439"/>
      <c r="EQ140" s="439"/>
      <c r="ER140" s="439"/>
      <c r="ES140" s="439"/>
      <c r="ET140" s="439"/>
      <c r="EU140" s="672"/>
      <c r="EX140" s="32"/>
    </row>
    <row r="141" spans="1:154" s="27" customFormat="1" ht="12.75">
      <c r="A141" s="26"/>
      <c r="B141" s="26"/>
      <c r="C141" s="26"/>
      <c r="D141" s="26"/>
      <c r="E141" s="26"/>
      <c r="F141" s="26"/>
      <c r="G141" s="31"/>
      <c r="I141" s="32"/>
      <c r="K141" s="26"/>
      <c r="L141" s="33"/>
      <c r="M141" s="33"/>
      <c r="N141" s="33"/>
      <c r="O141" s="33"/>
      <c r="P141" s="26"/>
      <c r="Q141" s="33"/>
      <c r="R141" s="33"/>
      <c r="S141" s="26"/>
      <c r="T141" s="26"/>
      <c r="U141" s="26"/>
      <c r="V141" s="26"/>
      <c r="W141" s="26"/>
      <c r="X141" s="33"/>
      <c r="Y141" s="33"/>
      <c r="Z141" s="33"/>
      <c r="AA141" s="26"/>
      <c r="AB141" s="26"/>
      <c r="AC141" s="26"/>
      <c r="AD141" s="26"/>
      <c r="AE141" s="26"/>
      <c r="AF141" s="26"/>
      <c r="AG141" s="33"/>
      <c r="AH141" s="33"/>
      <c r="AI141" s="33"/>
      <c r="AJ141" s="33"/>
      <c r="AK141" s="32"/>
      <c r="AL141" s="35"/>
      <c r="AM141" s="35"/>
      <c r="AN141" s="32"/>
      <c r="AO141" s="32"/>
      <c r="AP141" s="775"/>
      <c r="AQ141" s="775"/>
      <c r="AR141" s="32"/>
      <c r="AV141" s="32"/>
      <c r="AW141" s="26"/>
      <c r="AX141" s="32"/>
      <c r="BG141" s="32"/>
      <c r="BJ141" s="32"/>
      <c r="BM141" s="32"/>
      <c r="BN141" s="439"/>
      <c r="CA141" s="700"/>
      <c r="CB141" s="700"/>
      <c r="CD141" s="26"/>
      <c r="CE141" s="33"/>
      <c r="CF141" s="103"/>
      <c r="CI141" s="32"/>
      <c r="CJ141" s="26"/>
      <c r="CX141" s="794"/>
      <c r="CY141" s="794"/>
      <c r="DR141" s="439"/>
      <c r="EL141" s="439"/>
      <c r="EM141" s="439"/>
      <c r="EN141" s="711"/>
      <c r="EP141" s="439"/>
      <c r="EQ141" s="439"/>
      <c r="ER141" s="439"/>
      <c r="ES141" s="439"/>
      <c r="ET141" s="439"/>
      <c r="EU141" s="672"/>
      <c r="EX141" s="32"/>
    </row>
    <row r="142" spans="1:154" s="27" customFormat="1" ht="12.75">
      <c r="A142" s="26"/>
      <c r="B142" s="26"/>
      <c r="C142" s="26"/>
      <c r="D142" s="26"/>
      <c r="E142" s="26"/>
      <c r="F142" s="26"/>
      <c r="G142" s="31"/>
      <c r="I142" s="32"/>
      <c r="K142" s="26"/>
      <c r="L142" s="33"/>
      <c r="M142" s="33"/>
      <c r="N142" s="33"/>
      <c r="O142" s="33"/>
      <c r="P142" s="26"/>
      <c r="Q142" s="33"/>
      <c r="R142" s="33"/>
      <c r="S142" s="26"/>
      <c r="T142" s="26"/>
      <c r="U142" s="26"/>
      <c r="V142" s="26"/>
      <c r="W142" s="26"/>
      <c r="X142" s="33"/>
      <c r="Y142" s="33"/>
      <c r="Z142" s="33"/>
      <c r="AA142" s="26"/>
      <c r="AB142" s="26"/>
      <c r="AC142" s="26"/>
      <c r="AD142" s="26"/>
      <c r="AE142" s="26"/>
      <c r="AF142" s="26"/>
      <c r="AG142" s="33"/>
      <c r="AH142" s="33"/>
      <c r="AI142" s="33"/>
      <c r="AJ142" s="33"/>
      <c r="AK142" s="32"/>
      <c r="AL142" s="35"/>
      <c r="AM142" s="35"/>
      <c r="AN142" s="32"/>
      <c r="AO142" s="32"/>
      <c r="AP142" s="775"/>
      <c r="AQ142" s="775"/>
      <c r="AR142" s="32"/>
      <c r="AV142" s="32"/>
      <c r="AW142" s="26"/>
      <c r="AX142" s="32"/>
      <c r="BG142" s="32"/>
      <c r="BJ142" s="32"/>
      <c r="BM142" s="32"/>
      <c r="BN142" s="439"/>
      <c r="CA142" s="700"/>
      <c r="CB142" s="700"/>
      <c r="CD142" s="26"/>
      <c r="CE142" s="33"/>
      <c r="CF142" s="103"/>
      <c r="CI142" s="32"/>
      <c r="CJ142" s="26"/>
      <c r="CX142" s="794"/>
      <c r="CY142" s="794"/>
      <c r="DR142" s="439"/>
      <c r="EL142" s="439"/>
      <c r="EM142" s="439"/>
      <c r="EN142" s="711"/>
      <c r="EP142" s="439"/>
      <c r="EQ142" s="439"/>
      <c r="ER142" s="439"/>
      <c r="ES142" s="439"/>
      <c r="ET142" s="439"/>
      <c r="EU142" s="672"/>
      <c r="EX142" s="32"/>
    </row>
    <row r="143" spans="1:154" s="27" customFormat="1" ht="12.75">
      <c r="A143" s="26"/>
      <c r="B143" s="26"/>
      <c r="C143" s="26"/>
      <c r="D143" s="26"/>
      <c r="E143" s="26"/>
      <c r="F143" s="26"/>
      <c r="G143" s="31"/>
      <c r="I143" s="32"/>
      <c r="K143" s="26"/>
      <c r="L143" s="33"/>
      <c r="M143" s="33"/>
      <c r="N143" s="33"/>
      <c r="O143" s="33"/>
      <c r="P143" s="26"/>
      <c r="Q143" s="33"/>
      <c r="R143" s="33"/>
      <c r="S143" s="26"/>
      <c r="T143" s="26"/>
      <c r="U143" s="26"/>
      <c r="V143" s="26"/>
      <c r="W143" s="26"/>
      <c r="X143" s="33"/>
      <c r="Y143" s="33"/>
      <c r="Z143" s="33"/>
      <c r="AA143" s="26"/>
      <c r="AB143" s="26"/>
      <c r="AC143" s="26"/>
      <c r="AD143" s="26"/>
      <c r="AE143" s="26"/>
      <c r="AF143" s="26"/>
      <c r="AG143" s="33"/>
      <c r="AH143" s="33"/>
      <c r="AI143" s="33"/>
      <c r="AJ143" s="33"/>
      <c r="AK143" s="32"/>
      <c r="AL143" s="35"/>
      <c r="AM143" s="35"/>
      <c r="AN143" s="32"/>
      <c r="AO143" s="32"/>
      <c r="AP143" s="775"/>
      <c r="AQ143" s="775"/>
      <c r="AR143" s="32"/>
      <c r="AV143" s="32"/>
      <c r="AW143" s="26"/>
      <c r="AX143" s="32"/>
      <c r="BG143" s="32"/>
      <c r="BJ143" s="32"/>
      <c r="BM143" s="32"/>
      <c r="BN143" s="439"/>
      <c r="CA143" s="700"/>
      <c r="CB143" s="700"/>
      <c r="CD143" s="26"/>
      <c r="CE143" s="33"/>
      <c r="CF143" s="103"/>
      <c r="CI143" s="32"/>
      <c r="CJ143" s="26"/>
      <c r="CX143" s="794"/>
      <c r="CY143" s="794"/>
      <c r="DR143" s="439"/>
      <c r="EL143" s="439"/>
      <c r="EM143" s="439"/>
      <c r="EN143" s="711"/>
      <c r="EP143" s="439"/>
      <c r="EQ143" s="439"/>
      <c r="ER143" s="439"/>
      <c r="ES143" s="439"/>
      <c r="ET143" s="439"/>
      <c r="EU143" s="672"/>
      <c r="EX143" s="32"/>
    </row>
    <row r="144" spans="1:154" s="27" customFormat="1" ht="12.75">
      <c r="A144" s="26"/>
      <c r="B144" s="26"/>
      <c r="C144" s="26"/>
      <c r="D144" s="26"/>
      <c r="E144" s="26"/>
      <c r="F144" s="26"/>
      <c r="G144" s="31"/>
      <c r="I144" s="32"/>
      <c r="K144" s="26"/>
      <c r="L144" s="33"/>
      <c r="M144" s="33"/>
      <c r="N144" s="33"/>
      <c r="O144" s="33"/>
      <c r="P144" s="26"/>
      <c r="Q144" s="33"/>
      <c r="R144" s="33"/>
      <c r="S144" s="26"/>
      <c r="T144" s="26"/>
      <c r="U144" s="26"/>
      <c r="V144" s="26"/>
      <c r="W144" s="26"/>
      <c r="X144" s="33"/>
      <c r="Y144" s="33"/>
      <c r="Z144" s="33"/>
      <c r="AA144" s="26"/>
      <c r="AB144" s="26"/>
      <c r="AC144" s="26"/>
      <c r="AD144" s="26"/>
      <c r="AE144" s="26"/>
      <c r="AF144" s="26"/>
      <c r="AG144" s="33"/>
      <c r="AH144" s="33"/>
      <c r="AI144" s="33"/>
      <c r="AJ144" s="33"/>
      <c r="AK144" s="32"/>
      <c r="AL144" s="35"/>
      <c r="AM144" s="35"/>
      <c r="AN144" s="32"/>
      <c r="AO144" s="32"/>
      <c r="AP144" s="775"/>
      <c r="AQ144" s="775"/>
      <c r="AR144" s="32"/>
      <c r="AV144" s="32"/>
      <c r="AW144" s="26"/>
      <c r="AX144" s="32"/>
      <c r="BG144" s="32"/>
      <c r="BJ144" s="32"/>
      <c r="BM144" s="32"/>
      <c r="BN144" s="439"/>
      <c r="CA144" s="700"/>
      <c r="CB144" s="700"/>
      <c r="CD144" s="26"/>
      <c r="CE144" s="33"/>
      <c r="CF144" s="103"/>
      <c r="CI144" s="32"/>
      <c r="CJ144" s="26"/>
      <c r="CX144" s="794"/>
      <c r="CY144" s="794"/>
      <c r="DR144" s="439"/>
      <c r="EL144" s="439"/>
      <c r="EM144" s="439"/>
      <c r="EN144" s="711"/>
      <c r="EP144" s="439"/>
      <c r="EQ144" s="439"/>
      <c r="ER144" s="439"/>
      <c r="ES144" s="439"/>
      <c r="ET144" s="439"/>
      <c r="EU144" s="672"/>
      <c r="EX144" s="32"/>
    </row>
    <row r="145" spans="1:154" s="27" customFormat="1" ht="12.75">
      <c r="A145" s="26"/>
      <c r="B145" s="26"/>
      <c r="C145" s="26"/>
      <c r="D145" s="26"/>
      <c r="E145" s="26"/>
      <c r="F145" s="26"/>
      <c r="G145" s="31"/>
      <c r="I145" s="32"/>
      <c r="K145" s="26"/>
      <c r="L145" s="33"/>
      <c r="M145" s="33"/>
      <c r="N145" s="33"/>
      <c r="O145" s="33"/>
      <c r="P145" s="26"/>
      <c r="Q145" s="33"/>
      <c r="R145" s="33"/>
      <c r="S145" s="26"/>
      <c r="T145" s="26"/>
      <c r="U145" s="26"/>
      <c r="V145" s="26"/>
      <c r="W145" s="26"/>
      <c r="X145" s="33"/>
      <c r="Y145" s="33"/>
      <c r="Z145" s="33"/>
      <c r="AA145" s="26"/>
      <c r="AB145" s="26"/>
      <c r="AC145" s="26"/>
      <c r="AD145" s="26"/>
      <c r="AE145" s="26"/>
      <c r="AF145" s="26"/>
      <c r="AG145" s="33"/>
      <c r="AH145" s="33"/>
      <c r="AI145" s="33"/>
      <c r="AJ145" s="33"/>
      <c r="AK145" s="32"/>
      <c r="AL145" s="35"/>
      <c r="AM145" s="35"/>
      <c r="AN145" s="32"/>
      <c r="AO145" s="32"/>
      <c r="AP145" s="775"/>
      <c r="AQ145" s="775"/>
      <c r="AR145" s="32"/>
      <c r="AV145" s="32"/>
      <c r="AW145" s="26"/>
      <c r="AX145" s="32"/>
      <c r="BG145" s="32"/>
      <c r="BJ145" s="32"/>
      <c r="BM145" s="32"/>
      <c r="BN145" s="439"/>
      <c r="CA145" s="700"/>
      <c r="CB145" s="700"/>
      <c r="CD145" s="26"/>
      <c r="CE145" s="33"/>
      <c r="CF145" s="103"/>
      <c r="CI145" s="32"/>
      <c r="CJ145" s="26"/>
      <c r="CX145" s="794"/>
      <c r="CY145" s="794"/>
      <c r="DR145" s="439"/>
      <c r="EL145" s="439"/>
      <c r="EM145" s="439"/>
      <c r="EN145" s="711"/>
      <c r="EP145" s="439"/>
      <c r="EQ145" s="439"/>
      <c r="ER145" s="439"/>
      <c r="ES145" s="439"/>
      <c r="ET145" s="439"/>
      <c r="EU145" s="672"/>
      <c r="EX145" s="32"/>
    </row>
    <row r="146" spans="1:154" s="27" customFormat="1" ht="12.75">
      <c r="A146" s="26"/>
      <c r="B146" s="26"/>
      <c r="C146" s="26"/>
      <c r="D146" s="26"/>
      <c r="E146" s="26"/>
      <c r="F146" s="26"/>
      <c r="G146" s="31"/>
      <c r="I146" s="32"/>
      <c r="K146" s="26"/>
      <c r="L146" s="33"/>
      <c r="M146" s="33"/>
      <c r="N146" s="33"/>
      <c r="O146" s="33"/>
      <c r="P146" s="26"/>
      <c r="Q146" s="33"/>
      <c r="R146" s="33"/>
      <c r="S146" s="26"/>
      <c r="T146" s="26"/>
      <c r="U146" s="26"/>
      <c r="V146" s="26"/>
      <c r="W146" s="26"/>
      <c r="X146" s="33"/>
      <c r="Y146" s="33"/>
      <c r="Z146" s="33"/>
      <c r="AA146" s="26"/>
      <c r="AB146" s="26"/>
      <c r="AC146" s="26"/>
      <c r="AD146" s="26"/>
      <c r="AE146" s="26"/>
      <c r="AF146" s="26"/>
      <c r="AG146" s="33"/>
      <c r="AH146" s="33"/>
      <c r="AI146" s="33"/>
      <c r="AJ146" s="33"/>
      <c r="AK146" s="32"/>
      <c r="AL146" s="35"/>
      <c r="AM146" s="35"/>
      <c r="AN146" s="32"/>
      <c r="AO146" s="32"/>
      <c r="AP146" s="775"/>
      <c r="AQ146" s="775"/>
      <c r="AR146" s="32"/>
      <c r="AV146" s="32"/>
      <c r="AW146" s="26"/>
      <c r="AX146" s="32"/>
      <c r="BG146" s="32"/>
      <c r="BJ146" s="32"/>
      <c r="BM146" s="32"/>
      <c r="BN146" s="439"/>
      <c r="CA146" s="700"/>
      <c r="CB146" s="700"/>
      <c r="CD146" s="26"/>
      <c r="CE146" s="33"/>
      <c r="CF146" s="103"/>
      <c r="CI146" s="32"/>
      <c r="CJ146" s="26"/>
      <c r="CX146" s="794"/>
      <c r="CY146" s="794"/>
      <c r="DR146" s="439"/>
      <c r="EL146" s="439"/>
      <c r="EM146" s="439"/>
      <c r="EN146" s="711"/>
      <c r="EP146" s="439"/>
      <c r="EQ146" s="439"/>
      <c r="ER146" s="439"/>
      <c r="ES146" s="439"/>
      <c r="ET146" s="439"/>
      <c r="EU146" s="672"/>
      <c r="EX146" s="32"/>
    </row>
    <row r="147" spans="1:154" s="27" customFormat="1" ht="12.75">
      <c r="A147" s="26"/>
      <c r="B147" s="26"/>
      <c r="C147" s="26"/>
      <c r="D147" s="26"/>
      <c r="E147" s="26"/>
      <c r="F147" s="26"/>
      <c r="G147" s="31"/>
      <c r="I147" s="32"/>
      <c r="K147" s="26"/>
      <c r="L147" s="33"/>
      <c r="M147" s="33"/>
      <c r="N147" s="33"/>
      <c r="O147" s="33"/>
      <c r="P147" s="26"/>
      <c r="Q147" s="33"/>
      <c r="R147" s="33"/>
      <c r="S147" s="26"/>
      <c r="T147" s="26"/>
      <c r="U147" s="26"/>
      <c r="V147" s="26"/>
      <c r="W147" s="26"/>
      <c r="X147" s="33"/>
      <c r="Y147" s="33"/>
      <c r="Z147" s="33"/>
      <c r="AA147" s="26"/>
      <c r="AB147" s="26"/>
      <c r="AC147" s="26"/>
      <c r="AD147" s="26"/>
      <c r="AE147" s="26"/>
      <c r="AF147" s="26"/>
      <c r="AG147" s="33"/>
      <c r="AH147" s="33"/>
      <c r="AI147" s="33"/>
      <c r="AJ147" s="33"/>
      <c r="AK147" s="32"/>
      <c r="AL147" s="35"/>
      <c r="AM147" s="35"/>
      <c r="AN147" s="32"/>
      <c r="AO147" s="32"/>
      <c r="AP147" s="775"/>
      <c r="AQ147" s="775"/>
      <c r="AR147" s="32"/>
      <c r="AV147" s="32"/>
      <c r="AW147" s="26"/>
      <c r="AX147" s="32"/>
      <c r="BG147" s="32"/>
      <c r="BJ147" s="32"/>
      <c r="BM147" s="32"/>
      <c r="BN147" s="439"/>
      <c r="CA147" s="700"/>
      <c r="CB147" s="700"/>
      <c r="CD147" s="26"/>
      <c r="CE147" s="33"/>
      <c r="CF147" s="103"/>
      <c r="CI147" s="32"/>
      <c r="CJ147" s="26"/>
      <c r="CX147" s="794"/>
      <c r="CY147" s="794"/>
      <c r="DR147" s="439"/>
      <c r="EL147" s="439"/>
      <c r="EM147" s="439"/>
      <c r="EN147" s="711"/>
      <c r="EP147" s="439"/>
      <c r="EQ147" s="439"/>
      <c r="ER147" s="439"/>
      <c r="ES147" s="439"/>
      <c r="ET147" s="439"/>
      <c r="EU147" s="672"/>
      <c r="EX147" s="32"/>
    </row>
    <row r="148" spans="1:154" s="27" customFormat="1" ht="12.75">
      <c r="A148" s="26"/>
      <c r="B148" s="26"/>
      <c r="C148" s="26"/>
      <c r="D148" s="26"/>
      <c r="E148" s="26"/>
      <c r="F148" s="26"/>
      <c r="G148" s="31"/>
      <c r="I148" s="32"/>
      <c r="K148" s="26"/>
      <c r="L148" s="33"/>
      <c r="M148" s="33"/>
      <c r="N148" s="33"/>
      <c r="O148" s="33"/>
      <c r="P148" s="26"/>
      <c r="Q148" s="33"/>
      <c r="R148" s="33"/>
      <c r="S148" s="26"/>
      <c r="T148" s="26"/>
      <c r="U148" s="26"/>
      <c r="V148" s="26"/>
      <c r="W148" s="26"/>
      <c r="X148" s="33"/>
      <c r="Y148" s="33"/>
      <c r="Z148" s="33"/>
      <c r="AA148" s="26"/>
      <c r="AB148" s="26"/>
      <c r="AC148" s="26"/>
      <c r="AD148" s="26"/>
      <c r="AE148" s="26"/>
      <c r="AF148" s="26"/>
      <c r="AG148" s="33"/>
      <c r="AH148" s="33"/>
      <c r="AI148" s="33"/>
      <c r="AJ148" s="33"/>
      <c r="AK148" s="32"/>
      <c r="AL148" s="35"/>
      <c r="AM148" s="35"/>
      <c r="AN148" s="32"/>
      <c r="AO148" s="32"/>
      <c r="AP148" s="775"/>
      <c r="AQ148" s="775"/>
      <c r="AR148" s="32"/>
      <c r="AV148" s="32"/>
      <c r="AW148" s="26"/>
      <c r="AX148" s="32"/>
      <c r="BG148" s="32"/>
      <c r="BJ148" s="32"/>
      <c r="BM148" s="32"/>
      <c r="BN148" s="439"/>
      <c r="CA148" s="700"/>
      <c r="CB148" s="700"/>
      <c r="CD148" s="26"/>
      <c r="CE148" s="33"/>
      <c r="CF148" s="103"/>
      <c r="CI148" s="32"/>
      <c r="CJ148" s="26"/>
      <c r="CX148" s="794"/>
      <c r="CY148" s="794"/>
      <c r="DR148" s="439"/>
      <c r="EL148" s="439"/>
      <c r="EM148" s="439"/>
      <c r="EN148" s="711"/>
      <c r="EP148" s="439"/>
      <c r="EQ148" s="439"/>
      <c r="ER148" s="439"/>
      <c r="ES148" s="439"/>
      <c r="ET148" s="439"/>
      <c r="EU148" s="672"/>
      <c r="EX148" s="32"/>
    </row>
    <row r="149" spans="1:154" s="27" customFormat="1" ht="12.75">
      <c r="A149" s="26"/>
      <c r="B149" s="26"/>
      <c r="C149" s="26"/>
      <c r="D149" s="26"/>
      <c r="E149" s="26"/>
      <c r="F149" s="26"/>
      <c r="G149" s="31"/>
      <c r="I149" s="32"/>
      <c r="K149" s="26"/>
      <c r="L149" s="33"/>
      <c r="M149" s="33"/>
      <c r="N149" s="33"/>
      <c r="O149" s="33"/>
      <c r="P149" s="26"/>
      <c r="Q149" s="33"/>
      <c r="R149" s="33"/>
      <c r="S149" s="26"/>
      <c r="T149" s="26"/>
      <c r="U149" s="26"/>
      <c r="V149" s="26"/>
      <c r="W149" s="26"/>
      <c r="X149" s="33"/>
      <c r="Y149" s="33"/>
      <c r="Z149" s="33"/>
      <c r="AA149" s="26"/>
      <c r="AB149" s="26"/>
      <c r="AC149" s="26"/>
      <c r="AD149" s="26"/>
      <c r="AE149" s="26"/>
      <c r="AF149" s="26"/>
      <c r="AG149" s="33"/>
      <c r="AH149" s="33"/>
      <c r="AI149" s="33"/>
      <c r="AJ149" s="33"/>
      <c r="AK149" s="32"/>
      <c r="AL149" s="35"/>
      <c r="AM149" s="35"/>
      <c r="AN149" s="32"/>
      <c r="AO149" s="32"/>
      <c r="AP149" s="775"/>
      <c r="AQ149" s="775"/>
      <c r="AR149" s="32"/>
      <c r="AV149" s="32"/>
      <c r="AW149" s="26"/>
      <c r="AX149" s="32"/>
      <c r="BG149" s="32"/>
      <c r="BJ149" s="32"/>
      <c r="BM149" s="32"/>
      <c r="BN149" s="439"/>
      <c r="CA149" s="700"/>
      <c r="CB149" s="700"/>
      <c r="CD149" s="26"/>
      <c r="CE149" s="33"/>
      <c r="CF149" s="103"/>
      <c r="CI149" s="32"/>
      <c r="CJ149" s="26"/>
      <c r="CX149" s="794"/>
      <c r="CY149" s="794"/>
      <c r="DR149" s="439"/>
      <c r="EL149" s="439"/>
      <c r="EM149" s="439"/>
      <c r="EN149" s="711"/>
      <c r="EP149" s="439"/>
      <c r="EQ149" s="439"/>
      <c r="ER149" s="439"/>
      <c r="ES149" s="439"/>
      <c r="ET149" s="439"/>
      <c r="EU149" s="672"/>
      <c r="EX149" s="32"/>
    </row>
    <row r="150" spans="1:154" s="27" customFormat="1" ht="12.75">
      <c r="A150" s="26"/>
      <c r="B150" s="26"/>
      <c r="C150" s="26"/>
      <c r="D150" s="26"/>
      <c r="E150" s="26"/>
      <c r="F150" s="26"/>
      <c r="G150" s="31"/>
      <c r="I150" s="32"/>
      <c r="K150" s="26"/>
      <c r="L150" s="33"/>
      <c r="M150" s="33"/>
      <c r="N150" s="33"/>
      <c r="O150" s="33"/>
      <c r="P150" s="26"/>
      <c r="Q150" s="33"/>
      <c r="R150" s="33"/>
      <c r="S150" s="26"/>
      <c r="T150" s="26"/>
      <c r="U150" s="26"/>
      <c r="V150" s="26"/>
      <c r="W150" s="26"/>
      <c r="X150" s="33"/>
      <c r="Y150" s="33"/>
      <c r="Z150" s="33"/>
      <c r="AA150" s="26"/>
      <c r="AB150" s="26"/>
      <c r="AC150" s="26"/>
      <c r="AD150" s="26"/>
      <c r="AE150" s="26"/>
      <c r="AF150" s="26"/>
      <c r="AG150" s="33"/>
      <c r="AH150" s="33"/>
      <c r="AI150" s="33"/>
      <c r="AJ150" s="33"/>
      <c r="AK150" s="32"/>
      <c r="AL150" s="35"/>
      <c r="AM150" s="35"/>
      <c r="AN150" s="32"/>
      <c r="AO150" s="32"/>
      <c r="AP150" s="775"/>
      <c r="AQ150" s="775"/>
      <c r="AR150" s="32"/>
      <c r="AV150" s="32"/>
      <c r="AW150" s="26"/>
      <c r="AX150" s="32"/>
      <c r="BG150" s="32"/>
      <c r="BJ150" s="32"/>
      <c r="BM150" s="32"/>
      <c r="BN150" s="439"/>
      <c r="CA150" s="700"/>
      <c r="CB150" s="700"/>
      <c r="CD150" s="26"/>
      <c r="CE150" s="33"/>
      <c r="CF150" s="103"/>
      <c r="CI150" s="32"/>
      <c r="CJ150" s="26"/>
      <c r="CX150" s="794"/>
      <c r="CY150" s="794"/>
      <c r="DR150" s="439"/>
      <c r="EL150" s="439"/>
      <c r="EM150" s="439"/>
      <c r="EN150" s="711"/>
      <c r="EP150" s="439"/>
      <c r="EQ150" s="439"/>
      <c r="ER150" s="439"/>
      <c r="ES150" s="439"/>
      <c r="ET150" s="439"/>
      <c r="EU150" s="672"/>
      <c r="EX150" s="32"/>
    </row>
    <row r="151" spans="1:154" s="27" customFormat="1" ht="12.75">
      <c r="A151" s="26"/>
      <c r="B151" s="26"/>
      <c r="C151" s="26"/>
      <c r="D151" s="26"/>
      <c r="E151" s="26"/>
      <c r="F151" s="26"/>
      <c r="G151" s="31"/>
      <c r="I151" s="32"/>
      <c r="K151" s="26"/>
      <c r="L151" s="33"/>
      <c r="M151" s="33"/>
      <c r="N151" s="33"/>
      <c r="O151" s="33"/>
      <c r="P151" s="26"/>
      <c r="Q151" s="33"/>
      <c r="R151" s="33"/>
      <c r="S151" s="26"/>
      <c r="T151" s="26"/>
      <c r="U151" s="26"/>
      <c r="V151" s="26"/>
      <c r="W151" s="26"/>
      <c r="X151" s="33"/>
      <c r="Y151" s="33"/>
      <c r="Z151" s="33"/>
      <c r="AA151" s="26"/>
      <c r="AB151" s="26"/>
      <c r="AC151" s="26"/>
      <c r="AD151" s="26"/>
      <c r="AE151" s="26"/>
      <c r="AF151" s="26"/>
      <c r="AG151" s="33"/>
      <c r="AH151" s="33"/>
      <c r="AI151" s="33"/>
      <c r="AJ151" s="33"/>
      <c r="AK151" s="32"/>
      <c r="AL151" s="35"/>
      <c r="AM151" s="35"/>
      <c r="AN151" s="32"/>
      <c r="AO151" s="32"/>
      <c r="AP151" s="775"/>
      <c r="AQ151" s="775"/>
      <c r="AR151" s="32"/>
      <c r="AV151" s="32"/>
      <c r="AW151" s="26"/>
      <c r="AX151" s="32"/>
      <c r="BG151" s="32"/>
      <c r="BJ151" s="32"/>
      <c r="BM151" s="32"/>
      <c r="BN151" s="439"/>
      <c r="CA151" s="700"/>
      <c r="CB151" s="700"/>
      <c r="CD151" s="26"/>
      <c r="CE151" s="33"/>
      <c r="CF151" s="103"/>
      <c r="CI151" s="32"/>
      <c r="CJ151" s="26"/>
      <c r="CX151" s="794"/>
      <c r="CY151" s="794"/>
      <c r="DR151" s="439"/>
      <c r="EL151" s="439"/>
      <c r="EM151" s="439"/>
      <c r="EN151" s="711"/>
      <c r="EP151" s="439"/>
      <c r="EQ151" s="439"/>
      <c r="ER151" s="439"/>
      <c r="ES151" s="439"/>
      <c r="ET151" s="439"/>
      <c r="EU151" s="672"/>
      <c r="EX151" s="32"/>
    </row>
    <row r="152" spans="1:154" s="27" customFormat="1" ht="12.75">
      <c r="A152" s="26"/>
      <c r="B152" s="26"/>
      <c r="C152" s="26"/>
      <c r="D152" s="26"/>
      <c r="E152" s="26"/>
      <c r="F152" s="26"/>
      <c r="G152" s="31"/>
      <c r="I152" s="32"/>
      <c r="K152" s="26"/>
      <c r="L152" s="33"/>
      <c r="M152" s="33"/>
      <c r="N152" s="33"/>
      <c r="O152" s="33"/>
      <c r="P152" s="26"/>
      <c r="Q152" s="33"/>
      <c r="R152" s="33"/>
      <c r="S152" s="26"/>
      <c r="T152" s="26"/>
      <c r="U152" s="26"/>
      <c r="V152" s="26"/>
      <c r="W152" s="26"/>
      <c r="X152" s="33"/>
      <c r="Y152" s="33"/>
      <c r="Z152" s="33"/>
      <c r="AA152" s="26"/>
      <c r="AB152" s="26"/>
      <c r="AC152" s="26"/>
      <c r="AD152" s="26"/>
      <c r="AE152" s="26"/>
      <c r="AF152" s="26"/>
      <c r="AG152" s="33"/>
      <c r="AH152" s="33"/>
      <c r="AI152" s="33"/>
      <c r="AJ152" s="33"/>
      <c r="AK152" s="32"/>
      <c r="AL152" s="35"/>
      <c r="AM152" s="35"/>
      <c r="AN152" s="32"/>
      <c r="AO152" s="32"/>
      <c r="AP152" s="775"/>
      <c r="AQ152" s="775"/>
      <c r="AR152" s="32"/>
      <c r="AV152" s="32"/>
      <c r="AW152" s="26"/>
      <c r="AX152" s="32"/>
      <c r="BG152" s="32"/>
      <c r="BJ152" s="32"/>
      <c r="BM152" s="32"/>
      <c r="BN152" s="439"/>
      <c r="CA152" s="700"/>
      <c r="CB152" s="700"/>
      <c r="CD152" s="26"/>
      <c r="CE152" s="33"/>
      <c r="CF152" s="103"/>
      <c r="CI152" s="32"/>
      <c r="CJ152" s="26"/>
      <c r="CX152" s="794"/>
      <c r="CY152" s="794"/>
      <c r="DR152" s="439"/>
      <c r="EL152" s="439"/>
      <c r="EM152" s="439"/>
      <c r="EN152" s="711"/>
      <c r="EP152" s="439"/>
      <c r="EQ152" s="439"/>
      <c r="ER152" s="439"/>
      <c r="ES152" s="439"/>
      <c r="ET152" s="439"/>
      <c r="EU152" s="672"/>
      <c r="EX152" s="32"/>
    </row>
    <row r="153" spans="1:154" s="27" customFormat="1" ht="12.75">
      <c r="A153" s="26"/>
      <c r="B153" s="26"/>
      <c r="C153" s="26"/>
      <c r="D153" s="26"/>
      <c r="E153" s="26"/>
      <c r="F153" s="26"/>
      <c r="G153" s="31"/>
      <c r="I153" s="32"/>
      <c r="K153" s="26"/>
      <c r="L153" s="33"/>
      <c r="M153" s="33"/>
      <c r="N153" s="33"/>
      <c r="O153" s="33"/>
      <c r="P153" s="26"/>
      <c r="Q153" s="33"/>
      <c r="R153" s="33"/>
      <c r="S153" s="26"/>
      <c r="T153" s="26"/>
      <c r="U153" s="26"/>
      <c r="V153" s="26"/>
      <c r="W153" s="26"/>
      <c r="X153" s="33"/>
      <c r="Y153" s="33"/>
      <c r="Z153" s="33"/>
      <c r="AA153" s="26"/>
      <c r="AB153" s="26"/>
      <c r="AC153" s="26"/>
      <c r="AD153" s="26"/>
      <c r="AE153" s="26"/>
      <c r="AF153" s="26"/>
      <c r="AG153" s="33"/>
      <c r="AH153" s="33"/>
      <c r="AI153" s="33"/>
      <c r="AJ153" s="33"/>
      <c r="AK153" s="32"/>
      <c r="AL153" s="35"/>
      <c r="AM153" s="35"/>
      <c r="AN153" s="32"/>
      <c r="AO153" s="32"/>
      <c r="AP153" s="775"/>
      <c r="AQ153" s="775"/>
      <c r="AR153" s="32"/>
      <c r="AV153" s="32"/>
      <c r="AW153" s="26"/>
      <c r="AX153" s="32"/>
      <c r="BG153" s="32"/>
      <c r="BJ153" s="32"/>
      <c r="BM153" s="32"/>
      <c r="BN153" s="439"/>
      <c r="CA153" s="700"/>
      <c r="CB153" s="700"/>
      <c r="CD153" s="26"/>
      <c r="CE153" s="33"/>
      <c r="CF153" s="103"/>
      <c r="CI153" s="32"/>
      <c r="CJ153" s="26"/>
      <c r="CX153" s="794"/>
      <c r="CY153" s="794"/>
      <c r="DR153" s="439"/>
      <c r="EL153" s="439"/>
      <c r="EM153" s="439"/>
      <c r="EN153" s="711"/>
      <c r="EP153" s="439"/>
      <c r="EQ153" s="439"/>
      <c r="ER153" s="439"/>
      <c r="ES153" s="439"/>
      <c r="ET153" s="439"/>
      <c r="EU153" s="672"/>
      <c r="EX153" s="32"/>
    </row>
    <row r="154" spans="1:154" s="27" customFormat="1" ht="12.75">
      <c r="A154" s="26"/>
      <c r="B154" s="26"/>
      <c r="C154" s="26"/>
      <c r="D154" s="26"/>
      <c r="E154" s="26"/>
      <c r="F154" s="26"/>
      <c r="G154" s="31"/>
      <c r="I154" s="32"/>
      <c r="K154" s="26"/>
      <c r="L154" s="33"/>
      <c r="M154" s="33"/>
      <c r="N154" s="33"/>
      <c r="O154" s="33"/>
      <c r="P154" s="26"/>
      <c r="Q154" s="33"/>
      <c r="R154" s="33"/>
      <c r="S154" s="26"/>
      <c r="T154" s="26"/>
      <c r="U154" s="26"/>
      <c r="V154" s="26"/>
      <c r="W154" s="26"/>
      <c r="X154" s="33"/>
      <c r="Y154" s="33"/>
      <c r="Z154" s="33"/>
      <c r="AA154" s="26"/>
      <c r="AB154" s="26"/>
      <c r="AC154" s="26"/>
      <c r="AD154" s="26"/>
      <c r="AE154" s="26"/>
      <c r="AF154" s="26"/>
      <c r="AG154" s="33"/>
      <c r="AH154" s="33"/>
      <c r="AI154" s="33"/>
      <c r="AJ154" s="33"/>
      <c r="AK154" s="32"/>
      <c r="AL154" s="35"/>
      <c r="AM154" s="35"/>
      <c r="AN154" s="32"/>
      <c r="AO154" s="32"/>
      <c r="AP154" s="775"/>
      <c r="AQ154" s="775"/>
      <c r="AR154" s="32"/>
      <c r="AV154" s="32"/>
      <c r="AW154" s="26"/>
      <c r="AX154" s="32"/>
      <c r="BG154" s="32"/>
      <c r="BJ154" s="32"/>
      <c r="BM154" s="32"/>
      <c r="BN154" s="439"/>
      <c r="CA154" s="700"/>
      <c r="CB154" s="700"/>
      <c r="CD154" s="26"/>
      <c r="CE154" s="33"/>
      <c r="CF154" s="103"/>
      <c r="CI154" s="32"/>
      <c r="CJ154" s="26"/>
      <c r="CX154" s="794"/>
      <c r="CY154" s="794"/>
      <c r="DR154" s="439"/>
      <c r="EL154" s="439"/>
      <c r="EM154" s="439"/>
      <c r="EN154" s="711"/>
      <c r="EP154" s="439"/>
      <c r="EQ154" s="439"/>
      <c r="ER154" s="439"/>
      <c r="ES154" s="439"/>
      <c r="ET154" s="439"/>
      <c r="EU154" s="672"/>
      <c r="EX154" s="32"/>
    </row>
    <row r="155" spans="1:154" s="27" customFormat="1" ht="12.75">
      <c r="A155" s="26"/>
      <c r="B155" s="26"/>
      <c r="C155" s="26"/>
      <c r="D155" s="26"/>
      <c r="E155" s="26"/>
      <c r="F155" s="26"/>
      <c r="G155" s="31"/>
      <c r="I155" s="32"/>
      <c r="K155" s="26"/>
      <c r="L155" s="33"/>
      <c r="M155" s="33"/>
      <c r="N155" s="33"/>
      <c r="O155" s="33"/>
      <c r="P155" s="26"/>
      <c r="Q155" s="33"/>
      <c r="R155" s="33"/>
      <c r="S155" s="26"/>
      <c r="T155" s="26"/>
      <c r="U155" s="26"/>
      <c r="V155" s="26"/>
      <c r="W155" s="26"/>
      <c r="X155" s="33"/>
      <c r="Y155" s="33"/>
      <c r="Z155" s="33"/>
      <c r="AA155" s="26"/>
      <c r="AB155" s="26"/>
      <c r="AC155" s="26"/>
      <c r="AD155" s="26"/>
      <c r="AE155" s="26"/>
      <c r="AF155" s="26"/>
      <c r="AG155" s="33"/>
      <c r="AH155" s="33"/>
      <c r="AI155" s="33"/>
      <c r="AJ155" s="33"/>
      <c r="AK155" s="32"/>
      <c r="AL155" s="35"/>
      <c r="AM155" s="35"/>
      <c r="AN155" s="32"/>
      <c r="AO155" s="32"/>
      <c r="AP155" s="775"/>
      <c r="AQ155" s="775"/>
      <c r="AR155" s="32"/>
      <c r="AV155" s="32"/>
      <c r="AW155" s="26"/>
      <c r="AX155" s="32"/>
      <c r="BG155" s="32"/>
      <c r="BJ155" s="32"/>
      <c r="BM155" s="32"/>
      <c r="BN155" s="439"/>
      <c r="CA155" s="700"/>
      <c r="CB155" s="700"/>
      <c r="CD155" s="26"/>
      <c r="CE155" s="33"/>
      <c r="CF155" s="103"/>
      <c r="CI155" s="32"/>
      <c r="CJ155" s="26"/>
      <c r="CX155" s="794"/>
      <c r="CY155" s="794"/>
      <c r="DR155" s="439"/>
      <c r="EL155" s="439"/>
      <c r="EM155" s="439"/>
      <c r="EN155" s="711"/>
      <c r="EP155" s="439"/>
      <c r="EQ155" s="439"/>
      <c r="ER155" s="439"/>
      <c r="ES155" s="439"/>
      <c r="ET155" s="439"/>
      <c r="EU155" s="672"/>
      <c r="EX155" s="32"/>
    </row>
    <row r="156" spans="1:154" s="27" customFormat="1" ht="12.75">
      <c r="A156" s="26"/>
      <c r="B156" s="26"/>
      <c r="C156" s="26"/>
      <c r="D156" s="26"/>
      <c r="E156" s="26"/>
      <c r="F156" s="26"/>
      <c r="G156" s="31"/>
      <c r="I156" s="32"/>
      <c r="K156" s="26"/>
      <c r="L156" s="33"/>
      <c r="M156" s="33"/>
      <c r="N156" s="33"/>
      <c r="O156" s="33"/>
      <c r="P156" s="26"/>
      <c r="Q156" s="33"/>
      <c r="R156" s="33"/>
      <c r="S156" s="26"/>
      <c r="T156" s="26"/>
      <c r="U156" s="26"/>
      <c r="V156" s="26"/>
      <c r="W156" s="26"/>
      <c r="X156" s="33"/>
      <c r="Y156" s="33"/>
      <c r="Z156" s="33"/>
      <c r="AA156" s="26"/>
      <c r="AB156" s="26"/>
      <c r="AC156" s="26"/>
      <c r="AD156" s="26"/>
      <c r="AE156" s="26"/>
      <c r="AF156" s="26"/>
      <c r="AG156" s="33"/>
      <c r="AH156" s="33"/>
      <c r="AI156" s="33"/>
      <c r="AJ156" s="33"/>
      <c r="AK156" s="32"/>
      <c r="AL156" s="35"/>
      <c r="AM156" s="35"/>
      <c r="AN156" s="32"/>
      <c r="AO156" s="32"/>
      <c r="AP156" s="775"/>
      <c r="AQ156" s="775"/>
      <c r="AR156" s="32"/>
      <c r="AV156" s="32"/>
      <c r="AW156" s="26"/>
      <c r="AX156" s="32"/>
      <c r="BG156" s="32"/>
      <c r="BJ156" s="32"/>
      <c r="BM156" s="32"/>
      <c r="BN156" s="439"/>
      <c r="CA156" s="700"/>
      <c r="CB156" s="700"/>
      <c r="CD156" s="26"/>
      <c r="CE156" s="33"/>
      <c r="CF156" s="103"/>
      <c r="CI156" s="32"/>
      <c r="CJ156" s="26"/>
      <c r="CX156" s="794"/>
      <c r="CY156" s="794"/>
      <c r="DR156" s="439"/>
      <c r="EL156" s="439"/>
      <c r="EM156" s="439"/>
      <c r="EN156" s="711"/>
      <c r="EP156" s="439"/>
      <c r="EQ156" s="439"/>
      <c r="ER156" s="439"/>
      <c r="ES156" s="439"/>
      <c r="ET156" s="439"/>
      <c r="EU156" s="672"/>
      <c r="EX156" s="32"/>
    </row>
    <row r="157" spans="1:154" s="27" customFormat="1" ht="12.75">
      <c r="A157" s="26"/>
      <c r="B157" s="26"/>
      <c r="C157" s="26"/>
      <c r="D157" s="26"/>
      <c r="E157" s="26"/>
      <c r="F157" s="26"/>
      <c r="G157" s="31"/>
      <c r="I157" s="32"/>
      <c r="K157" s="26"/>
      <c r="L157" s="33"/>
      <c r="M157" s="33"/>
      <c r="N157" s="33"/>
      <c r="O157" s="33"/>
      <c r="P157" s="26"/>
      <c r="Q157" s="33"/>
      <c r="R157" s="33"/>
      <c r="S157" s="26"/>
      <c r="T157" s="26"/>
      <c r="U157" s="26"/>
      <c r="V157" s="26"/>
      <c r="W157" s="26"/>
      <c r="X157" s="33"/>
      <c r="Y157" s="33"/>
      <c r="Z157" s="33"/>
      <c r="AA157" s="26"/>
      <c r="AB157" s="26"/>
      <c r="AC157" s="26"/>
      <c r="AD157" s="26"/>
      <c r="AE157" s="26"/>
      <c r="AF157" s="26"/>
      <c r="AG157" s="33"/>
      <c r="AH157" s="33"/>
      <c r="AI157" s="33"/>
      <c r="AJ157" s="33"/>
      <c r="AK157" s="32"/>
      <c r="AL157" s="35"/>
      <c r="AM157" s="35"/>
      <c r="AN157" s="32"/>
      <c r="AO157" s="32"/>
      <c r="AP157" s="775"/>
      <c r="AQ157" s="775"/>
      <c r="AR157" s="32"/>
      <c r="AV157" s="32"/>
      <c r="AW157" s="26"/>
      <c r="AX157" s="32"/>
      <c r="BG157" s="32"/>
      <c r="BJ157" s="32"/>
      <c r="BM157" s="32"/>
      <c r="BN157" s="439"/>
      <c r="CA157" s="700"/>
      <c r="CB157" s="700"/>
      <c r="CD157" s="26"/>
      <c r="CE157" s="33"/>
      <c r="CF157" s="103"/>
      <c r="CI157" s="32"/>
      <c r="CJ157" s="26"/>
      <c r="CX157" s="794"/>
      <c r="CY157" s="794"/>
      <c r="DR157" s="439"/>
      <c r="EL157" s="439"/>
      <c r="EM157" s="439"/>
      <c r="EN157" s="711"/>
      <c r="EP157" s="439"/>
      <c r="EQ157" s="439"/>
      <c r="ER157" s="439"/>
      <c r="ES157" s="439"/>
      <c r="ET157" s="439"/>
      <c r="EU157" s="672"/>
      <c r="EX157" s="32"/>
    </row>
    <row r="158" spans="1:154" s="27" customFormat="1" ht="12.75">
      <c r="A158" s="26"/>
      <c r="B158" s="26"/>
      <c r="C158" s="26"/>
      <c r="D158" s="26"/>
      <c r="E158" s="26"/>
      <c r="F158" s="26"/>
      <c r="G158" s="31"/>
      <c r="I158" s="32"/>
      <c r="K158" s="26"/>
      <c r="L158" s="33"/>
      <c r="M158" s="33"/>
      <c r="N158" s="33"/>
      <c r="O158" s="33"/>
      <c r="P158" s="26"/>
      <c r="Q158" s="33"/>
      <c r="R158" s="33"/>
      <c r="S158" s="26"/>
      <c r="T158" s="26"/>
      <c r="U158" s="26"/>
      <c r="V158" s="26"/>
      <c r="W158" s="26"/>
      <c r="X158" s="33"/>
      <c r="Y158" s="33"/>
      <c r="Z158" s="33"/>
      <c r="AA158" s="26"/>
      <c r="AB158" s="26"/>
      <c r="AC158" s="26"/>
      <c r="AD158" s="26"/>
      <c r="AE158" s="26"/>
      <c r="AF158" s="26"/>
      <c r="AG158" s="33"/>
      <c r="AH158" s="33"/>
      <c r="AI158" s="33"/>
      <c r="AJ158" s="33"/>
      <c r="AK158" s="32"/>
      <c r="AL158" s="35"/>
      <c r="AM158" s="35"/>
      <c r="AN158" s="32"/>
      <c r="AO158" s="32"/>
      <c r="AP158" s="775"/>
      <c r="AQ158" s="775"/>
      <c r="AR158" s="32"/>
      <c r="AV158" s="32"/>
      <c r="AW158" s="26"/>
      <c r="AX158" s="32"/>
      <c r="BG158" s="32"/>
      <c r="BJ158" s="32"/>
      <c r="BM158" s="32"/>
      <c r="BN158" s="439"/>
      <c r="CA158" s="700"/>
      <c r="CB158" s="700"/>
      <c r="CD158" s="26"/>
      <c r="CE158" s="33"/>
      <c r="CF158" s="103"/>
      <c r="CI158" s="32"/>
      <c r="CJ158" s="26"/>
      <c r="CX158" s="794"/>
      <c r="CY158" s="794"/>
      <c r="DR158" s="439"/>
      <c r="EL158" s="439"/>
      <c r="EM158" s="439"/>
      <c r="EN158" s="711"/>
      <c r="EP158" s="439"/>
      <c r="EQ158" s="439"/>
      <c r="ER158" s="439"/>
      <c r="ES158" s="439"/>
      <c r="ET158" s="439"/>
      <c r="EU158" s="672"/>
      <c r="EX158" s="32"/>
    </row>
    <row r="159" spans="1:154" s="27" customFormat="1" ht="12.75">
      <c r="A159" s="26"/>
      <c r="B159" s="26"/>
      <c r="C159" s="26"/>
      <c r="D159" s="26"/>
      <c r="E159" s="26"/>
      <c r="F159" s="26"/>
      <c r="G159" s="31"/>
      <c r="I159" s="32"/>
      <c r="K159" s="26"/>
      <c r="L159" s="33"/>
      <c r="M159" s="33"/>
      <c r="N159" s="33"/>
      <c r="O159" s="33"/>
      <c r="P159" s="26"/>
      <c r="Q159" s="33"/>
      <c r="R159" s="33"/>
      <c r="S159" s="26"/>
      <c r="T159" s="26"/>
      <c r="U159" s="26"/>
      <c r="V159" s="26"/>
      <c r="W159" s="26"/>
      <c r="X159" s="33"/>
      <c r="Y159" s="33"/>
      <c r="Z159" s="33"/>
      <c r="AA159" s="26"/>
      <c r="AB159" s="26"/>
      <c r="AC159" s="26"/>
      <c r="AD159" s="26"/>
      <c r="AE159" s="26"/>
      <c r="AF159" s="26"/>
      <c r="AG159" s="33"/>
      <c r="AH159" s="33"/>
      <c r="AI159" s="33"/>
      <c r="AJ159" s="33"/>
      <c r="AK159" s="32"/>
      <c r="AL159" s="35"/>
      <c r="AM159" s="35"/>
      <c r="AN159" s="32"/>
      <c r="AO159" s="32"/>
      <c r="AP159" s="775"/>
      <c r="AQ159" s="775"/>
      <c r="AR159" s="32"/>
      <c r="AV159" s="32"/>
      <c r="AW159" s="26"/>
      <c r="AX159" s="32"/>
      <c r="BG159" s="32"/>
      <c r="BJ159" s="32"/>
      <c r="BM159" s="32"/>
      <c r="BN159" s="439"/>
      <c r="CA159" s="700"/>
      <c r="CB159" s="700"/>
      <c r="CD159" s="26"/>
      <c r="CE159" s="33"/>
      <c r="CF159" s="103"/>
      <c r="CI159" s="32"/>
      <c r="CJ159" s="26"/>
      <c r="CX159" s="794"/>
      <c r="CY159" s="794"/>
      <c r="DR159" s="439"/>
      <c r="EL159" s="439"/>
      <c r="EM159" s="439"/>
      <c r="EN159" s="711"/>
      <c r="EP159" s="439"/>
      <c r="EQ159" s="439"/>
      <c r="ER159" s="439"/>
      <c r="ES159" s="439"/>
      <c r="ET159" s="439"/>
      <c r="EU159" s="672"/>
      <c r="EX159" s="32"/>
    </row>
    <row r="160" spans="1:154" s="27" customFormat="1" ht="12.75">
      <c r="A160" s="26"/>
      <c r="B160" s="26"/>
      <c r="C160" s="26"/>
      <c r="D160" s="26"/>
      <c r="E160" s="26"/>
      <c r="F160" s="26"/>
      <c r="G160" s="31"/>
      <c r="I160" s="32"/>
      <c r="K160" s="26"/>
      <c r="L160" s="33"/>
      <c r="M160" s="33"/>
      <c r="N160" s="33"/>
      <c r="O160" s="33"/>
      <c r="P160" s="26"/>
      <c r="Q160" s="33"/>
      <c r="R160" s="33"/>
      <c r="S160" s="26"/>
      <c r="T160" s="26"/>
      <c r="U160" s="26"/>
      <c r="V160" s="26"/>
      <c r="W160" s="26"/>
      <c r="X160" s="33"/>
      <c r="Y160" s="33"/>
      <c r="Z160" s="33"/>
      <c r="AA160" s="26"/>
      <c r="AB160" s="26"/>
      <c r="AC160" s="26"/>
      <c r="AD160" s="26"/>
      <c r="AE160" s="26"/>
      <c r="AF160" s="26"/>
      <c r="AG160" s="33"/>
      <c r="AH160" s="33"/>
      <c r="AI160" s="33"/>
      <c r="AJ160" s="33"/>
      <c r="AK160" s="32"/>
      <c r="AL160" s="35"/>
      <c r="AM160" s="35"/>
      <c r="AN160" s="32"/>
      <c r="AO160" s="32"/>
      <c r="AP160" s="775"/>
      <c r="AQ160" s="775"/>
      <c r="AR160" s="32"/>
      <c r="AV160" s="32"/>
      <c r="AW160" s="26"/>
      <c r="AX160" s="32"/>
      <c r="BG160" s="32"/>
      <c r="BJ160" s="32"/>
      <c r="BM160" s="32"/>
      <c r="BN160" s="439"/>
      <c r="CA160" s="700"/>
      <c r="CB160" s="700"/>
      <c r="CD160" s="26"/>
      <c r="CE160" s="33"/>
      <c r="CF160" s="103"/>
      <c r="CI160" s="32"/>
      <c r="CJ160" s="26"/>
      <c r="CX160" s="794"/>
      <c r="CY160" s="794"/>
      <c r="DR160" s="439"/>
      <c r="EL160" s="439"/>
      <c r="EM160" s="439"/>
      <c r="EN160" s="711"/>
      <c r="EP160" s="439"/>
      <c r="EQ160" s="439"/>
      <c r="ER160" s="439"/>
      <c r="ES160" s="439"/>
      <c r="ET160" s="439"/>
      <c r="EU160" s="672"/>
      <c r="EX160" s="32"/>
    </row>
    <row r="161" spans="1:154" s="27" customFormat="1" ht="12.75">
      <c r="A161" s="26"/>
      <c r="B161" s="26"/>
      <c r="C161" s="26"/>
      <c r="D161" s="26"/>
      <c r="E161" s="26"/>
      <c r="F161" s="26"/>
      <c r="G161" s="31"/>
      <c r="I161" s="32"/>
      <c r="K161" s="26"/>
      <c r="L161" s="33"/>
      <c r="M161" s="33"/>
      <c r="N161" s="33"/>
      <c r="O161" s="33"/>
      <c r="P161" s="26"/>
      <c r="Q161" s="33"/>
      <c r="R161" s="33"/>
      <c r="S161" s="26"/>
      <c r="T161" s="26"/>
      <c r="U161" s="26"/>
      <c r="V161" s="26"/>
      <c r="W161" s="26"/>
      <c r="X161" s="33"/>
      <c r="Y161" s="33"/>
      <c r="Z161" s="33"/>
      <c r="AA161" s="26"/>
      <c r="AB161" s="26"/>
      <c r="AC161" s="26"/>
      <c r="AD161" s="26"/>
      <c r="AE161" s="26"/>
      <c r="AF161" s="26"/>
      <c r="AG161" s="33"/>
      <c r="AH161" s="33"/>
      <c r="AI161" s="33"/>
      <c r="AJ161" s="33"/>
      <c r="AK161" s="32"/>
      <c r="AL161" s="35"/>
      <c r="AM161" s="35"/>
      <c r="AN161" s="32"/>
      <c r="AO161" s="32"/>
      <c r="AP161" s="775"/>
      <c r="AQ161" s="775"/>
      <c r="AR161" s="32"/>
      <c r="AV161" s="32"/>
      <c r="AW161" s="26"/>
      <c r="AX161" s="32"/>
      <c r="BG161" s="32"/>
      <c r="BJ161" s="32"/>
      <c r="BM161" s="32"/>
      <c r="BN161" s="439"/>
      <c r="CA161" s="700"/>
      <c r="CB161" s="700"/>
      <c r="CD161" s="26"/>
      <c r="CE161" s="33"/>
      <c r="CF161" s="103"/>
      <c r="CI161" s="32"/>
      <c r="CJ161" s="26"/>
      <c r="CX161" s="794"/>
      <c r="CY161" s="794"/>
      <c r="DR161" s="439"/>
      <c r="EL161" s="439"/>
      <c r="EM161" s="439"/>
      <c r="EN161" s="711"/>
      <c r="EP161" s="439"/>
      <c r="EQ161" s="439"/>
      <c r="ER161" s="439"/>
      <c r="ES161" s="439"/>
      <c r="ET161" s="439"/>
      <c r="EU161" s="672"/>
      <c r="EX161" s="32"/>
    </row>
    <row r="162" spans="1:154" s="27" customFormat="1" ht="12.75">
      <c r="A162" s="26"/>
      <c r="B162" s="26"/>
      <c r="C162" s="26"/>
      <c r="D162" s="26"/>
      <c r="E162" s="26"/>
      <c r="F162" s="26"/>
      <c r="G162" s="31"/>
      <c r="I162" s="32"/>
      <c r="K162" s="26"/>
      <c r="L162" s="33"/>
      <c r="M162" s="33"/>
      <c r="N162" s="33"/>
      <c r="O162" s="33"/>
      <c r="P162" s="26"/>
      <c r="Q162" s="33"/>
      <c r="R162" s="33"/>
      <c r="S162" s="26"/>
      <c r="T162" s="26"/>
      <c r="U162" s="26"/>
      <c r="V162" s="26"/>
      <c r="W162" s="26"/>
      <c r="X162" s="33"/>
      <c r="Y162" s="33"/>
      <c r="Z162" s="33"/>
      <c r="AA162" s="26"/>
      <c r="AB162" s="26"/>
      <c r="AC162" s="26"/>
      <c r="AD162" s="26"/>
      <c r="AE162" s="26"/>
      <c r="AF162" s="26"/>
      <c r="AG162" s="33"/>
      <c r="AH162" s="33"/>
      <c r="AI162" s="33"/>
      <c r="AJ162" s="33"/>
      <c r="AK162" s="32"/>
      <c r="AL162" s="35"/>
      <c r="AM162" s="35"/>
      <c r="AN162" s="32"/>
      <c r="AO162" s="32"/>
      <c r="AP162" s="775"/>
      <c r="AQ162" s="775"/>
      <c r="AR162" s="32"/>
      <c r="AV162" s="32"/>
      <c r="AW162" s="26"/>
      <c r="AX162" s="32"/>
      <c r="BG162" s="32"/>
      <c r="BJ162" s="32"/>
      <c r="BM162" s="32"/>
      <c r="BN162" s="439"/>
      <c r="CA162" s="700"/>
      <c r="CB162" s="700"/>
      <c r="CD162" s="26"/>
      <c r="CE162" s="33"/>
      <c r="CF162" s="103"/>
      <c r="CI162" s="32"/>
      <c r="CJ162" s="26"/>
      <c r="CX162" s="794"/>
      <c r="CY162" s="794"/>
      <c r="DR162" s="439"/>
      <c r="EL162" s="439"/>
      <c r="EM162" s="439"/>
      <c r="EN162" s="711"/>
      <c r="EP162" s="439"/>
      <c r="EQ162" s="439"/>
      <c r="ER162" s="439"/>
      <c r="ES162" s="439"/>
      <c r="ET162" s="439"/>
      <c r="EU162" s="672"/>
      <c r="EX162" s="32"/>
    </row>
    <row r="163" spans="1:154" s="27" customFormat="1" ht="12.75">
      <c r="A163" s="26"/>
      <c r="B163" s="26"/>
      <c r="C163" s="26"/>
      <c r="D163" s="26"/>
      <c r="E163" s="26"/>
      <c r="F163" s="26"/>
      <c r="G163" s="31"/>
      <c r="I163" s="32"/>
      <c r="K163" s="26"/>
      <c r="L163" s="33"/>
      <c r="M163" s="33"/>
      <c r="N163" s="33"/>
      <c r="O163" s="33"/>
      <c r="P163" s="26"/>
      <c r="Q163" s="33"/>
      <c r="R163" s="33"/>
      <c r="S163" s="26"/>
      <c r="T163" s="26"/>
      <c r="U163" s="26"/>
      <c r="V163" s="26"/>
      <c r="W163" s="26"/>
      <c r="X163" s="33"/>
      <c r="Y163" s="33"/>
      <c r="Z163" s="33"/>
      <c r="AA163" s="26"/>
      <c r="AB163" s="26"/>
      <c r="AC163" s="26"/>
      <c r="AD163" s="26"/>
      <c r="AE163" s="26"/>
      <c r="AF163" s="26"/>
      <c r="AG163" s="33"/>
      <c r="AH163" s="33"/>
      <c r="AI163" s="33"/>
      <c r="AJ163" s="33"/>
      <c r="AK163" s="32"/>
      <c r="AL163" s="35"/>
      <c r="AM163" s="35"/>
      <c r="AN163" s="32"/>
      <c r="AO163" s="32"/>
      <c r="AP163" s="775"/>
      <c r="AQ163" s="775"/>
      <c r="AR163" s="32"/>
      <c r="AV163" s="32"/>
      <c r="AW163" s="26"/>
      <c r="AX163" s="32"/>
      <c r="BG163" s="32"/>
      <c r="BJ163" s="32"/>
      <c r="BM163" s="32"/>
      <c r="BN163" s="439"/>
      <c r="CA163" s="700"/>
      <c r="CB163" s="700"/>
      <c r="CD163" s="26"/>
      <c r="CE163" s="33"/>
      <c r="CF163" s="103"/>
      <c r="CI163" s="32"/>
      <c r="CJ163" s="26"/>
      <c r="CX163" s="794"/>
      <c r="CY163" s="794"/>
      <c r="DR163" s="439"/>
      <c r="EL163" s="439"/>
      <c r="EM163" s="439"/>
      <c r="EN163" s="711"/>
      <c r="EP163" s="439"/>
      <c r="EQ163" s="439"/>
      <c r="ER163" s="439"/>
      <c r="ES163" s="439"/>
      <c r="ET163" s="439"/>
      <c r="EU163" s="672"/>
      <c r="EX163" s="32"/>
    </row>
    <row r="164" spans="1:154" s="27" customFormat="1" ht="12.75">
      <c r="A164" s="26"/>
      <c r="B164" s="26"/>
      <c r="C164" s="26"/>
      <c r="D164" s="26"/>
      <c r="E164" s="26"/>
      <c r="F164" s="26"/>
      <c r="G164" s="31"/>
      <c r="I164" s="32"/>
      <c r="K164" s="26"/>
      <c r="L164" s="33"/>
      <c r="M164" s="33"/>
      <c r="N164" s="33"/>
      <c r="O164" s="33"/>
      <c r="P164" s="26"/>
      <c r="Q164" s="33"/>
      <c r="R164" s="33"/>
      <c r="S164" s="26"/>
      <c r="T164" s="26"/>
      <c r="U164" s="26"/>
      <c r="V164" s="26"/>
      <c r="W164" s="26"/>
      <c r="X164" s="33"/>
      <c r="Y164" s="33"/>
      <c r="Z164" s="33"/>
      <c r="AA164" s="26"/>
      <c r="AB164" s="26"/>
      <c r="AC164" s="26"/>
      <c r="AD164" s="26"/>
      <c r="AE164" s="26"/>
      <c r="AF164" s="26"/>
      <c r="AG164" s="33"/>
      <c r="AH164" s="33"/>
      <c r="AI164" s="33"/>
      <c r="AJ164" s="33"/>
      <c r="AK164" s="32"/>
      <c r="AL164" s="35"/>
      <c r="AM164" s="35"/>
      <c r="AN164" s="32"/>
      <c r="AO164" s="32"/>
      <c r="AP164" s="775"/>
      <c r="AQ164" s="775"/>
      <c r="AR164" s="32"/>
      <c r="AV164" s="32"/>
      <c r="AW164" s="26"/>
      <c r="AX164" s="32"/>
      <c r="BG164" s="32"/>
      <c r="BJ164" s="32"/>
      <c r="BM164" s="32"/>
      <c r="BN164" s="439"/>
      <c r="CA164" s="700"/>
      <c r="CB164" s="700"/>
      <c r="CD164" s="26"/>
      <c r="CE164" s="33"/>
      <c r="CF164" s="103"/>
      <c r="CI164" s="32"/>
      <c r="CJ164" s="26"/>
      <c r="CX164" s="794"/>
      <c r="CY164" s="794"/>
      <c r="DR164" s="439"/>
      <c r="EL164" s="439"/>
      <c r="EM164" s="439"/>
      <c r="EN164" s="711"/>
      <c r="EP164" s="439"/>
      <c r="EQ164" s="439"/>
      <c r="ER164" s="439"/>
      <c r="ES164" s="439"/>
      <c r="ET164" s="439"/>
      <c r="EU164" s="672"/>
      <c r="EX164" s="32"/>
    </row>
    <row r="165" spans="1:154" s="27" customFormat="1" ht="12.75">
      <c r="A165" s="26"/>
      <c r="B165" s="26"/>
      <c r="C165" s="26"/>
      <c r="D165" s="26"/>
      <c r="E165" s="26"/>
      <c r="F165" s="26"/>
      <c r="G165" s="31"/>
      <c r="I165" s="32"/>
      <c r="K165" s="26"/>
      <c r="L165" s="33"/>
      <c r="M165" s="33"/>
      <c r="N165" s="33"/>
      <c r="O165" s="33"/>
      <c r="P165" s="26"/>
      <c r="Q165" s="33"/>
      <c r="R165" s="33"/>
      <c r="S165" s="26"/>
      <c r="T165" s="26"/>
      <c r="U165" s="26"/>
      <c r="V165" s="26"/>
      <c r="W165" s="26"/>
      <c r="X165" s="33"/>
      <c r="Y165" s="33"/>
      <c r="Z165" s="33"/>
      <c r="AA165" s="26"/>
      <c r="AB165" s="26"/>
      <c r="AC165" s="26"/>
      <c r="AD165" s="26"/>
      <c r="AE165" s="26"/>
      <c r="AF165" s="26"/>
      <c r="AG165" s="33"/>
      <c r="AH165" s="33"/>
      <c r="AI165" s="33"/>
      <c r="AJ165" s="33"/>
      <c r="AK165" s="32"/>
      <c r="AL165" s="35"/>
      <c r="AM165" s="35"/>
      <c r="AN165" s="32"/>
      <c r="AO165" s="32"/>
      <c r="AP165" s="775"/>
      <c r="AQ165" s="775"/>
      <c r="AR165" s="32"/>
      <c r="AV165" s="32"/>
      <c r="AW165" s="26"/>
      <c r="AX165" s="32"/>
      <c r="BG165" s="32"/>
      <c r="BJ165" s="32"/>
      <c r="BM165" s="32"/>
      <c r="BN165" s="439"/>
      <c r="CA165" s="700"/>
      <c r="CB165" s="700"/>
      <c r="CD165" s="26"/>
      <c r="CE165" s="33"/>
      <c r="CF165" s="103"/>
      <c r="CI165" s="32"/>
      <c r="CJ165" s="26"/>
      <c r="CX165" s="794"/>
      <c r="CY165" s="794"/>
      <c r="DR165" s="439"/>
      <c r="EL165" s="439"/>
      <c r="EM165" s="439"/>
      <c r="EN165" s="711"/>
      <c r="EP165" s="439"/>
      <c r="EQ165" s="439"/>
      <c r="ER165" s="439"/>
      <c r="ES165" s="439"/>
      <c r="ET165" s="439"/>
      <c r="EU165" s="672"/>
      <c r="EX165" s="32"/>
    </row>
    <row r="166" spans="1:154" s="27" customFormat="1" ht="12.75">
      <c r="A166" s="26"/>
      <c r="B166" s="26"/>
      <c r="C166" s="26"/>
      <c r="D166" s="26"/>
      <c r="E166" s="26"/>
      <c r="F166" s="26"/>
      <c r="G166" s="31"/>
      <c r="I166" s="32"/>
      <c r="K166" s="26"/>
      <c r="L166" s="33"/>
      <c r="M166" s="33"/>
      <c r="N166" s="33"/>
      <c r="O166" s="33"/>
      <c r="P166" s="26"/>
      <c r="Q166" s="33"/>
      <c r="R166" s="33"/>
      <c r="S166" s="26"/>
      <c r="T166" s="26"/>
      <c r="U166" s="26"/>
      <c r="V166" s="26"/>
      <c r="W166" s="26"/>
      <c r="X166" s="33"/>
      <c r="Y166" s="33"/>
      <c r="Z166" s="33"/>
      <c r="AA166" s="26"/>
      <c r="AB166" s="26"/>
      <c r="AC166" s="26"/>
      <c r="AD166" s="26"/>
      <c r="AE166" s="26"/>
      <c r="AF166" s="26"/>
      <c r="AG166" s="33"/>
      <c r="AH166" s="33"/>
      <c r="AI166" s="33"/>
      <c r="AJ166" s="33"/>
      <c r="AK166" s="32"/>
      <c r="AL166" s="35"/>
      <c r="AM166" s="35"/>
      <c r="AN166" s="32"/>
      <c r="AO166" s="32"/>
      <c r="AP166" s="775"/>
      <c r="AQ166" s="775"/>
      <c r="AR166" s="32"/>
      <c r="AV166" s="32"/>
      <c r="AW166" s="26"/>
      <c r="AX166" s="32"/>
      <c r="BG166" s="32"/>
      <c r="BJ166" s="32"/>
      <c r="BM166" s="32"/>
      <c r="BN166" s="439"/>
      <c r="CA166" s="700"/>
      <c r="CB166" s="700"/>
      <c r="CD166" s="26"/>
      <c r="CE166" s="33"/>
      <c r="CF166" s="103"/>
      <c r="CI166" s="32"/>
      <c r="CJ166" s="26"/>
      <c r="CX166" s="794"/>
      <c r="CY166" s="794"/>
      <c r="DR166" s="439"/>
      <c r="EL166" s="439"/>
      <c r="EM166" s="439"/>
      <c r="EN166" s="711"/>
      <c r="EP166" s="439"/>
      <c r="EQ166" s="439"/>
      <c r="ER166" s="439"/>
      <c r="ES166" s="439"/>
      <c r="ET166" s="439"/>
      <c r="EU166" s="672"/>
      <c r="EX166" s="32"/>
    </row>
    <row r="167" spans="1:154" s="27" customFormat="1" ht="12.75">
      <c r="A167" s="26"/>
      <c r="B167" s="26"/>
      <c r="C167" s="26"/>
      <c r="D167" s="26"/>
      <c r="E167" s="26"/>
      <c r="F167" s="26"/>
      <c r="G167" s="31"/>
      <c r="I167" s="32"/>
      <c r="K167" s="26"/>
      <c r="L167" s="33"/>
      <c r="M167" s="33"/>
      <c r="N167" s="33"/>
      <c r="O167" s="33"/>
      <c r="P167" s="26"/>
      <c r="Q167" s="33"/>
      <c r="R167" s="33"/>
      <c r="S167" s="26"/>
      <c r="T167" s="26"/>
      <c r="U167" s="26"/>
      <c r="V167" s="26"/>
      <c r="W167" s="26"/>
      <c r="X167" s="33"/>
      <c r="Y167" s="33"/>
      <c r="Z167" s="33"/>
      <c r="AA167" s="26"/>
      <c r="AB167" s="26"/>
      <c r="AC167" s="26"/>
      <c r="AD167" s="26"/>
      <c r="AE167" s="26"/>
      <c r="AF167" s="26"/>
      <c r="AG167" s="33"/>
      <c r="AH167" s="33"/>
      <c r="AI167" s="33"/>
      <c r="AJ167" s="33"/>
      <c r="AK167" s="32"/>
      <c r="AL167" s="35"/>
      <c r="AM167" s="35"/>
      <c r="AN167" s="32"/>
      <c r="AO167" s="32"/>
      <c r="AP167" s="775"/>
      <c r="AQ167" s="775"/>
      <c r="AR167" s="32"/>
      <c r="AV167" s="32"/>
      <c r="AW167" s="26"/>
      <c r="AX167" s="32"/>
      <c r="BG167" s="32"/>
      <c r="BJ167" s="32"/>
      <c r="BM167" s="32"/>
      <c r="BN167" s="439"/>
      <c r="CA167" s="700"/>
      <c r="CB167" s="700"/>
      <c r="CD167" s="26"/>
      <c r="CE167" s="33"/>
      <c r="CF167" s="103"/>
      <c r="CI167" s="32"/>
      <c r="CJ167" s="26"/>
      <c r="CX167" s="794"/>
      <c r="CY167" s="794"/>
      <c r="DR167" s="439"/>
      <c r="EL167" s="439"/>
      <c r="EM167" s="439"/>
      <c r="EN167" s="711"/>
      <c r="EP167" s="439"/>
      <c r="EQ167" s="439"/>
      <c r="ER167" s="439"/>
      <c r="ES167" s="439"/>
      <c r="ET167" s="439"/>
      <c r="EU167" s="672"/>
      <c r="EX167" s="32"/>
    </row>
    <row r="168" spans="1:154" s="27" customFormat="1" ht="12.75">
      <c r="A168" s="26"/>
      <c r="B168" s="26"/>
      <c r="C168" s="26"/>
      <c r="D168" s="26"/>
      <c r="E168" s="26"/>
      <c r="F168" s="26"/>
      <c r="G168" s="31"/>
      <c r="I168" s="32"/>
      <c r="K168" s="26"/>
      <c r="L168" s="33"/>
      <c r="M168" s="33"/>
      <c r="N168" s="33"/>
      <c r="O168" s="33"/>
      <c r="P168" s="26"/>
      <c r="Q168" s="33"/>
      <c r="R168" s="33"/>
      <c r="S168" s="26"/>
      <c r="T168" s="26"/>
      <c r="U168" s="26"/>
      <c r="V168" s="26"/>
      <c r="W168" s="26"/>
      <c r="X168" s="33"/>
      <c r="Y168" s="33"/>
      <c r="Z168" s="33"/>
      <c r="AA168" s="26"/>
      <c r="AB168" s="26"/>
      <c r="AC168" s="26"/>
      <c r="AD168" s="26"/>
      <c r="AE168" s="26"/>
      <c r="AF168" s="26"/>
      <c r="AG168" s="33"/>
      <c r="AH168" s="33"/>
      <c r="AI168" s="33"/>
      <c r="AJ168" s="33"/>
      <c r="AK168" s="32"/>
      <c r="AL168" s="35"/>
      <c r="AM168" s="35"/>
      <c r="AN168" s="32"/>
      <c r="AO168" s="32"/>
      <c r="AP168" s="775"/>
      <c r="AQ168" s="775"/>
      <c r="AR168" s="32"/>
      <c r="AV168" s="32"/>
      <c r="AW168" s="26"/>
      <c r="AX168" s="32"/>
      <c r="BG168" s="32"/>
      <c r="BJ168" s="32"/>
      <c r="BM168" s="32"/>
      <c r="BN168" s="439"/>
      <c r="CA168" s="700"/>
      <c r="CB168" s="700"/>
      <c r="CD168" s="26"/>
      <c r="CE168" s="33"/>
      <c r="CF168" s="103"/>
      <c r="CI168" s="32"/>
      <c r="CJ168" s="26"/>
      <c r="CX168" s="794"/>
      <c r="CY168" s="794"/>
      <c r="DR168" s="439"/>
      <c r="EL168" s="439"/>
      <c r="EM168" s="439"/>
      <c r="EN168" s="711"/>
      <c r="EP168" s="439"/>
      <c r="EQ168" s="439"/>
      <c r="ER168" s="439"/>
      <c r="ES168" s="439"/>
      <c r="ET168" s="439"/>
      <c r="EU168" s="672"/>
      <c r="EX168" s="32"/>
    </row>
    <row r="169" spans="1:154" s="27" customFormat="1" ht="12.75">
      <c r="A169" s="26"/>
      <c r="B169" s="26"/>
      <c r="C169" s="26"/>
      <c r="D169" s="26"/>
      <c r="E169" s="26"/>
      <c r="F169" s="26"/>
      <c r="G169" s="31"/>
      <c r="I169" s="32"/>
      <c r="K169" s="26"/>
      <c r="L169" s="33"/>
      <c r="M169" s="33"/>
      <c r="N169" s="33"/>
      <c r="O169" s="33"/>
      <c r="P169" s="26"/>
      <c r="Q169" s="33"/>
      <c r="R169" s="33"/>
      <c r="S169" s="26"/>
      <c r="T169" s="26"/>
      <c r="U169" s="26"/>
      <c r="V169" s="26"/>
      <c r="W169" s="26"/>
      <c r="X169" s="33"/>
      <c r="Y169" s="33"/>
      <c r="Z169" s="33"/>
      <c r="AA169" s="26"/>
      <c r="AB169" s="26"/>
      <c r="AC169" s="26"/>
      <c r="AD169" s="26"/>
      <c r="AE169" s="26"/>
      <c r="AF169" s="26"/>
      <c r="AG169" s="33"/>
      <c r="AH169" s="33"/>
      <c r="AI169" s="33"/>
      <c r="AJ169" s="33"/>
      <c r="AK169" s="32"/>
      <c r="AL169" s="35"/>
      <c r="AM169" s="35"/>
      <c r="AN169" s="32"/>
      <c r="AO169" s="32"/>
      <c r="AP169" s="775"/>
      <c r="AQ169" s="775"/>
      <c r="AR169" s="32"/>
      <c r="AV169" s="32"/>
      <c r="AW169" s="26"/>
      <c r="AX169" s="32"/>
      <c r="BG169" s="32"/>
      <c r="BJ169" s="32"/>
      <c r="BM169" s="32"/>
      <c r="BN169" s="439"/>
      <c r="CA169" s="700"/>
      <c r="CB169" s="700"/>
      <c r="CD169" s="26"/>
      <c r="CE169" s="33"/>
      <c r="CF169" s="103"/>
      <c r="CI169" s="32"/>
      <c r="CJ169" s="26"/>
      <c r="CX169" s="794"/>
      <c r="CY169" s="794"/>
      <c r="DR169" s="439"/>
      <c r="EL169" s="439"/>
      <c r="EM169" s="439"/>
      <c r="EN169" s="711"/>
      <c r="EP169" s="439"/>
      <c r="EQ169" s="439"/>
      <c r="ER169" s="439"/>
      <c r="ES169" s="439"/>
      <c r="ET169" s="439"/>
      <c r="EU169" s="672"/>
      <c r="EX169" s="32"/>
    </row>
    <row r="170" spans="1:154" s="27" customFormat="1" ht="12.75">
      <c r="A170" s="26"/>
      <c r="B170" s="26"/>
      <c r="C170" s="26"/>
      <c r="D170" s="26"/>
      <c r="E170" s="26"/>
      <c r="F170" s="26"/>
      <c r="G170" s="31"/>
      <c r="I170" s="32"/>
      <c r="K170" s="26"/>
      <c r="L170" s="33"/>
      <c r="M170" s="33"/>
      <c r="N170" s="33"/>
      <c r="O170" s="33"/>
      <c r="P170" s="26"/>
      <c r="Q170" s="33"/>
      <c r="R170" s="33"/>
      <c r="S170" s="26"/>
      <c r="T170" s="26"/>
      <c r="U170" s="26"/>
      <c r="V170" s="26"/>
      <c r="W170" s="26"/>
      <c r="X170" s="33"/>
      <c r="Y170" s="33"/>
      <c r="Z170" s="33"/>
      <c r="AA170" s="26"/>
      <c r="AB170" s="26"/>
      <c r="AC170" s="26"/>
      <c r="AD170" s="26"/>
      <c r="AE170" s="26"/>
      <c r="AF170" s="26"/>
      <c r="AG170" s="33"/>
      <c r="AH170" s="33"/>
      <c r="AI170" s="33"/>
      <c r="AJ170" s="33"/>
      <c r="AK170" s="32"/>
      <c r="AL170" s="35"/>
      <c r="AM170" s="35"/>
      <c r="AN170" s="32"/>
      <c r="AO170" s="32"/>
      <c r="AP170" s="775"/>
      <c r="AQ170" s="775"/>
      <c r="AR170" s="32"/>
      <c r="AV170" s="32"/>
      <c r="AW170" s="26"/>
      <c r="AX170" s="32"/>
      <c r="BG170" s="32"/>
      <c r="BJ170" s="32"/>
      <c r="BM170" s="32"/>
      <c r="BN170" s="439"/>
      <c r="CA170" s="700"/>
      <c r="CB170" s="700"/>
      <c r="CD170" s="26"/>
      <c r="CE170" s="33"/>
      <c r="CF170" s="103"/>
      <c r="CI170" s="32"/>
      <c r="CJ170" s="26"/>
      <c r="CX170" s="794"/>
      <c r="CY170" s="794"/>
      <c r="DR170" s="439"/>
      <c r="EL170" s="439"/>
      <c r="EM170" s="439"/>
      <c r="EN170" s="711"/>
      <c r="EP170" s="439"/>
      <c r="EQ170" s="439"/>
      <c r="ER170" s="439"/>
      <c r="ES170" s="439"/>
      <c r="ET170" s="439"/>
      <c r="EU170" s="672"/>
      <c r="EX170" s="32"/>
    </row>
    <row r="171" spans="1:154" s="27" customFormat="1" ht="12.75">
      <c r="A171" s="26"/>
      <c r="B171" s="26"/>
      <c r="C171" s="26"/>
      <c r="D171" s="26"/>
      <c r="E171" s="26"/>
      <c r="F171" s="26"/>
      <c r="G171" s="31"/>
      <c r="I171" s="32"/>
      <c r="K171" s="26"/>
      <c r="L171" s="33"/>
      <c r="M171" s="33"/>
      <c r="N171" s="33"/>
      <c r="O171" s="33"/>
      <c r="P171" s="26"/>
      <c r="Q171" s="33"/>
      <c r="R171" s="33"/>
      <c r="S171" s="26"/>
      <c r="T171" s="26"/>
      <c r="U171" s="26"/>
      <c r="V171" s="26"/>
      <c r="W171" s="26"/>
      <c r="X171" s="33"/>
      <c r="Y171" s="33"/>
      <c r="Z171" s="33"/>
      <c r="AA171" s="26"/>
      <c r="AB171" s="26"/>
      <c r="AC171" s="26"/>
      <c r="AD171" s="26"/>
      <c r="AE171" s="26"/>
      <c r="AF171" s="26"/>
      <c r="AG171" s="33"/>
      <c r="AH171" s="33"/>
      <c r="AI171" s="33"/>
      <c r="AJ171" s="33"/>
      <c r="AK171" s="32"/>
      <c r="AL171" s="35"/>
      <c r="AM171" s="35"/>
      <c r="AN171" s="32"/>
      <c r="AO171" s="32"/>
      <c r="AP171" s="775"/>
      <c r="AQ171" s="775"/>
      <c r="AR171" s="32"/>
      <c r="AV171" s="32"/>
      <c r="AW171" s="26"/>
      <c r="AX171" s="32"/>
      <c r="BG171" s="32"/>
      <c r="BJ171" s="32"/>
      <c r="BM171" s="32"/>
      <c r="BN171" s="439"/>
      <c r="CA171" s="700"/>
      <c r="CB171" s="700"/>
      <c r="CD171" s="26"/>
      <c r="CE171" s="33"/>
      <c r="CF171" s="103"/>
      <c r="CI171" s="32"/>
      <c r="CJ171" s="26"/>
      <c r="CX171" s="794"/>
      <c r="CY171" s="794"/>
      <c r="DR171" s="439"/>
      <c r="EL171" s="439"/>
      <c r="EM171" s="439"/>
      <c r="EN171" s="711"/>
      <c r="EP171" s="439"/>
      <c r="EQ171" s="439"/>
      <c r="ER171" s="439"/>
      <c r="ES171" s="439"/>
      <c r="ET171" s="439"/>
      <c r="EU171" s="672"/>
      <c r="EX171" s="32"/>
    </row>
    <row r="172" spans="1:154" s="27" customFormat="1" ht="12.75">
      <c r="A172" s="26"/>
      <c r="B172" s="26"/>
      <c r="C172" s="26"/>
      <c r="D172" s="26"/>
      <c r="E172" s="26"/>
      <c r="F172" s="26"/>
      <c r="G172" s="31"/>
      <c r="I172" s="32"/>
      <c r="K172" s="26"/>
      <c r="L172" s="33"/>
      <c r="M172" s="33"/>
      <c r="N172" s="33"/>
      <c r="O172" s="33"/>
      <c r="P172" s="26"/>
      <c r="Q172" s="33"/>
      <c r="R172" s="33"/>
      <c r="S172" s="26"/>
      <c r="T172" s="26"/>
      <c r="U172" s="26"/>
      <c r="V172" s="26"/>
      <c r="W172" s="26"/>
      <c r="X172" s="33"/>
      <c r="Y172" s="33"/>
      <c r="Z172" s="33"/>
      <c r="AA172" s="26"/>
      <c r="AB172" s="26"/>
      <c r="AC172" s="26"/>
      <c r="AD172" s="26"/>
      <c r="AE172" s="26"/>
      <c r="AF172" s="26"/>
      <c r="AG172" s="33"/>
      <c r="AH172" s="33"/>
      <c r="AI172" s="33"/>
      <c r="AJ172" s="33"/>
      <c r="AK172" s="32"/>
      <c r="AL172" s="35"/>
      <c r="AM172" s="35"/>
      <c r="AN172" s="32"/>
      <c r="AO172" s="32"/>
      <c r="AP172" s="775"/>
      <c r="AQ172" s="775"/>
      <c r="AR172" s="32"/>
      <c r="AV172" s="32"/>
      <c r="AW172" s="26"/>
      <c r="AX172" s="32"/>
      <c r="BG172" s="32"/>
      <c r="BJ172" s="32"/>
      <c r="BM172" s="32"/>
      <c r="BN172" s="439"/>
      <c r="CA172" s="700"/>
      <c r="CB172" s="700"/>
      <c r="CD172" s="26"/>
      <c r="CE172" s="33"/>
      <c r="CF172" s="103"/>
      <c r="CI172" s="32"/>
      <c r="CJ172" s="26"/>
      <c r="CX172" s="794"/>
      <c r="CY172" s="794"/>
      <c r="DR172" s="439"/>
      <c r="EL172" s="439"/>
      <c r="EM172" s="439"/>
      <c r="EN172" s="711"/>
      <c r="EP172" s="439"/>
      <c r="EQ172" s="439"/>
      <c r="ER172" s="439"/>
      <c r="ES172" s="439"/>
      <c r="ET172" s="439"/>
      <c r="EU172" s="672"/>
      <c r="EX172" s="32"/>
    </row>
    <row r="173" spans="1:154" s="27" customFormat="1" ht="12.75">
      <c r="A173" s="26"/>
      <c r="B173" s="26"/>
      <c r="C173" s="26"/>
      <c r="D173" s="26"/>
      <c r="E173" s="26"/>
      <c r="F173" s="26"/>
      <c r="G173" s="31"/>
      <c r="I173" s="32"/>
      <c r="K173" s="26"/>
      <c r="L173" s="33"/>
      <c r="M173" s="33"/>
      <c r="N173" s="33"/>
      <c r="O173" s="33"/>
      <c r="P173" s="26"/>
      <c r="Q173" s="33"/>
      <c r="R173" s="33"/>
      <c r="S173" s="26"/>
      <c r="T173" s="26"/>
      <c r="U173" s="26"/>
      <c r="V173" s="26"/>
      <c r="W173" s="26"/>
      <c r="X173" s="33"/>
      <c r="Y173" s="33"/>
      <c r="Z173" s="33"/>
      <c r="AA173" s="26"/>
      <c r="AB173" s="26"/>
      <c r="AC173" s="26"/>
      <c r="AD173" s="26"/>
      <c r="AE173" s="26"/>
      <c r="AF173" s="26"/>
      <c r="AG173" s="33"/>
      <c r="AH173" s="33"/>
      <c r="AI173" s="33"/>
      <c r="AJ173" s="33"/>
      <c r="AK173" s="32"/>
      <c r="AL173" s="35"/>
      <c r="AM173" s="35"/>
      <c r="AN173" s="32"/>
      <c r="AO173" s="32"/>
      <c r="AP173" s="775"/>
      <c r="AQ173" s="775"/>
      <c r="AR173" s="32"/>
      <c r="AV173" s="32"/>
      <c r="AW173" s="26"/>
      <c r="AX173" s="32"/>
      <c r="BG173" s="32"/>
      <c r="BJ173" s="32"/>
      <c r="BM173" s="32"/>
      <c r="BN173" s="439"/>
      <c r="CA173" s="700"/>
      <c r="CB173" s="700"/>
      <c r="CD173" s="26"/>
      <c r="CE173" s="33"/>
      <c r="CF173" s="103"/>
      <c r="CI173" s="32"/>
      <c r="CJ173" s="26"/>
      <c r="CX173" s="794"/>
      <c r="CY173" s="794"/>
      <c r="DR173" s="439"/>
      <c r="EL173" s="439"/>
      <c r="EM173" s="439"/>
      <c r="EN173" s="711"/>
      <c r="EP173" s="439"/>
      <c r="EQ173" s="439"/>
      <c r="ER173" s="439"/>
      <c r="ES173" s="439"/>
      <c r="ET173" s="439"/>
      <c r="EU173" s="672"/>
      <c r="EX173" s="32"/>
    </row>
    <row r="174" spans="1:154" s="27" customFormat="1" ht="12.75">
      <c r="A174" s="26"/>
      <c r="B174" s="26"/>
      <c r="C174" s="26"/>
      <c r="D174" s="26"/>
      <c r="E174" s="26"/>
      <c r="F174" s="26"/>
      <c r="G174" s="31"/>
      <c r="I174" s="32"/>
      <c r="K174" s="26"/>
      <c r="L174" s="33"/>
      <c r="M174" s="33"/>
      <c r="N174" s="33"/>
      <c r="O174" s="33"/>
      <c r="P174" s="26"/>
      <c r="Q174" s="33"/>
      <c r="R174" s="33"/>
      <c r="S174" s="26"/>
      <c r="T174" s="26"/>
      <c r="U174" s="26"/>
      <c r="V174" s="26"/>
      <c r="W174" s="26"/>
      <c r="X174" s="33"/>
      <c r="Y174" s="33"/>
      <c r="Z174" s="33"/>
      <c r="AA174" s="26"/>
      <c r="AB174" s="26"/>
      <c r="AC174" s="26"/>
      <c r="AD174" s="26"/>
      <c r="AE174" s="26"/>
      <c r="AF174" s="26"/>
      <c r="AG174" s="33"/>
      <c r="AH174" s="33"/>
      <c r="AI174" s="33"/>
      <c r="AJ174" s="33"/>
      <c r="AK174" s="32"/>
      <c r="AL174" s="35"/>
      <c r="AM174" s="35"/>
      <c r="AN174" s="32"/>
      <c r="AO174" s="32"/>
      <c r="AP174" s="775"/>
      <c r="AQ174" s="775"/>
      <c r="AR174" s="32"/>
      <c r="AV174" s="32"/>
      <c r="AW174" s="26"/>
      <c r="AX174" s="32"/>
      <c r="BG174" s="32"/>
      <c r="BJ174" s="32"/>
      <c r="BM174" s="32"/>
      <c r="BN174" s="439"/>
      <c r="CA174" s="700"/>
      <c r="CB174" s="700"/>
      <c r="CD174" s="26"/>
      <c r="CE174" s="33"/>
      <c r="CF174" s="103"/>
      <c r="CI174" s="32"/>
      <c r="CJ174" s="26"/>
      <c r="CX174" s="794"/>
      <c r="CY174" s="794"/>
      <c r="DR174" s="439"/>
      <c r="EL174" s="439"/>
      <c r="EM174" s="439"/>
      <c r="EN174" s="711"/>
      <c r="EP174" s="439"/>
      <c r="EQ174" s="439"/>
      <c r="ER174" s="439"/>
      <c r="ES174" s="439"/>
      <c r="ET174" s="439"/>
      <c r="EU174" s="672"/>
      <c r="EX174" s="32"/>
    </row>
    <row r="175" spans="1:154" s="27" customFormat="1" ht="12.75">
      <c r="A175" s="26"/>
      <c r="B175" s="26"/>
      <c r="C175" s="26"/>
      <c r="D175" s="26"/>
      <c r="E175" s="26"/>
      <c r="F175" s="26"/>
      <c r="G175" s="31"/>
      <c r="I175" s="32"/>
      <c r="K175" s="26"/>
      <c r="L175" s="33"/>
      <c r="M175" s="33"/>
      <c r="N175" s="33"/>
      <c r="O175" s="33"/>
      <c r="P175" s="26"/>
      <c r="Q175" s="33"/>
      <c r="R175" s="33"/>
      <c r="S175" s="26"/>
      <c r="T175" s="26"/>
      <c r="U175" s="26"/>
      <c r="V175" s="26"/>
      <c r="W175" s="26"/>
      <c r="X175" s="33"/>
      <c r="Y175" s="33"/>
      <c r="Z175" s="33"/>
      <c r="AA175" s="26"/>
      <c r="AB175" s="26"/>
      <c r="AC175" s="26"/>
      <c r="AD175" s="26"/>
      <c r="AE175" s="26"/>
      <c r="AF175" s="26"/>
      <c r="AG175" s="33"/>
      <c r="AH175" s="33"/>
      <c r="AI175" s="33"/>
      <c r="AJ175" s="33"/>
      <c r="AK175" s="32"/>
      <c r="AL175" s="35"/>
      <c r="AM175" s="35"/>
      <c r="AN175" s="32"/>
      <c r="AO175" s="32"/>
      <c r="AP175" s="775"/>
      <c r="AQ175" s="775"/>
      <c r="AR175" s="32"/>
      <c r="AV175" s="32"/>
      <c r="AW175" s="26"/>
      <c r="AX175" s="32"/>
      <c r="BG175" s="32"/>
      <c r="BJ175" s="32"/>
      <c r="BM175" s="32"/>
      <c r="BN175" s="439"/>
      <c r="CA175" s="700"/>
      <c r="CB175" s="700"/>
      <c r="CD175" s="26"/>
      <c r="CE175" s="33"/>
      <c r="CF175" s="103"/>
      <c r="CI175" s="32"/>
      <c r="CJ175" s="26"/>
      <c r="CX175" s="794"/>
      <c r="CY175" s="794"/>
      <c r="DR175" s="439"/>
      <c r="EL175" s="439"/>
      <c r="EM175" s="439"/>
      <c r="EN175" s="711"/>
      <c r="EP175" s="439"/>
      <c r="EQ175" s="439"/>
      <c r="ER175" s="439"/>
      <c r="ES175" s="439"/>
      <c r="ET175" s="439"/>
      <c r="EU175" s="672"/>
      <c r="EX175" s="32"/>
    </row>
    <row r="176" spans="1:154" s="27" customFormat="1" ht="12.75">
      <c r="A176" s="26"/>
      <c r="B176" s="26"/>
      <c r="C176" s="26"/>
      <c r="D176" s="26"/>
      <c r="E176" s="26"/>
      <c r="F176" s="26"/>
      <c r="G176" s="31"/>
      <c r="I176" s="32"/>
      <c r="K176" s="26"/>
      <c r="L176" s="33"/>
      <c r="M176" s="33"/>
      <c r="N176" s="33"/>
      <c r="O176" s="33"/>
      <c r="P176" s="26"/>
      <c r="Q176" s="33"/>
      <c r="R176" s="33"/>
      <c r="S176" s="26"/>
      <c r="T176" s="26"/>
      <c r="U176" s="26"/>
      <c r="V176" s="26"/>
      <c r="W176" s="26"/>
      <c r="X176" s="33"/>
      <c r="Y176" s="33"/>
      <c r="Z176" s="33"/>
      <c r="AA176" s="26"/>
      <c r="AB176" s="26"/>
      <c r="AC176" s="26"/>
      <c r="AD176" s="26"/>
      <c r="AE176" s="26"/>
      <c r="AF176" s="26"/>
      <c r="AG176" s="33"/>
      <c r="AH176" s="33"/>
      <c r="AI176" s="33"/>
      <c r="AJ176" s="33"/>
      <c r="AK176" s="32"/>
      <c r="AL176" s="35"/>
      <c r="AM176" s="35"/>
      <c r="AN176" s="32"/>
      <c r="AO176" s="32"/>
      <c r="AP176" s="775"/>
      <c r="AQ176" s="775"/>
      <c r="AR176" s="32"/>
      <c r="AV176" s="32"/>
      <c r="AW176" s="26"/>
      <c r="AX176" s="32"/>
      <c r="BG176" s="32"/>
      <c r="BJ176" s="32"/>
      <c r="BM176" s="32"/>
      <c r="BN176" s="439"/>
      <c r="CA176" s="700"/>
      <c r="CB176" s="700"/>
      <c r="CD176" s="26"/>
      <c r="CE176" s="33"/>
      <c r="CF176" s="103"/>
      <c r="CI176" s="32"/>
      <c r="CJ176" s="26"/>
      <c r="CX176" s="794"/>
      <c r="CY176" s="794"/>
      <c r="DR176" s="439"/>
      <c r="EL176" s="439"/>
      <c r="EM176" s="439"/>
      <c r="EN176" s="711"/>
      <c r="EP176" s="439"/>
      <c r="EQ176" s="439"/>
      <c r="ER176" s="439"/>
      <c r="ES176" s="439"/>
      <c r="ET176" s="439"/>
      <c r="EU176" s="672"/>
      <c r="EX176" s="32"/>
    </row>
    <row r="177" spans="1:154" s="27" customFormat="1" ht="12.75">
      <c r="A177" s="26"/>
      <c r="B177" s="26"/>
      <c r="C177" s="26"/>
      <c r="D177" s="26"/>
      <c r="E177" s="26"/>
      <c r="F177" s="26"/>
      <c r="G177" s="31"/>
      <c r="I177" s="32"/>
      <c r="K177" s="26"/>
      <c r="L177" s="33"/>
      <c r="M177" s="33"/>
      <c r="N177" s="33"/>
      <c r="O177" s="33"/>
      <c r="P177" s="26"/>
      <c r="Q177" s="33"/>
      <c r="R177" s="33"/>
      <c r="S177" s="26"/>
      <c r="T177" s="26"/>
      <c r="U177" s="26"/>
      <c r="V177" s="26"/>
      <c r="W177" s="26"/>
      <c r="X177" s="33"/>
      <c r="Y177" s="33"/>
      <c r="Z177" s="33"/>
      <c r="AA177" s="26"/>
      <c r="AB177" s="26"/>
      <c r="AC177" s="26"/>
      <c r="AD177" s="26"/>
      <c r="AE177" s="26"/>
      <c r="AF177" s="26"/>
      <c r="AG177" s="33"/>
      <c r="AH177" s="33"/>
      <c r="AI177" s="33"/>
      <c r="AJ177" s="33"/>
      <c r="AK177" s="32"/>
      <c r="AL177" s="35"/>
      <c r="AM177" s="35"/>
      <c r="AN177" s="32"/>
      <c r="AO177" s="32"/>
      <c r="AP177" s="775"/>
      <c r="AQ177" s="775"/>
      <c r="AR177" s="32"/>
      <c r="AV177" s="32"/>
      <c r="AW177" s="26"/>
      <c r="AX177" s="32"/>
      <c r="BG177" s="32"/>
      <c r="BJ177" s="32"/>
      <c r="BM177" s="32"/>
      <c r="BN177" s="439"/>
      <c r="CA177" s="700"/>
      <c r="CB177" s="700"/>
      <c r="CD177" s="26"/>
      <c r="CE177" s="33"/>
      <c r="CF177" s="103"/>
      <c r="CI177" s="32"/>
      <c r="CJ177" s="26"/>
      <c r="CX177" s="794"/>
      <c r="CY177" s="794"/>
      <c r="DR177" s="439"/>
      <c r="EL177" s="439"/>
      <c r="EM177" s="439"/>
      <c r="EN177" s="711"/>
      <c r="EP177" s="439"/>
      <c r="EQ177" s="439"/>
      <c r="ER177" s="439"/>
      <c r="ES177" s="439"/>
      <c r="ET177" s="439"/>
      <c r="EU177" s="672"/>
      <c r="EX177" s="32"/>
    </row>
    <row r="178" spans="1:154" s="27" customFormat="1" ht="12.75">
      <c r="A178" s="26"/>
      <c r="B178" s="26"/>
      <c r="C178" s="26"/>
      <c r="D178" s="26"/>
      <c r="E178" s="26"/>
      <c r="F178" s="26"/>
      <c r="G178" s="31"/>
      <c r="I178" s="32"/>
      <c r="K178" s="26"/>
      <c r="L178" s="33"/>
      <c r="M178" s="33"/>
      <c r="N178" s="33"/>
      <c r="O178" s="33"/>
      <c r="P178" s="26"/>
      <c r="Q178" s="33"/>
      <c r="R178" s="33"/>
      <c r="S178" s="26"/>
      <c r="T178" s="26"/>
      <c r="U178" s="26"/>
      <c r="V178" s="26"/>
      <c r="W178" s="26"/>
      <c r="X178" s="33"/>
      <c r="Y178" s="33"/>
      <c r="Z178" s="33"/>
      <c r="AA178" s="26"/>
      <c r="AB178" s="26"/>
      <c r="AC178" s="26"/>
      <c r="AD178" s="26"/>
      <c r="AE178" s="26"/>
      <c r="AF178" s="26"/>
      <c r="AG178" s="33"/>
      <c r="AH178" s="33"/>
      <c r="AI178" s="33"/>
      <c r="AJ178" s="33"/>
      <c r="AK178" s="32"/>
      <c r="AL178" s="35"/>
      <c r="AM178" s="35"/>
      <c r="AN178" s="32"/>
      <c r="AO178" s="32"/>
      <c r="AP178" s="775"/>
      <c r="AQ178" s="775"/>
      <c r="AR178" s="32"/>
      <c r="AV178" s="32"/>
      <c r="AW178" s="26"/>
      <c r="AX178" s="32"/>
      <c r="BG178" s="32"/>
      <c r="BJ178" s="32"/>
      <c r="BM178" s="32"/>
      <c r="BN178" s="439"/>
      <c r="CA178" s="700"/>
      <c r="CB178" s="700"/>
      <c r="CD178" s="26"/>
      <c r="CE178" s="33"/>
      <c r="CF178" s="103"/>
      <c r="CI178" s="32"/>
      <c r="CJ178" s="26"/>
      <c r="CX178" s="794"/>
      <c r="CY178" s="794"/>
      <c r="DR178" s="439"/>
      <c r="EL178" s="439"/>
      <c r="EM178" s="439"/>
      <c r="EN178" s="711"/>
      <c r="EP178" s="439"/>
      <c r="EQ178" s="439"/>
      <c r="ER178" s="439"/>
      <c r="ES178" s="439"/>
      <c r="ET178" s="439"/>
      <c r="EU178" s="672"/>
      <c r="EX178" s="32"/>
    </row>
    <row r="179" spans="1:154" s="27" customFormat="1" ht="12.75">
      <c r="A179" s="26"/>
      <c r="B179" s="26"/>
      <c r="C179" s="26"/>
      <c r="D179" s="26"/>
      <c r="E179" s="26"/>
      <c r="F179" s="26"/>
      <c r="G179" s="31"/>
      <c r="I179" s="32"/>
      <c r="K179" s="26"/>
      <c r="L179" s="33"/>
      <c r="M179" s="33"/>
      <c r="N179" s="33"/>
      <c r="O179" s="33"/>
      <c r="P179" s="26"/>
      <c r="Q179" s="33"/>
      <c r="R179" s="33"/>
      <c r="S179" s="26"/>
      <c r="T179" s="26"/>
      <c r="U179" s="26"/>
      <c r="V179" s="26"/>
      <c r="W179" s="26"/>
      <c r="X179" s="33"/>
      <c r="Y179" s="33"/>
      <c r="Z179" s="33"/>
      <c r="AA179" s="26"/>
      <c r="AB179" s="26"/>
      <c r="AC179" s="26"/>
      <c r="AD179" s="26"/>
      <c r="AE179" s="26"/>
      <c r="AF179" s="26"/>
      <c r="AG179" s="33"/>
      <c r="AH179" s="33"/>
      <c r="AI179" s="33"/>
      <c r="AJ179" s="33"/>
      <c r="AK179" s="32"/>
      <c r="AL179" s="35"/>
      <c r="AM179" s="35"/>
      <c r="AN179" s="32"/>
      <c r="AO179" s="32"/>
      <c r="AP179" s="775"/>
      <c r="AQ179" s="775"/>
      <c r="AR179" s="32"/>
      <c r="AV179" s="32"/>
      <c r="AW179" s="26"/>
      <c r="AX179" s="32"/>
      <c r="BG179" s="32"/>
      <c r="BJ179" s="32"/>
      <c r="BM179" s="32"/>
      <c r="BN179" s="439"/>
      <c r="CA179" s="700"/>
      <c r="CB179" s="700"/>
      <c r="CD179" s="26"/>
      <c r="CE179" s="33"/>
      <c r="CF179" s="103"/>
      <c r="CI179" s="32"/>
      <c r="CJ179" s="26"/>
      <c r="CX179" s="794"/>
      <c r="CY179" s="794"/>
      <c r="DR179" s="439"/>
      <c r="EL179" s="439"/>
      <c r="EM179" s="439"/>
      <c r="EN179" s="711"/>
      <c r="EP179" s="439"/>
      <c r="EQ179" s="439"/>
      <c r="ER179" s="439"/>
      <c r="ES179" s="439"/>
      <c r="ET179" s="439"/>
      <c r="EU179" s="672"/>
      <c r="EX179" s="32"/>
    </row>
    <row r="180" spans="1:154" s="27" customFormat="1" ht="12.75">
      <c r="A180" s="26"/>
      <c r="B180" s="26"/>
      <c r="C180" s="26"/>
      <c r="D180" s="26"/>
      <c r="E180" s="26"/>
      <c r="F180" s="26"/>
      <c r="G180" s="31"/>
      <c r="I180" s="32"/>
      <c r="K180" s="26"/>
      <c r="L180" s="33"/>
      <c r="M180" s="33"/>
      <c r="N180" s="33"/>
      <c r="O180" s="33"/>
      <c r="P180" s="26"/>
      <c r="Q180" s="33"/>
      <c r="R180" s="33"/>
      <c r="S180" s="26"/>
      <c r="T180" s="26"/>
      <c r="U180" s="26"/>
      <c r="V180" s="26"/>
      <c r="W180" s="26"/>
      <c r="X180" s="33"/>
      <c r="Y180" s="33"/>
      <c r="Z180" s="33"/>
      <c r="AA180" s="26"/>
      <c r="AB180" s="26"/>
      <c r="AC180" s="26"/>
      <c r="AD180" s="26"/>
      <c r="AE180" s="26"/>
      <c r="AF180" s="26"/>
      <c r="AG180" s="33"/>
      <c r="AH180" s="33"/>
      <c r="AI180" s="33"/>
      <c r="AJ180" s="33"/>
      <c r="AK180" s="32"/>
      <c r="AL180" s="35"/>
      <c r="AM180" s="35"/>
      <c r="AN180" s="32"/>
      <c r="AO180" s="32"/>
      <c r="AP180" s="775"/>
      <c r="AQ180" s="775"/>
      <c r="AR180" s="32"/>
      <c r="AV180" s="32"/>
      <c r="AW180" s="26"/>
      <c r="AX180" s="32"/>
      <c r="BG180" s="32"/>
      <c r="BJ180" s="32"/>
      <c r="BM180" s="32"/>
      <c r="BN180" s="439"/>
      <c r="CA180" s="700"/>
      <c r="CB180" s="700"/>
      <c r="CD180" s="26"/>
      <c r="CE180" s="33"/>
      <c r="CF180" s="103"/>
      <c r="CI180" s="32"/>
      <c r="CJ180" s="26"/>
      <c r="CX180" s="794"/>
      <c r="CY180" s="794"/>
      <c r="DR180" s="439"/>
      <c r="EL180" s="439"/>
      <c r="EM180" s="439"/>
      <c r="EN180" s="711"/>
      <c r="EP180" s="439"/>
      <c r="EQ180" s="439"/>
      <c r="ER180" s="439"/>
      <c r="ES180" s="439"/>
      <c r="ET180" s="439"/>
      <c r="EU180" s="672"/>
      <c r="EX180" s="32"/>
    </row>
    <row r="181" spans="1:154" s="27" customFormat="1" ht="12.75">
      <c r="A181" s="26"/>
      <c r="B181" s="26"/>
      <c r="C181" s="26"/>
      <c r="D181" s="26"/>
      <c r="E181" s="26"/>
      <c r="F181" s="26"/>
      <c r="G181" s="31"/>
      <c r="I181" s="32"/>
      <c r="K181" s="26"/>
      <c r="L181" s="33"/>
      <c r="M181" s="33"/>
      <c r="N181" s="33"/>
      <c r="O181" s="33"/>
      <c r="P181" s="26"/>
      <c r="Q181" s="33"/>
      <c r="R181" s="33"/>
      <c r="S181" s="26"/>
      <c r="T181" s="26"/>
      <c r="U181" s="26"/>
      <c r="V181" s="26"/>
      <c r="W181" s="26"/>
      <c r="X181" s="33"/>
      <c r="Y181" s="33"/>
      <c r="Z181" s="33"/>
      <c r="AA181" s="26"/>
      <c r="AB181" s="26"/>
      <c r="AC181" s="26"/>
      <c r="AD181" s="26"/>
      <c r="AE181" s="26"/>
      <c r="AF181" s="26"/>
      <c r="AG181" s="33"/>
      <c r="AH181" s="33"/>
      <c r="AI181" s="33"/>
      <c r="AJ181" s="33"/>
      <c r="AK181" s="32"/>
      <c r="AL181" s="35"/>
      <c r="AM181" s="35"/>
      <c r="AN181" s="32"/>
      <c r="AO181" s="32"/>
      <c r="AP181" s="775"/>
      <c r="AQ181" s="775"/>
      <c r="AR181" s="32"/>
      <c r="AV181" s="32"/>
      <c r="AW181" s="26"/>
      <c r="AX181" s="32"/>
      <c r="BG181" s="32"/>
      <c r="BJ181" s="32"/>
      <c r="BM181" s="32"/>
      <c r="BN181" s="439"/>
      <c r="CA181" s="700"/>
      <c r="CB181" s="700"/>
      <c r="CD181" s="26"/>
      <c r="CE181" s="33"/>
      <c r="CF181" s="103"/>
      <c r="CI181" s="32"/>
      <c r="CJ181" s="26"/>
      <c r="CX181" s="794"/>
      <c r="CY181" s="794"/>
      <c r="DR181" s="439"/>
      <c r="EL181" s="439"/>
      <c r="EM181" s="439"/>
      <c r="EN181" s="711"/>
      <c r="EP181" s="439"/>
      <c r="EQ181" s="439"/>
      <c r="ER181" s="439"/>
      <c r="ES181" s="439"/>
      <c r="ET181" s="439"/>
      <c r="EU181" s="672"/>
      <c r="EX181" s="32"/>
    </row>
    <row r="182" spans="1:154" s="27" customFormat="1" ht="12.75">
      <c r="A182" s="26"/>
      <c r="B182" s="26"/>
      <c r="C182" s="26"/>
      <c r="D182" s="26"/>
      <c r="E182" s="26"/>
      <c r="F182" s="26"/>
      <c r="G182" s="31"/>
      <c r="I182" s="32"/>
      <c r="K182" s="26"/>
      <c r="L182" s="33"/>
      <c r="M182" s="33"/>
      <c r="N182" s="33"/>
      <c r="O182" s="33"/>
      <c r="P182" s="26"/>
      <c r="Q182" s="33"/>
      <c r="R182" s="33"/>
      <c r="S182" s="26"/>
      <c r="T182" s="26"/>
      <c r="U182" s="26"/>
      <c r="V182" s="26"/>
      <c r="W182" s="26"/>
      <c r="X182" s="33"/>
      <c r="Y182" s="33"/>
      <c r="Z182" s="33"/>
      <c r="AA182" s="26"/>
      <c r="AB182" s="26"/>
      <c r="AC182" s="26"/>
      <c r="AD182" s="26"/>
      <c r="AE182" s="26"/>
      <c r="AF182" s="26"/>
      <c r="AG182" s="33"/>
      <c r="AH182" s="33"/>
      <c r="AI182" s="33"/>
      <c r="AJ182" s="33"/>
      <c r="AK182" s="32"/>
      <c r="AL182" s="35"/>
      <c r="AM182" s="35"/>
      <c r="AN182" s="32"/>
      <c r="AO182" s="32"/>
      <c r="AP182" s="775"/>
      <c r="AQ182" s="775"/>
      <c r="AR182" s="32"/>
      <c r="AV182" s="32"/>
      <c r="AW182" s="26"/>
      <c r="AX182" s="32"/>
      <c r="BG182" s="32"/>
      <c r="BJ182" s="32"/>
      <c r="BM182" s="32"/>
      <c r="BN182" s="439"/>
      <c r="CA182" s="700"/>
      <c r="CB182" s="700"/>
      <c r="CD182" s="26"/>
      <c r="CE182" s="33"/>
      <c r="CF182" s="103"/>
      <c r="CI182" s="32"/>
      <c r="CJ182" s="26"/>
      <c r="CX182" s="794"/>
      <c r="CY182" s="794"/>
      <c r="DR182" s="439"/>
      <c r="EL182" s="439"/>
      <c r="EM182" s="439"/>
      <c r="EN182" s="711"/>
      <c r="EP182" s="439"/>
      <c r="EQ182" s="439"/>
      <c r="ER182" s="439"/>
      <c r="ES182" s="439"/>
      <c r="ET182" s="439"/>
      <c r="EU182" s="672"/>
      <c r="EX182" s="32"/>
    </row>
    <row r="183" spans="1:154" s="27" customFormat="1" ht="12.75">
      <c r="A183" s="26"/>
      <c r="B183" s="26"/>
      <c r="C183" s="26"/>
      <c r="D183" s="26"/>
      <c r="E183" s="26"/>
      <c r="F183" s="26"/>
      <c r="G183" s="31"/>
      <c r="I183" s="32"/>
      <c r="K183" s="26"/>
      <c r="L183" s="33"/>
      <c r="M183" s="33"/>
      <c r="N183" s="33"/>
      <c r="O183" s="33"/>
      <c r="P183" s="26"/>
      <c r="Q183" s="33"/>
      <c r="R183" s="33"/>
      <c r="S183" s="26"/>
      <c r="T183" s="26"/>
      <c r="U183" s="26"/>
      <c r="V183" s="26"/>
      <c r="W183" s="26"/>
      <c r="X183" s="33"/>
      <c r="Y183" s="33"/>
      <c r="Z183" s="33"/>
      <c r="AA183" s="26"/>
      <c r="AB183" s="26"/>
      <c r="AC183" s="26"/>
      <c r="AD183" s="26"/>
      <c r="AE183" s="26"/>
      <c r="AF183" s="26"/>
      <c r="AG183" s="33"/>
      <c r="AH183" s="33"/>
      <c r="AI183" s="33"/>
      <c r="AJ183" s="33"/>
      <c r="AK183" s="32"/>
      <c r="AL183" s="35"/>
      <c r="AM183" s="35"/>
      <c r="AN183" s="32"/>
      <c r="AO183" s="32"/>
      <c r="AP183" s="775"/>
      <c r="AQ183" s="775"/>
      <c r="AR183" s="32"/>
      <c r="AV183" s="32"/>
      <c r="AW183" s="26"/>
      <c r="AX183" s="32"/>
      <c r="BG183" s="32"/>
      <c r="BJ183" s="32"/>
      <c r="BM183" s="32"/>
      <c r="BN183" s="439"/>
      <c r="CA183" s="700"/>
      <c r="CB183" s="700"/>
      <c r="CD183" s="26"/>
      <c r="CE183" s="33"/>
      <c r="CF183" s="103"/>
      <c r="CI183" s="32"/>
      <c r="CJ183" s="26"/>
      <c r="CX183" s="794"/>
      <c r="CY183" s="794"/>
      <c r="DR183" s="439"/>
      <c r="EL183" s="439"/>
      <c r="EM183" s="439"/>
      <c r="EN183" s="711"/>
      <c r="EP183" s="439"/>
      <c r="EQ183" s="439"/>
      <c r="ER183" s="439"/>
      <c r="ES183" s="439"/>
      <c r="ET183" s="439"/>
      <c r="EU183" s="672"/>
      <c r="EX183" s="32"/>
    </row>
    <row r="184" spans="1:154" s="27" customFormat="1" ht="12.75">
      <c r="A184" s="26"/>
      <c r="B184" s="26"/>
      <c r="C184" s="26"/>
      <c r="D184" s="26"/>
      <c r="E184" s="26"/>
      <c r="F184" s="26"/>
      <c r="G184" s="31"/>
      <c r="I184" s="32"/>
      <c r="K184" s="26"/>
      <c r="L184" s="33"/>
      <c r="M184" s="33"/>
      <c r="N184" s="33"/>
      <c r="O184" s="33"/>
      <c r="P184" s="26"/>
      <c r="Q184" s="33"/>
      <c r="R184" s="33"/>
      <c r="S184" s="26"/>
      <c r="T184" s="26"/>
      <c r="U184" s="26"/>
      <c r="V184" s="26"/>
      <c r="W184" s="26"/>
      <c r="X184" s="33"/>
      <c r="Y184" s="33"/>
      <c r="Z184" s="33"/>
      <c r="AA184" s="26"/>
      <c r="AB184" s="26"/>
      <c r="AC184" s="26"/>
      <c r="AD184" s="26"/>
      <c r="AE184" s="26"/>
      <c r="AF184" s="26"/>
      <c r="AG184" s="33"/>
      <c r="AH184" s="33"/>
      <c r="AI184" s="33"/>
      <c r="AJ184" s="33"/>
      <c r="AK184" s="32"/>
      <c r="AL184" s="35"/>
      <c r="AM184" s="35"/>
      <c r="AN184" s="32"/>
      <c r="AO184" s="32"/>
      <c r="AP184" s="775"/>
      <c r="AQ184" s="775"/>
      <c r="AR184" s="32"/>
      <c r="AV184" s="32"/>
      <c r="AW184" s="26"/>
      <c r="AX184" s="32"/>
      <c r="BG184" s="32"/>
      <c r="BJ184" s="32"/>
      <c r="BM184" s="32"/>
      <c r="BN184" s="439"/>
      <c r="CA184" s="700"/>
      <c r="CB184" s="700"/>
      <c r="CD184" s="26"/>
      <c r="CE184" s="33"/>
      <c r="CF184" s="103"/>
      <c r="CI184" s="32"/>
      <c r="CJ184" s="26"/>
      <c r="CX184" s="794"/>
      <c r="CY184" s="794"/>
      <c r="DR184" s="439"/>
      <c r="EL184" s="439"/>
      <c r="EM184" s="439"/>
      <c r="EN184" s="711"/>
      <c r="EP184" s="439"/>
      <c r="EQ184" s="439"/>
      <c r="ER184" s="439"/>
      <c r="ES184" s="439"/>
      <c r="ET184" s="439"/>
      <c r="EU184" s="672"/>
      <c r="EX184" s="32"/>
    </row>
    <row r="185" spans="1:154" s="27" customFormat="1" ht="12.75">
      <c r="A185" s="26"/>
      <c r="B185" s="26"/>
      <c r="C185" s="26"/>
      <c r="D185" s="26"/>
      <c r="E185" s="26"/>
      <c r="F185" s="26"/>
      <c r="G185" s="31"/>
      <c r="I185" s="32"/>
      <c r="K185" s="26"/>
      <c r="L185" s="33"/>
      <c r="M185" s="33"/>
      <c r="N185" s="33"/>
      <c r="O185" s="33"/>
      <c r="P185" s="26"/>
      <c r="Q185" s="33"/>
      <c r="R185" s="33"/>
      <c r="S185" s="26"/>
      <c r="T185" s="26"/>
      <c r="U185" s="26"/>
      <c r="V185" s="26"/>
      <c r="W185" s="26"/>
      <c r="X185" s="33"/>
      <c r="Y185" s="33"/>
      <c r="Z185" s="33"/>
      <c r="AA185" s="26"/>
      <c r="AB185" s="26"/>
      <c r="AC185" s="26"/>
      <c r="AD185" s="26"/>
      <c r="AE185" s="26"/>
      <c r="AF185" s="26"/>
      <c r="AG185" s="33"/>
      <c r="AH185" s="33"/>
      <c r="AI185" s="33"/>
      <c r="AJ185" s="33"/>
      <c r="AK185" s="32"/>
      <c r="AL185" s="35"/>
      <c r="AM185" s="35"/>
      <c r="AN185" s="32"/>
      <c r="AO185" s="32"/>
      <c r="AP185" s="775"/>
      <c r="AQ185" s="775"/>
      <c r="AR185" s="32"/>
      <c r="AV185" s="32"/>
      <c r="AW185" s="26"/>
      <c r="AX185" s="32"/>
      <c r="BG185" s="32"/>
      <c r="BJ185" s="32"/>
      <c r="BM185" s="32"/>
      <c r="BN185" s="439"/>
      <c r="CA185" s="700"/>
      <c r="CB185" s="700"/>
      <c r="CD185" s="26"/>
      <c r="CE185" s="33"/>
      <c r="CF185" s="103"/>
      <c r="CI185" s="32"/>
      <c r="CJ185" s="26"/>
      <c r="CX185" s="794"/>
      <c r="CY185" s="794"/>
      <c r="DR185" s="439"/>
      <c r="EL185" s="439"/>
      <c r="EM185" s="439"/>
      <c r="EN185" s="711"/>
      <c r="EP185" s="439"/>
      <c r="EQ185" s="439"/>
      <c r="ER185" s="439"/>
      <c r="ES185" s="439"/>
      <c r="ET185" s="439"/>
      <c r="EU185" s="672"/>
      <c r="EX185" s="32"/>
    </row>
    <row r="186" spans="1:154" s="27" customFormat="1" ht="12.75">
      <c r="A186" s="26"/>
      <c r="B186" s="26"/>
      <c r="C186" s="26"/>
      <c r="D186" s="26"/>
      <c r="E186" s="26"/>
      <c r="F186" s="26"/>
      <c r="G186" s="31"/>
      <c r="I186" s="32"/>
      <c r="K186" s="26"/>
      <c r="L186" s="33"/>
      <c r="M186" s="33"/>
      <c r="N186" s="33"/>
      <c r="O186" s="33"/>
      <c r="P186" s="26"/>
      <c r="Q186" s="33"/>
      <c r="R186" s="33"/>
      <c r="S186" s="26"/>
      <c r="T186" s="26"/>
      <c r="U186" s="26"/>
      <c r="V186" s="26"/>
      <c r="W186" s="26"/>
      <c r="X186" s="33"/>
      <c r="Y186" s="33"/>
      <c r="Z186" s="33"/>
      <c r="AA186" s="26"/>
      <c r="AB186" s="26"/>
      <c r="AC186" s="26"/>
      <c r="AD186" s="26"/>
      <c r="AE186" s="26"/>
      <c r="AF186" s="26"/>
      <c r="AG186" s="33"/>
      <c r="AH186" s="33"/>
      <c r="AI186" s="33"/>
      <c r="AJ186" s="33"/>
      <c r="AK186" s="32"/>
      <c r="AL186" s="35"/>
      <c r="AM186" s="35"/>
      <c r="AN186" s="32"/>
      <c r="AO186" s="32"/>
      <c r="AP186" s="775"/>
      <c r="AQ186" s="775"/>
      <c r="AR186" s="32"/>
      <c r="AV186" s="32"/>
      <c r="AW186" s="26"/>
      <c r="AX186" s="32"/>
      <c r="BG186" s="32"/>
      <c r="BJ186" s="32"/>
      <c r="BM186" s="32"/>
      <c r="BN186" s="439"/>
      <c r="CA186" s="700"/>
      <c r="CB186" s="700"/>
      <c r="CD186" s="26"/>
      <c r="CE186" s="33"/>
      <c r="CF186" s="103"/>
      <c r="CI186" s="32"/>
      <c r="CJ186" s="26"/>
      <c r="CX186" s="794"/>
      <c r="CY186" s="794"/>
      <c r="DR186" s="439"/>
      <c r="EL186" s="439"/>
      <c r="EM186" s="439"/>
      <c r="EN186" s="711"/>
      <c r="EP186" s="439"/>
      <c r="EQ186" s="439"/>
      <c r="ER186" s="439"/>
      <c r="ES186" s="439"/>
      <c r="ET186" s="439"/>
      <c r="EU186" s="672"/>
      <c r="EX186" s="32"/>
    </row>
    <row r="187" spans="1:154" s="27" customFormat="1" ht="12.75">
      <c r="A187" s="26"/>
      <c r="B187" s="26"/>
      <c r="C187" s="26"/>
      <c r="D187" s="26"/>
      <c r="E187" s="26"/>
      <c r="F187" s="26"/>
      <c r="G187" s="31"/>
      <c r="I187" s="32"/>
      <c r="K187" s="26"/>
      <c r="L187" s="33"/>
      <c r="M187" s="33"/>
      <c r="N187" s="33"/>
      <c r="O187" s="33"/>
      <c r="P187" s="26"/>
      <c r="Q187" s="33"/>
      <c r="R187" s="33"/>
      <c r="S187" s="26"/>
      <c r="T187" s="26"/>
      <c r="U187" s="26"/>
      <c r="V187" s="26"/>
      <c r="W187" s="26"/>
      <c r="X187" s="33"/>
      <c r="Y187" s="33"/>
      <c r="Z187" s="33"/>
      <c r="AA187" s="26"/>
      <c r="AB187" s="26"/>
      <c r="AC187" s="26"/>
      <c r="AD187" s="26"/>
      <c r="AE187" s="26"/>
      <c r="AF187" s="26"/>
      <c r="AG187" s="33"/>
      <c r="AH187" s="33"/>
      <c r="AI187" s="33"/>
      <c r="AJ187" s="33"/>
      <c r="AK187" s="32"/>
      <c r="AL187" s="35"/>
      <c r="AM187" s="35"/>
      <c r="AN187" s="32"/>
      <c r="AO187" s="32"/>
      <c r="AP187" s="775"/>
      <c r="AQ187" s="775"/>
      <c r="AR187" s="32"/>
      <c r="AV187" s="32"/>
      <c r="AW187" s="26"/>
      <c r="AX187" s="32"/>
      <c r="BG187" s="32"/>
      <c r="BJ187" s="32"/>
      <c r="BM187" s="32"/>
      <c r="BN187" s="439"/>
      <c r="CA187" s="700"/>
      <c r="CB187" s="700"/>
      <c r="CD187" s="26"/>
      <c r="CE187" s="33"/>
      <c r="CF187" s="103"/>
      <c r="CI187" s="32"/>
      <c r="CJ187" s="26"/>
      <c r="CX187" s="794"/>
      <c r="CY187" s="794"/>
      <c r="DR187" s="439"/>
      <c r="EL187" s="439"/>
      <c r="EM187" s="439"/>
      <c r="EN187" s="711"/>
      <c r="EP187" s="439"/>
      <c r="EQ187" s="439"/>
      <c r="ER187" s="439"/>
      <c r="ES187" s="439"/>
      <c r="ET187" s="439"/>
      <c r="EU187" s="672"/>
      <c r="EX187" s="32"/>
    </row>
    <row r="188" spans="1:154" s="27" customFormat="1" ht="12.75">
      <c r="A188" s="26"/>
      <c r="B188" s="26"/>
      <c r="C188" s="26"/>
      <c r="D188" s="26"/>
      <c r="E188" s="26"/>
      <c r="F188" s="26"/>
      <c r="G188" s="31"/>
      <c r="I188" s="32"/>
      <c r="K188" s="26"/>
      <c r="L188" s="33"/>
      <c r="M188" s="33"/>
      <c r="N188" s="33"/>
      <c r="O188" s="33"/>
      <c r="P188" s="26"/>
      <c r="Q188" s="33"/>
      <c r="R188" s="33"/>
      <c r="S188" s="26"/>
      <c r="T188" s="26"/>
      <c r="U188" s="26"/>
      <c r="V188" s="26"/>
      <c r="W188" s="26"/>
      <c r="X188" s="33"/>
      <c r="Y188" s="33"/>
      <c r="Z188" s="33"/>
      <c r="AA188" s="26"/>
      <c r="AB188" s="26"/>
      <c r="AC188" s="26"/>
      <c r="AD188" s="26"/>
      <c r="AE188" s="26"/>
      <c r="AF188" s="26"/>
      <c r="AG188" s="33"/>
      <c r="AH188" s="33"/>
      <c r="AI188" s="33"/>
      <c r="AJ188" s="33"/>
      <c r="AK188" s="32"/>
      <c r="AL188" s="35"/>
      <c r="AM188" s="35"/>
      <c r="AN188" s="32"/>
      <c r="AO188" s="32"/>
      <c r="AP188" s="775"/>
      <c r="AQ188" s="775"/>
      <c r="AR188" s="32"/>
      <c r="AV188" s="32"/>
      <c r="AW188" s="26"/>
      <c r="AX188" s="32"/>
      <c r="BG188" s="32"/>
      <c r="BJ188" s="32"/>
      <c r="BM188" s="32"/>
      <c r="BN188" s="439"/>
      <c r="CA188" s="700"/>
      <c r="CB188" s="700"/>
      <c r="CD188" s="26"/>
      <c r="CE188" s="33"/>
      <c r="CF188" s="103"/>
      <c r="CI188" s="32"/>
      <c r="CJ188" s="26"/>
      <c r="CX188" s="794"/>
      <c r="CY188" s="794"/>
      <c r="DR188" s="439"/>
      <c r="EL188" s="439"/>
      <c r="EM188" s="439"/>
      <c r="EN188" s="711"/>
      <c r="EP188" s="439"/>
      <c r="EQ188" s="439"/>
      <c r="ER188" s="439"/>
      <c r="ES188" s="439"/>
      <c r="ET188" s="439"/>
      <c r="EU188" s="672"/>
      <c r="EX188" s="32"/>
    </row>
    <row r="189" spans="1:154" s="27" customFormat="1" ht="12.75">
      <c r="A189" s="26"/>
      <c r="B189" s="26"/>
      <c r="C189" s="26"/>
      <c r="D189" s="26"/>
      <c r="E189" s="26"/>
      <c r="F189" s="26"/>
      <c r="G189" s="31"/>
      <c r="I189" s="32"/>
      <c r="K189" s="26"/>
      <c r="L189" s="33"/>
      <c r="M189" s="33"/>
      <c r="N189" s="33"/>
      <c r="O189" s="33"/>
      <c r="P189" s="26"/>
      <c r="Q189" s="33"/>
      <c r="R189" s="33"/>
      <c r="S189" s="26"/>
      <c r="T189" s="26"/>
      <c r="U189" s="26"/>
      <c r="V189" s="26"/>
      <c r="W189" s="26"/>
      <c r="X189" s="33"/>
      <c r="Y189" s="33"/>
      <c r="Z189" s="33"/>
      <c r="AA189" s="26"/>
      <c r="AB189" s="26"/>
      <c r="AC189" s="26"/>
      <c r="AD189" s="26"/>
      <c r="AE189" s="26"/>
      <c r="AF189" s="26"/>
      <c r="AG189" s="33"/>
      <c r="AH189" s="33"/>
      <c r="AI189" s="33"/>
      <c r="AJ189" s="33"/>
      <c r="AK189" s="32"/>
      <c r="AL189" s="35"/>
      <c r="AM189" s="35"/>
      <c r="AN189" s="32"/>
      <c r="AO189" s="32"/>
      <c r="AP189" s="775"/>
      <c r="AQ189" s="775"/>
      <c r="AR189" s="32"/>
      <c r="AV189" s="32"/>
      <c r="AW189" s="26"/>
      <c r="AX189" s="32"/>
      <c r="BG189" s="32"/>
      <c r="BJ189" s="32"/>
      <c r="BM189" s="32"/>
      <c r="BN189" s="439"/>
      <c r="CA189" s="700"/>
      <c r="CB189" s="700"/>
      <c r="CD189" s="26"/>
      <c r="CE189" s="33"/>
      <c r="CF189" s="103"/>
      <c r="CI189" s="32"/>
      <c r="CJ189" s="26"/>
      <c r="CX189" s="794"/>
      <c r="CY189" s="794"/>
      <c r="DR189" s="439"/>
      <c r="EL189" s="439"/>
      <c r="EM189" s="439"/>
      <c r="EN189" s="711"/>
      <c r="EP189" s="439"/>
      <c r="EQ189" s="439"/>
      <c r="ER189" s="439"/>
      <c r="ES189" s="439"/>
      <c r="ET189" s="439"/>
      <c r="EU189" s="672"/>
      <c r="EX189" s="32"/>
    </row>
    <row r="190" spans="1:154" s="27" customFormat="1" ht="12.75">
      <c r="A190" s="26"/>
      <c r="B190" s="26"/>
      <c r="C190" s="26"/>
      <c r="D190" s="26"/>
      <c r="E190" s="26"/>
      <c r="F190" s="26"/>
      <c r="G190" s="31"/>
      <c r="I190" s="32"/>
      <c r="K190" s="26"/>
      <c r="L190" s="33"/>
      <c r="M190" s="33"/>
      <c r="N190" s="33"/>
      <c r="O190" s="33"/>
      <c r="P190" s="26"/>
      <c r="Q190" s="33"/>
      <c r="R190" s="33"/>
      <c r="S190" s="26"/>
      <c r="T190" s="26"/>
      <c r="U190" s="26"/>
      <c r="V190" s="26"/>
      <c r="W190" s="26"/>
      <c r="X190" s="33"/>
      <c r="Y190" s="33"/>
      <c r="Z190" s="33"/>
      <c r="AA190" s="26"/>
      <c r="AB190" s="26"/>
      <c r="AC190" s="26"/>
      <c r="AD190" s="26"/>
      <c r="AE190" s="26"/>
      <c r="AF190" s="26"/>
      <c r="AG190" s="33"/>
      <c r="AH190" s="33"/>
      <c r="AI190" s="33"/>
      <c r="AJ190" s="33"/>
      <c r="AK190" s="32"/>
      <c r="AL190" s="35"/>
      <c r="AM190" s="35"/>
      <c r="AN190" s="32"/>
      <c r="AO190" s="32"/>
      <c r="AP190" s="775"/>
      <c r="AQ190" s="775"/>
      <c r="AR190" s="32"/>
      <c r="AV190" s="32"/>
      <c r="AW190" s="26"/>
      <c r="AX190" s="32"/>
      <c r="BG190" s="32"/>
      <c r="BJ190" s="32"/>
      <c r="BM190" s="32"/>
      <c r="BN190" s="439"/>
      <c r="CA190" s="700"/>
      <c r="CB190" s="700"/>
      <c r="CD190" s="26"/>
      <c r="CE190" s="33"/>
      <c r="CF190" s="103"/>
      <c r="CI190" s="32"/>
      <c r="CJ190" s="26"/>
      <c r="CX190" s="794"/>
      <c r="CY190" s="794"/>
      <c r="DR190" s="439"/>
      <c r="EL190" s="439"/>
      <c r="EM190" s="439"/>
      <c r="EN190" s="711"/>
      <c r="EP190" s="439"/>
      <c r="EQ190" s="439"/>
      <c r="ER190" s="439"/>
      <c r="ES190" s="439"/>
      <c r="ET190" s="439"/>
      <c r="EU190" s="672"/>
      <c r="EX190" s="32"/>
    </row>
    <row r="191" spans="1:154" s="27" customFormat="1" ht="12.75">
      <c r="A191" s="26"/>
      <c r="B191" s="26"/>
      <c r="C191" s="26"/>
      <c r="D191" s="26"/>
      <c r="E191" s="26"/>
      <c r="F191" s="26"/>
      <c r="G191" s="31"/>
      <c r="I191" s="32"/>
      <c r="K191" s="26"/>
      <c r="L191" s="33"/>
      <c r="M191" s="33"/>
      <c r="N191" s="33"/>
      <c r="O191" s="33"/>
      <c r="P191" s="26"/>
      <c r="Q191" s="33"/>
      <c r="R191" s="33"/>
      <c r="S191" s="26"/>
      <c r="T191" s="26"/>
      <c r="U191" s="26"/>
      <c r="V191" s="26"/>
      <c r="W191" s="26"/>
      <c r="X191" s="33"/>
      <c r="Y191" s="33"/>
      <c r="Z191" s="33"/>
      <c r="AA191" s="26"/>
      <c r="AB191" s="26"/>
      <c r="AC191" s="26"/>
      <c r="AD191" s="26"/>
      <c r="AE191" s="26"/>
      <c r="AF191" s="26"/>
      <c r="AG191" s="33"/>
      <c r="AH191" s="33"/>
      <c r="AI191" s="33"/>
      <c r="AJ191" s="33"/>
      <c r="AK191" s="32"/>
      <c r="AL191" s="35"/>
      <c r="AM191" s="35"/>
      <c r="AN191" s="32"/>
      <c r="AO191" s="32"/>
      <c r="AP191" s="775"/>
      <c r="AQ191" s="775"/>
      <c r="AR191" s="32"/>
      <c r="AV191" s="32"/>
      <c r="AW191" s="26"/>
      <c r="AX191" s="32"/>
      <c r="BG191" s="32"/>
      <c r="BJ191" s="32"/>
      <c r="BM191" s="32"/>
      <c r="BN191" s="439"/>
      <c r="CA191" s="700"/>
      <c r="CB191" s="700"/>
      <c r="CD191" s="26"/>
      <c r="CE191" s="33"/>
      <c r="CF191" s="103"/>
      <c r="CI191" s="32"/>
      <c r="CJ191" s="26"/>
      <c r="CX191" s="794"/>
      <c r="CY191" s="794"/>
      <c r="DR191" s="439"/>
      <c r="EL191" s="439"/>
      <c r="EM191" s="439"/>
      <c r="EN191" s="711"/>
      <c r="EP191" s="439"/>
      <c r="EQ191" s="439"/>
      <c r="ER191" s="439"/>
      <c r="ES191" s="439"/>
      <c r="ET191" s="439"/>
      <c r="EU191" s="672"/>
      <c r="EX191" s="32"/>
    </row>
    <row r="192" spans="1:154" s="27" customFormat="1" ht="12.75">
      <c r="A192" s="26"/>
      <c r="B192" s="26"/>
      <c r="C192" s="26"/>
      <c r="D192" s="26"/>
      <c r="E192" s="26"/>
      <c r="F192" s="26"/>
      <c r="G192" s="31"/>
      <c r="I192" s="32"/>
      <c r="K192" s="26"/>
      <c r="L192" s="33"/>
      <c r="M192" s="33"/>
      <c r="N192" s="33"/>
      <c r="O192" s="33"/>
      <c r="P192" s="26"/>
      <c r="Q192" s="33"/>
      <c r="R192" s="33"/>
      <c r="S192" s="26"/>
      <c r="T192" s="26"/>
      <c r="U192" s="26"/>
      <c r="V192" s="26"/>
      <c r="W192" s="26"/>
      <c r="X192" s="33"/>
      <c r="Y192" s="33"/>
      <c r="Z192" s="33"/>
      <c r="AA192" s="26"/>
      <c r="AB192" s="26"/>
      <c r="AC192" s="26"/>
      <c r="AD192" s="26"/>
      <c r="AE192" s="26"/>
      <c r="AF192" s="26"/>
      <c r="AG192" s="33"/>
      <c r="AH192" s="33"/>
      <c r="AI192" s="33"/>
      <c r="AJ192" s="33"/>
      <c r="AK192" s="32"/>
      <c r="AL192" s="35"/>
      <c r="AM192" s="35"/>
      <c r="AN192" s="32"/>
      <c r="AO192" s="32"/>
      <c r="AP192" s="775"/>
      <c r="AQ192" s="775"/>
      <c r="AR192" s="32"/>
      <c r="AV192" s="32"/>
      <c r="AW192" s="26"/>
      <c r="AX192" s="32"/>
      <c r="BG192" s="32"/>
      <c r="BJ192" s="32"/>
      <c r="BM192" s="32"/>
      <c r="BN192" s="439"/>
      <c r="CA192" s="700"/>
      <c r="CB192" s="700"/>
      <c r="CD192" s="26"/>
      <c r="CE192" s="33"/>
      <c r="CF192" s="103"/>
      <c r="CI192" s="32"/>
      <c r="CJ192" s="26"/>
      <c r="CX192" s="794"/>
      <c r="CY192" s="794"/>
      <c r="DR192" s="439"/>
      <c r="EL192" s="439"/>
      <c r="EM192" s="439"/>
      <c r="EN192" s="711"/>
      <c r="EP192" s="439"/>
      <c r="EQ192" s="439"/>
      <c r="ER192" s="439"/>
      <c r="ES192" s="439"/>
      <c r="ET192" s="439"/>
      <c r="EU192" s="672"/>
      <c r="EX192" s="32"/>
    </row>
    <row r="193" spans="1:154" s="27" customFormat="1" ht="12.75">
      <c r="A193" s="26"/>
      <c r="B193" s="26"/>
      <c r="C193" s="26"/>
      <c r="D193" s="26"/>
      <c r="E193" s="26"/>
      <c r="F193" s="26"/>
      <c r="G193" s="31"/>
      <c r="I193" s="32"/>
      <c r="K193" s="26"/>
      <c r="L193" s="33"/>
      <c r="M193" s="33"/>
      <c r="N193" s="33"/>
      <c r="O193" s="33"/>
      <c r="P193" s="26"/>
      <c r="Q193" s="33"/>
      <c r="R193" s="33"/>
      <c r="S193" s="26"/>
      <c r="T193" s="26"/>
      <c r="U193" s="26"/>
      <c r="V193" s="26"/>
      <c r="W193" s="26"/>
      <c r="X193" s="33"/>
      <c r="Y193" s="33"/>
      <c r="Z193" s="33"/>
      <c r="AA193" s="26"/>
      <c r="AB193" s="26"/>
      <c r="AC193" s="26"/>
      <c r="AD193" s="26"/>
      <c r="AE193" s="26"/>
      <c r="AF193" s="26"/>
      <c r="AG193" s="33"/>
      <c r="AH193" s="33"/>
      <c r="AI193" s="33"/>
      <c r="AJ193" s="33"/>
      <c r="AK193" s="32"/>
      <c r="AL193" s="35"/>
      <c r="AM193" s="35"/>
      <c r="AN193" s="32"/>
      <c r="AO193" s="32"/>
      <c r="AP193" s="775"/>
      <c r="AQ193" s="775"/>
      <c r="AR193" s="32"/>
      <c r="AV193" s="32"/>
      <c r="AW193" s="26"/>
      <c r="AX193" s="32"/>
      <c r="BG193" s="32"/>
      <c r="BJ193" s="32"/>
      <c r="BM193" s="32"/>
      <c r="BN193" s="439"/>
      <c r="CA193" s="700"/>
      <c r="CB193" s="700"/>
      <c r="CD193" s="26"/>
      <c r="CE193" s="33"/>
      <c r="CF193" s="103"/>
      <c r="CI193" s="32"/>
      <c r="CJ193" s="26"/>
      <c r="CX193" s="794"/>
      <c r="CY193" s="794"/>
      <c r="DR193" s="439"/>
      <c r="EL193" s="439"/>
      <c r="EM193" s="439"/>
      <c r="EN193" s="711"/>
      <c r="EP193" s="439"/>
      <c r="EQ193" s="439"/>
      <c r="ER193" s="439"/>
      <c r="ES193" s="439"/>
      <c r="ET193" s="439"/>
      <c r="EU193" s="672"/>
      <c r="EX193" s="32"/>
    </row>
    <row r="194" spans="1:154" s="27" customFormat="1" ht="12.75">
      <c r="A194" s="26"/>
      <c r="B194" s="26"/>
      <c r="C194" s="26"/>
      <c r="D194" s="26"/>
      <c r="E194" s="26"/>
      <c r="F194" s="26"/>
      <c r="G194" s="31"/>
      <c r="I194" s="32"/>
      <c r="K194" s="26"/>
      <c r="L194" s="33"/>
      <c r="M194" s="33"/>
      <c r="N194" s="33"/>
      <c r="O194" s="33"/>
      <c r="P194" s="26"/>
      <c r="Q194" s="33"/>
      <c r="R194" s="33"/>
      <c r="S194" s="26"/>
      <c r="T194" s="26"/>
      <c r="U194" s="26"/>
      <c r="V194" s="26"/>
      <c r="W194" s="26"/>
      <c r="X194" s="33"/>
      <c r="Y194" s="33"/>
      <c r="Z194" s="33"/>
      <c r="AA194" s="26"/>
      <c r="AB194" s="26"/>
      <c r="AC194" s="26"/>
      <c r="AD194" s="26"/>
      <c r="AE194" s="26"/>
      <c r="AF194" s="26"/>
      <c r="AG194" s="33"/>
      <c r="AH194" s="33"/>
      <c r="AI194" s="33"/>
      <c r="AJ194" s="33"/>
      <c r="AK194" s="32"/>
      <c r="AL194" s="35"/>
      <c r="AM194" s="35"/>
      <c r="AN194" s="32"/>
      <c r="AO194" s="32"/>
      <c r="AP194" s="775"/>
      <c r="AQ194" s="775"/>
      <c r="AR194" s="32"/>
      <c r="AV194" s="32"/>
      <c r="AW194" s="26"/>
      <c r="AX194" s="32"/>
      <c r="BG194" s="32"/>
      <c r="BJ194" s="32"/>
      <c r="BM194" s="32"/>
      <c r="BN194" s="439"/>
      <c r="CA194" s="700"/>
      <c r="CB194" s="700"/>
      <c r="CD194" s="26"/>
      <c r="CE194" s="33"/>
      <c r="CF194" s="103"/>
      <c r="CI194" s="32"/>
      <c r="CJ194" s="26"/>
      <c r="CX194" s="794"/>
      <c r="CY194" s="794"/>
      <c r="DR194" s="439"/>
      <c r="EL194" s="439"/>
      <c r="EM194" s="439"/>
      <c r="EN194" s="711"/>
      <c r="EP194" s="439"/>
      <c r="EQ194" s="439"/>
      <c r="ER194" s="439"/>
      <c r="ES194" s="439"/>
      <c r="ET194" s="439"/>
      <c r="EU194" s="672"/>
      <c r="EX194" s="32"/>
    </row>
    <row r="195" spans="1:154" s="27" customFormat="1" ht="12.75">
      <c r="A195" s="26"/>
      <c r="B195" s="26"/>
      <c r="C195" s="26"/>
      <c r="D195" s="26"/>
      <c r="E195" s="26"/>
      <c r="F195" s="26"/>
      <c r="G195" s="31"/>
      <c r="I195" s="32"/>
      <c r="K195" s="26"/>
      <c r="L195" s="33"/>
      <c r="M195" s="33"/>
      <c r="N195" s="33"/>
      <c r="O195" s="33"/>
      <c r="P195" s="26"/>
      <c r="Q195" s="33"/>
      <c r="R195" s="33"/>
      <c r="S195" s="26"/>
      <c r="T195" s="26"/>
      <c r="U195" s="26"/>
      <c r="V195" s="26"/>
      <c r="W195" s="26"/>
      <c r="X195" s="33"/>
      <c r="Y195" s="33"/>
      <c r="Z195" s="33"/>
      <c r="AA195" s="26"/>
      <c r="AB195" s="26"/>
      <c r="AC195" s="26"/>
      <c r="AD195" s="26"/>
      <c r="AE195" s="26"/>
      <c r="AF195" s="26"/>
      <c r="AG195" s="33"/>
      <c r="AH195" s="33"/>
      <c r="AI195" s="33"/>
      <c r="AJ195" s="33"/>
      <c r="AK195" s="32"/>
      <c r="AL195" s="35"/>
      <c r="AM195" s="35"/>
      <c r="AN195" s="32"/>
      <c r="AO195" s="32"/>
      <c r="AP195" s="775"/>
      <c r="AQ195" s="775"/>
      <c r="AR195" s="32"/>
      <c r="AV195" s="32"/>
      <c r="AW195" s="26"/>
      <c r="AX195" s="32"/>
      <c r="BG195" s="32"/>
      <c r="BJ195" s="32"/>
      <c r="BM195" s="32"/>
      <c r="BN195" s="439"/>
      <c r="CA195" s="700"/>
      <c r="CB195" s="700"/>
      <c r="CD195" s="26"/>
      <c r="CE195" s="33"/>
      <c r="CF195" s="103"/>
      <c r="CI195" s="32"/>
      <c r="CJ195" s="26"/>
      <c r="CX195" s="794"/>
      <c r="CY195" s="794"/>
      <c r="DR195" s="439"/>
      <c r="EL195" s="439"/>
      <c r="EM195" s="439"/>
      <c r="EN195" s="711"/>
      <c r="EP195" s="439"/>
      <c r="EQ195" s="439"/>
      <c r="ER195" s="439"/>
      <c r="ES195" s="439"/>
      <c r="ET195" s="439"/>
      <c r="EU195" s="672"/>
      <c r="EX195" s="32"/>
    </row>
    <row r="196" spans="1:154" s="27" customFormat="1" ht="12.75">
      <c r="A196" s="26"/>
      <c r="B196" s="26"/>
      <c r="C196" s="26"/>
      <c r="D196" s="26"/>
      <c r="E196" s="26"/>
      <c r="F196" s="26"/>
      <c r="G196" s="31"/>
      <c r="I196" s="32"/>
      <c r="K196" s="26"/>
      <c r="L196" s="33"/>
      <c r="M196" s="33"/>
      <c r="N196" s="33"/>
      <c r="O196" s="33"/>
      <c r="P196" s="26"/>
      <c r="Q196" s="33"/>
      <c r="R196" s="33"/>
      <c r="S196" s="26"/>
      <c r="T196" s="26"/>
      <c r="U196" s="26"/>
      <c r="V196" s="26"/>
      <c r="W196" s="26"/>
      <c r="X196" s="33"/>
      <c r="Y196" s="33"/>
      <c r="Z196" s="33"/>
      <c r="AA196" s="26"/>
      <c r="AB196" s="26"/>
      <c r="AC196" s="26"/>
      <c r="AD196" s="26"/>
      <c r="AE196" s="26"/>
      <c r="AF196" s="26"/>
      <c r="AG196" s="33"/>
      <c r="AH196" s="33"/>
      <c r="AI196" s="33"/>
      <c r="AJ196" s="33"/>
      <c r="AK196" s="32"/>
      <c r="AL196" s="35"/>
      <c r="AM196" s="35"/>
      <c r="AN196" s="32"/>
      <c r="AO196" s="32"/>
      <c r="AP196" s="775"/>
      <c r="AQ196" s="775"/>
      <c r="AR196" s="32"/>
      <c r="AV196" s="32"/>
      <c r="AW196" s="26"/>
      <c r="AX196" s="32"/>
      <c r="BG196" s="32"/>
      <c r="BJ196" s="32"/>
      <c r="BM196" s="32"/>
      <c r="BN196" s="439"/>
      <c r="CA196" s="700"/>
      <c r="CB196" s="700"/>
      <c r="CD196" s="26"/>
      <c r="CE196" s="33"/>
      <c r="CF196" s="103"/>
      <c r="CI196" s="32"/>
      <c r="CJ196" s="26"/>
      <c r="CX196" s="794"/>
      <c r="CY196" s="794"/>
      <c r="DR196" s="439"/>
      <c r="EL196" s="439"/>
      <c r="EM196" s="439"/>
      <c r="EN196" s="711"/>
      <c r="EP196" s="439"/>
      <c r="EQ196" s="439"/>
      <c r="ER196" s="439"/>
      <c r="ES196" s="439"/>
      <c r="ET196" s="439"/>
      <c r="EU196" s="672"/>
      <c r="EX196" s="32"/>
    </row>
    <row r="197" spans="1:154" s="27" customFormat="1" ht="12.75">
      <c r="A197" s="26"/>
      <c r="B197" s="26"/>
      <c r="C197" s="26"/>
      <c r="D197" s="26"/>
      <c r="E197" s="26"/>
      <c r="F197" s="26"/>
      <c r="G197" s="31"/>
      <c r="I197" s="32"/>
      <c r="K197" s="26"/>
      <c r="L197" s="33"/>
      <c r="M197" s="33"/>
      <c r="N197" s="33"/>
      <c r="O197" s="33"/>
      <c r="P197" s="26"/>
      <c r="Q197" s="33"/>
      <c r="R197" s="33"/>
      <c r="S197" s="26"/>
      <c r="T197" s="26"/>
      <c r="U197" s="26"/>
      <c r="V197" s="26"/>
      <c r="W197" s="26"/>
      <c r="X197" s="33"/>
      <c r="Y197" s="33"/>
      <c r="Z197" s="33"/>
      <c r="AA197" s="26"/>
      <c r="AB197" s="26"/>
      <c r="AC197" s="26"/>
      <c r="AD197" s="26"/>
      <c r="AE197" s="26"/>
      <c r="AF197" s="26"/>
      <c r="AG197" s="33"/>
      <c r="AH197" s="33"/>
      <c r="AI197" s="33"/>
      <c r="AJ197" s="33"/>
      <c r="AK197" s="32"/>
      <c r="AL197" s="35"/>
      <c r="AM197" s="35"/>
      <c r="AN197" s="32"/>
      <c r="AO197" s="32"/>
      <c r="AP197" s="775"/>
      <c r="AQ197" s="775"/>
      <c r="AR197" s="32"/>
      <c r="AV197" s="32"/>
      <c r="AW197" s="26"/>
      <c r="AX197" s="32"/>
      <c r="BG197" s="32"/>
      <c r="BJ197" s="32"/>
      <c r="BM197" s="32"/>
      <c r="BN197" s="439"/>
      <c r="CA197" s="700"/>
      <c r="CB197" s="700"/>
      <c r="CD197" s="26"/>
      <c r="CE197" s="33"/>
      <c r="CF197" s="103"/>
      <c r="CI197" s="32"/>
      <c r="CJ197" s="26"/>
      <c r="CX197" s="794"/>
      <c r="CY197" s="794"/>
      <c r="DR197" s="439"/>
      <c r="EL197" s="439"/>
      <c r="EM197" s="439"/>
      <c r="EN197" s="711"/>
      <c r="EP197" s="439"/>
      <c r="EQ197" s="439"/>
      <c r="ER197" s="439"/>
      <c r="ES197" s="439"/>
      <c r="ET197" s="439"/>
      <c r="EU197" s="672"/>
      <c r="EX197" s="32"/>
    </row>
    <row r="198" spans="1:154" s="27" customFormat="1" ht="12.75">
      <c r="A198" s="26"/>
      <c r="B198" s="26"/>
      <c r="C198" s="26"/>
      <c r="D198" s="26"/>
      <c r="E198" s="26"/>
      <c r="F198" s="26"/>
      <c r="G198" s="31"/>
      <c r="I198" s="32"/>
      <c r="K198" s="26"/>
      <c r="L198" s="33"/>
      <c r="M198" s="33"/>
      <c r="N198" s="33"/>
      <c r="O198" s="33"/>
      <c r="P198" s="26"/>
      <c r="Q198" s="33"/>
      <c r="R198" s="33"/>
      <c r="S198" s="26"/>
      <c r="T198" s="26"/>
      <c r="U198" s="26"/>
      <c r="V198" s="26"/>
      <c r="W198" s="26"/>
      <c r="X198" s="33"/>
      <c r="Y198" s="33"/>
      <c r="Z198" s="33"/>
      <c r="AA198" s="26"/>
      <c r="AB198" s="26"/>
      <c r="AC198" s="26"/>
      <c r="AD198" s="26"/>
      <c r="AE198" s="26"/>
      <c r="AF198" s="26"/>
      <c r="AG198" s="33"/>
      <c r="AH198" s="33"/>
      <c r="AI198" s="33"/>
      <c r="AJ198" s="33"/>
      <c r="AK198" s="32"/>
      <c r="AL198" s="35"/>
      <c r="AM198" s="35"/>
      <c r="AN198" s="32"/>
      <c r="AO198" s="32"/>
      <c r="AP198" s="775"/>
      <c r="AQ198" s="775"/>
      <c r="AR198" s="32"/>
      <c r="AV198" s="32"/>
      <c r="AW198" s="26"/>
      <c r="AX198" s="32"/>
      <c r="BG198" s="32"/>
      <c r="BJ198" s="32"/>
      <c r="BM198" s="32"/>
      <c r="BN198" s="439"/>
      <c r="CA198" s="700"/>
      <c r="CB198" s="700"/>
      <c r="CD198" s="26"/>
      <c r="CE198" s="33"/>
      <c r="CF198" s="103"/>
      <c r="CI198" s="32"/>
      <c r="CJ198" s="26"/>
      <c r="CX198" s="794"/>
      <c r="CY198" s="794"/>
      <c r="DR198" s="439"/>
      <c r="EL198" s="439"/>
      <c r="EM198" s="439"/>
      <c r="EN198" s="711"/>
      <c r="EP198" s="439"/>
      <c r="EQ198" s="439"/>
      <c r="ER198" s="439"/>
      <c r="ES198" s="439"/>
      <c r="ET198" s="439"/>
      <c r="EU198" s="672"/>
      <c r="EX198" s="32"/>
    </row>
    <row r="199" spans="1:154" s="27" customFormat="1" ht="12.75">
      <c r="A199" s="26"/>
      <c r="B199" s="26"/>
      <c r="C199" s="26"/>
      <c r="D199" s="26"/>
      <c r="E199" s="26"/>
      <c r="F199" s="26"/>
      <c r="G199" s="31"/>
      <c r="I199" s="32"/>
      <c r="K199" s="26"/>
      <c r="L199" s="33"/>
      <c r="M199" s="33"/>
      <c r="N199" s="33"/>
      <c r="O199" s="33"/>
      <c r="P199" s="26"/>
      <c r="Q199" s="33"/>
      <c r="R199" s="33"/>
      <c r="S199" s="26"/>
      <c r="T199" s="26"/>
      <c r="U199" s="26"/>
      <c r="V199" s="26"/>
      <c r="W199" s="26"/>
      <c r="X199" s="33"/>
      <c r="Y199" s="33"/>
      <c r="Z199" s="33"/>
      <c r="AA199" s="26"/>
      <c r="AB199" s="26"/>
      <c r="AC199" s="26"/>
      <c r="AD199" s="26"/>
      <c r="AE199" s="26"/>
      <c r="AF199" s="26"/>
      <c r="AG199" s="33"/>
      <c r="AH199" s="33"/>
      <c r="AI199" s="33"/>
      <c r="AJ199" s="33"/>
      <c r="AK199" s="32"/>
      <c r="AL199" s="35"/>
      <c r="AM199" s="35"/>
      <c r="AN199" s="32"/>
      <c r="AO199" s="32"/>
      <c r="AP199" s="775"/>
      <c r="AQ199" s="775"/>
      <c r="AR199" s="32"/>
      <c r="AV199" s="32"/>
      <c r="AW199" s="26"/>
      <c r="AX199" s="32"/>
      <c r="BG199" s="32"/>
      <c r="BJ199" s="32"/>
      <c r="BM199" s="32"/>
      <c r="BN199" s="439"/>
      <c r="CA199" s="700"/>
      <c r="CB199" s="700"/>
      <c r="CD199" s="26"/>
      <c r="CE199" s="33"/>
      <c r="CF199" s="103"/>
      <c r="CI199" s="32"/>
      <c r="CJ199" s="26"/>
      <c r="CX199" s="794"/>
      <c r="CY199" s="794"/>
      <c r="DR199" s="439"/>
      <c r="EL199" s="439"/>
      <c r="EM199" s="439"/>
      <c r="EN199" s="711"/>
      <c r="EP199" s="439"/>
      <c r="EQ199" s="439"/>
      <c r="ER199" s="439"/>
      <c r="ES199" s="439"/>
      <c r="ET199" s="439"/>
      <c r="EU199" s="672"/>
      <c r="EX199" s="32"/>
    </row>
    <row r="200" spans="1:154" s="27" customFormat="1" ht="12.75">
      <c r="A200" s="26"/>
      <c r="B200" s="26"/>
      <c r="C200" s="26"/>
      <c r="D200" s="26"/>
      <c r="E200" s="26"/>
      <c r="F200" s="26"/>
      <c r="G200" s="31"/>
      <c r="I200" s="32"/>
      <c r="K200" s="26"/>
      <c r="L200" s="33"/>
      <c r="M200" s="33"/>
      <c r="N200" s="33"/>
      <c r="O200" s="33"/>
      <c r="P200" s="26"/>
      <c r="Q200" s="33"/>
      <c r="R200" s="33"/>
      <c r="S200" s="26"/>
      <c r="T200" s="26"/>
      <c r="U200" s="26"/>
      <c r="V200" s="26"/>
      <c r="W200" s="26"/>
      <c r="X200" s="33"/>
      <c r="Y200" s="33"/>
      <c r="Z200" s="33"/>
      <c r="AA200" s="26"/>
      <c r="AB200" s="26"/>
      <c r="AC200" s="26"/>
      <c r="AD200" s="26"/>
      <c r="AE200" s="26"/>
      <c r="AF200" s="26"/>
      <c r="AG200" s="33"/>
      <c r="AH200" s="33"/>
      <c r="AI200" s="33"/>
      <c r="AJ200" s="33"/>
      <c r="AK200" s="32"/>
      <c r="AL200" s="35"/>
      <c r="AM200" s="35"/>
      <c r="AN200" s="32"/>
      <c r="AO200" s="32"/>
      <c r="AP200" s="775"/>
      <c r="AQ200" s="775"/>
      <c r="AR200" s="32"/>
      <c r="AV200" s="32"/>
      <c r="AW200" s="26"/>
      <c r="AX200" s="32"/>
      <c r="BG200" s="32"/>
      <c r="BJ200" s="32"/>
      <c r="BM200" s="32"/>
      <c r="BN200" s="439"/>
      <c r="CA200" s="700"/>
      <c r="CB200" s="700"/>
      <c r="CD200" s="26"/>
      <c r="CE200" s="33"/>
      <c r="CF200" s="103"/>
      <c r="CI200" s="32"/>
      <c r="CJ200" s="26"/>
      <c r="CX200" s="794"/>
      <c r="CY200" s="794"/>
      <c r="DR200" s="439"/>
      <c r="EL200" s="439"/>
      <c r="EM200" s="439"/>
      <c r="EN200" s="711"/>
      <c r="EP200" s="439"/>
      <c r="EQ200" s="439"/>
      <c r="ER200" s="439"/>
      <c r="ES200" s="439"/>
      <c r="ET200" s="439"/>
      <c r="EU200" s="672"/>
      <c r="EX200" s="32"/>
    </row>
    <row r="201" spans="1:154" s="27" customFormat="1" ht="12.75">
      <c r="A201" s="26"/>
      <c r="B201" s="26"/>
      <c r="C201" s="26"/>
      <c r="D201" s="26"/>
      <c r="E201" s="26"/>
      <c r="F201" s="26"/>
      <c r="G201" s="31"/>
      <c r="I201" s="32"/>
      <c r="K201" s="26"/>
      <c r="L201" s="33"/>
      <c r="M201" s="33"/>
      <c r="N201" s="33"/>
      <c r="O201" s="33"/>
      <c r="P201" s="26"/>
      <c r="Q201" s="33"/>
      <c r="R201" s="33"/>
      <c r="S201" s="26"/>
      <c r="T201" s="26"/>
      <c r="U201" s="26"/>
      <c r="V201" s="26"/>
      <c r="W201" s="26"/>
      <c r="X201" s="33"/>
      <c r="Y201" s="33"/>
      <c r="Z201" s="33"/>
      <c r="AA201" s="26"/>
      <c r="AB201" s="26"/>
      <c r="AC201" s="26"/>
      <c r="AD201" s="26"/>
      <c r="AE201" s="26"/>
      <c r="AF201" s="26"/>
      <c r="AG201" s="33"/>
      <c r="AH201" s="33"/>
      <c r="AI201" s="33"/>
      <c r="AJ201" s="33"/>
      <c r="AK201" s="32"/>
      <c r="AL201" s="35"/>
      <c r="AM201" s="35"/>
      <c r="AN201" s="32"/>
      <c r="AO201" s="32"/>
      <c r="AP201" s="775"/>
      <c r="AQ201" s="775"/>
      <c r="AR201" s="32"/>
      <c r="AV201" s="32"/>
      <c r="AW201" s="26"/>
      <c r="AX201" s="32"/>
      <c r="BG201" s="32"/>
      <c r="BJ201" s="32"/>
      <c r="BM201" s="32"/>
      <c r="BN201" s="439"/>
      <c r="CA201" s="700"/>
      <c r="CB201" s="700"/>
      <c r="CD201" s="26"/>
      <c r="CE201" s="33"/>
      <c r="CF201" s="103"/>
      <c r="CI201" s="32"/>
      <c r="CJ201" s="26"/>
      <c r="CX201" s="794"/>
      <c r="CY201" s="794"/>
      <c r="DR201" s="439"/>
      <c r="EL201" s="439"/>
      <c r="EM201" s="439"/>
      <c r="EN201" s="711"/>
      <c r="EP201" s="439"/>
      <c r="EQ201" s="439"/>
      <c r="ER201" s="439"/>
      <c r="ES201" s="439"/>
      <c r="ET201" s="439"/>
      <c r="EU201" s="672"/>
      <c r="EX201" s="32"/>
    </row>
    <row r="202" spans="1:154" s="27" customFormat="1" ht="12.75">
      <c r="A202" s="26"/>
      <c r="B202" s="26"/>
      <c r="C202" s="26"/>
      <c r="D202" s="26"/>
      <c r="E202" s="26"/>
      <c r="F202" s="26"/>
      <c r="G202" s="31"/>
      <c r="I202" s="32"/>
      <c r="K202" s="26"/>
      <c r="L202" s="33"/>
      <c r="M202" s="33"/>
      <c r="N202" s="33"/>
      <c r="O202" s="33"/>
      <c r="P202" s="26"/>
      <c r="Q202" s="33"/>
      <c r="R202" s="33"/>
      <c r="S202" s="26"/>
      <c r="T202" s="26"/>
      <c r="U202" s="26"/>
      <c r="V202" s="26"/>
      <c r="W202" s="26"/>
      <c r="X202" s="33"/>
      <c r="Y202" s="33"/>
      <c r="Z202" s="33"/>
      <c r="AA202" s="26"/>
      <c r="AB202" s="26"/>
      <c r="AC202" s="26"/>
      <c r="AD202" s="26"/>
      <c r="AE202" s="26"/>
      <c r="AF202" s="26"/>
      <c r="AG202" s="33"/>
      <c r="AH202" s="33"/>
      <c r="AI202" s="33"/>
      <c r="AJ202" s="33"/>
      <c r="AK202" s="32"/>
      <c r="AL202" s="35"/>
      <c r="AM202" s="35"/>
      <c r="AN202" s="32"/>
      <c r="AO202" s="32"/>
      <c r="AP202" s="775"/>
      <c r="AQ202" s="775"/>
      <c r="AR202" s="32"/>
      <c r="AV202" s="32"/>
      <c r="AW202" s="26"/>
      <c r="AX202" s="32"/>
      <c r="BG202" s="32"/>
      <c r="BJ202" s="32"/>
      <c r="BM202" s="32"/>
      <c r="BN202" s="439"/>
      <c r="CA202" s="700"/>
      <c r="CB202" s="700"/>
      <c r="CD202" s="26"/>
      <c r="CE202" s="33"/>
      <c r="CF202" s="103"/>
      <c r="CI202" s="32"/>
      <c r="CJ202" s="26"/>
      <c r="CX202" s="794"/>
      <c r="CY202" s="794"/>
      <c r="DR202" s="439"/>
      <c r="EL202" s="439"/>
      <c r="EM202" s="439"/>
      <c r="EN202" s="711"/>
      <c r="EP202" s="439"/>
      <c r="EQ202" s="439"/>
      <c r="ER202" s="439"/>
      <c r="ES202" s="439"/>
      <c r="ET202" s="439"/>
      <c r="EU202" s="672"/>
      <c r="EX202" s="32"/>
    </row>
    <row r="203" spans="1:154" s="27" customFormat="1" ht="12.75">
      <c r="A203" s="26"/>
      <c r="B203" s="26"/>
      <c r="C203" s="26"/>
      <c r="D203" s="26"/>
      <c r="E203" s="26"/>
      <c r="F203" s="26"/>
      <c r="G203" s="31"/>
      <c r="I203" s="32"/>
      <c r="K203" s="26"/>
      <c r="L203" s="33"/>
      <c r="M203" s="33"/>
      <c r="N203" s="33"/>
      <c r="O203" s="33"/>
      <c r="P203" s="26"/>
      <c r="Q203" s="33"/>
      <c r="R203" s="33"/>
      <c r="S203" s="26"/>
      <c r="T203" s="26"/>
      <c r="U203" s="26"/>
      <c r="V203" s="26"/>
      <c r="W203" s="26"/>
      <c r="X203" s="33"/>
      <c r="Y203" s="33"/>
      <c r="Z203" s="33"/>
      <c r="AA203" s="26"/>
      <c r="AB203" s="26"/>
      <c r="AC203" s="26"/>
      <c r="AD203" s="26"/>
      <c r="AE203" s="26"/>
      <c r="AF203" s="26"/>
      <c r="AG203" s="33"/>
      <c r="AH203" s="33"/>
      <c r="AI203" s="33"/>
      <c r="AJ203" s="33"/>
      <c r="AK203" s="32"/>
      <c r="AL203" s="35"/>
      <c r="AM203" s="35"/>
      <c r="AN203" s="32"/>
      <c r="AO203" s="32"/>
      <c r="AP203" s="775"/>
      <c r="AQ203" s="775"/>
      <c r="AR203" s="32"/>
      <c r="AV203" s="32"/>
      <c r="AW203" s="26"/>
      <c r="AX203" s="32"/>
      <c r="BG203" s="32"/>
      <c r="BJ203" s="32"/>
      <c r="BM203" s="32"/>
      <c r="BN203" s="439"/>
      <c r="CA203" s="700"/>
      <c r="CB203" s="700"/>
      <c r="CD203" s="26"/>
      <c r="CE203" s="33"/>
      <c r="CF203" s="103"/>
      <c r="CI203" s="32"/>
      <c r="CJ203" s="26"/>
      <c r="CX203" s="794"/>
      <c r="CY203" s="794"/>
      <c r="DR203" s="439"/>
      <c r="EL203" s="439"/>
      <c r="EM203" s="439"/>
      <c r="EN203" s="711"/>
      <c r="EP203" s="439"/>
      <c r="EQ203" s="439"/>
      <c r="ER203" s="439"/>
      <c r="ES203" s="439"/>
      <c r="ET203" s="439"/>
      <c r="EU203" s="672"/>
      <c r="EX203" s="32"/>
    </row>
    <row r="204" spans="1:154" s="27" customFormat="1" ht="12.75">
      <c r="A204" s="26"/>
      <c r="B204" s="26"/>
      <c r="C204" s="26"/>
      <c r="D204" s="26"/>
      <c r="E204" s="26"/>
      <c r="F204" s="26"/>
      <c r="G204" s="31"/>
      <c r="I204" s="32"/>
      <c r="K204" s="26"/>
      <c r="L204" s="33"/>
      <c r="M204" s="33"/>
      <c r="N204" s="33"/>
      <c r="O204" s="33"/>
      <c r="P204" s="26"/>
      <c r="Q204" s="33"/>
      <c r="R204" s="33"/>
      <c r="S204" s="26"/>
      <c r="T204" s="26"/>
      <c r="U204" s="26"/>
      <c r="V204" s="26"/>
      <c r="W204" s="26"/>
      <c r="X204" s="33"/>
      <c r="Y204" s="33"/>
      <c r="Z204" s="33"/>
      <c r="AA204" s="26"/>
      <c r="AB204" s="26"/>
      <c r="AC204" s="26"/>
      <c r="AD204" s="26"/>
      <c r="AE204" s="26"/>
      <c r="AF204" s="26"/>
      <c r="AG204" s="33"/>
      <c r="AH204" s="33"/>
      <c r="AI204" s="33"/>
      <c r="AJ204" s="33"/>
      <c r="AK204" s="32"/>
      <c r="AL204" s="35"/>
      <c r="AM204" s="35"/>
      <c r="AN204" s="32"/>
      <c r="AO204" s="32"/>
      <c r="AP204" s="775"/>
      <c r="AQ204" s="775"/>
      <c r="AR204" s="32"/>
      <c r="AV204" s="32"/>
      <c r="AW204" s="26"/>
      <c r="AX204" s="32"/>
      <c r="BG204" s="32"/>
      <c r="BJ204" s="32"/>
      <c r="BM204" s="32"/>
      <c r="BN204" s="439"/>
      <c r="CA204" s="700"/>
      <c r="CB204" s="700"/>
      <c r="CD204" s="26"/>
      <c r="CE204" s="33"/>
      <c r="CF204" s="103"/>
      <c r="CI204" s="32"/>
      <c r="CJ204" s="26"/>
      <c r="CX204" s="794"/>
      <c r="CY204" s="794"/>
      <c r="DR204" s="439"/>
      <c r="EL204" s="439"/>
      <c r="EM204" s="439"/>
      <c r="EN204" s="711"/>
      <c r="EP204" s="439"/>
      <c r="EQ204" s="439"/>
      <c r="ER204" s="439"/>
      <c r="ES204" s="439"/>
      <c r="ET204" s="439"/>
      <c r="EU204" s="672"/>
      <c r="EX204" s="32"/>
    </row>
    <row r="205" spans="1:154" s="27" customFormat="1" ht="12.75">
      <c r="A205" s="26"/>
      <c r="B205" s="26"/>
      <c r="C205" s="26"/>
      <c r="D205" s="26"/>
      <c r="E205" s="26"/>
      <c r="F205" s="26"/>
      <c r="G205" s="31"/>
      <c r="I205" s="32"/>
      <c r="K205" s="26"/>
      <c r="L205" s="33"/>
      <c r="M205" s="33"/>
      <c r="N205" s="33"/>
      <c r="O205" s="33"/>
      <c r="P205" s="26"/>
      <c r="Q205" s="33"/>
      <c r="R205" s="33"/>
      <c r="S205" s="26"/>
      <c r="T205" s="26"/>
      <c r="U205" s="26"/>
      <c r="V205" s="26"/>
      <c r="W205" s="26"/>
      <c r="X205" s="33"/>
      <c r="Y205" s="33"/>
      <c r="Z205" s="33"/>
      <c r="AA205" s="26"/>
      <c r="AB205" s="26"/>
      <c r="AC205" s="26"/>
      <c r="AD205" s="26"/>
      <c r="AE205" s="26"/>
      <c r="AF205" s="26"/>
      <c r="AG205" s="33"/>
      <c r="AH205" s="33"/>
      <c r="AI205" s="33"/>
      <c r="AJ205" s="33"/>
      <c r="AK205" s="32"/>
      <c r="AL205" s="35"/>
      <c r="AM205" s="35"/>
      <c r="AN205" s="32"/>
      <c r="AO205" s="32"/>
      <c r="AP205" s="775"/>
      <c r="AQ205" s="775"/>
      <c r="AR205" s="32"/>
      <c r="AV205" s="32"/>
      <c r="AW205" s="26"/>
      <c r="AX205" s="32"/>
      <c r="BG205" s="32"/>
      <c r="BJ205" s="32"/>
      <c r="BM205" s="32"/>
      <c r="BN205" s="439"/>
      <c r="CA205" s="700"/>
      <c r="CB205" s="700"/>
      <c r="CD205" s="26"/>
      <c r="CE205" s="33"/>
      <c r="CF205" s="103"/>
      <c r="CI205" s="32"/>
      <c r="CJ205" s="26"/>
      <c r="CX205" s="794"/>
      <c r="CY205" s="794"/>
      <c r="DR205" s="439"/>
      <c r="EL205" s="439"/>
      <c r="EM205" s="439"/>
      <c r="EN205" s="711"/>
      <c r="EP205" s="439"/>
      <c r="EQ205" s="439"/>
      <c r="ER205" s="439"/>
      <c r="ES205" s="439"/>
      <c r="ET205" s="439"/>
      <c r="EU205" s="672"/>
      <c r="EX205" s="32"/>
    </row>
    <row r="206" spans="1:154" s="27" customFormat="1" ht="12.75">
      <c r="A206" s="26"/>
      <c r="B206" s="26"/>
      <c r="C206" s="26"/>
      <c r="D206" s="26"/>
      <c r="E206" s="26"/>
      <c r="F206" s="26"/>
      <c r="G206" s="31"/>
      <c r="I206" s="32"/>
      <c r="K206" s="26"/>
      <c r="L206" s="33"/>
      <c r="M206" s="33"/>
      <c r="N206" s="33"/>
      <c r="O206" s="33"/>
      <c r="P206" s="26"/>
      <c r="Q206" s="33"/>
      <c r="R206" s="33"/>
      <c r="S206" s="26"/>
      <c r="T206" s="26"/>
      <c r="U206" s="26"/>
      <c r="V206" s="26"/>
      <c r="W206" s="26"/>
      <c r="X206" s="33"/>
      <c r="Y206" s="33"/>
      <c r="Z206" s="33"/>
      <c r="AA206" s="26"/>
      <c r="AB206" s="26"/>
      <c r="AC206" s="26"/>
      <c r="AD206" s="26"/>
      <c r="AE206" s="26"/>
      <c r="AF206" s="26"/>
      <c r="AG206" s="33"/>
      <c r="AH206" s="33"/>
      <c r="AI206" s="33"/>
      <c r="AJ206" s="33"/>
      <c r="AK206" s="32"/>
      <c r="AL206" s="35"/>
      <c r="AM206" s="35"/>
      <c r="AN206" s="32"/>
      <c r="AO206" s="32"/>
      <c r="AP206" s="775"/>
      <c r="AQ206" s="775"/>
      <c r="AR206" s="32"/>
      <c r="AV206" s="32"/>
      <c r="AW206" s="26"/>
      <c r="AX206" s="32"/>
      <c r="BG206" s="32"/>
      <c r="BJ206" s="32"/>
      <c r="BM206" s="32"/>
      <c r="BN206" s="439"/>
      <c r="CA206" s="700"/>
      <c r="CB206" s="700"/>
      <c r="CD206" s="26"/>
      <c r="CE206" s="33"/>
      <c r="CF206" s="103"/>
      <c r="CI206" s="32"/>
      <c r="CJ206" s="26"/>
      <c r="CX206" s="794"/>
      <c r="CY206" s="794"/>
      <c r="DR206" s="439"/>
      <c r="EL206" s="439"/>
      <c r="EM206" s="439"/>
      <c r="EN206" s="711"/>
      <c r="EP206" s="439"/>
      <c r="EQ206" s="439"/>
      <c r="ER206" s="439"/>
      <c r="ES206" s="439"/>
      <c r="ET206" s="439"/>
      <c r="EU206" s="672"/>
      <c r="EX206" s="32"/>
    </row>
    <row r="207" spans="1:154" s="27" customFormat="1" ht="12.75">
      <c r="A207" s="26"/>
      <c r="B207" s="26"/>
      <c r="C207" s="26"/>
      <c r="D207" s="26"/>
      <c r="E207" s="26"/>
      <c r="F207" s="26"/>
      <c r="G207" s="31"/>
      <c r="I207" s="32"/>
      <c r="K207" s="26"/>
      <c r="L207" s="33"/>
      <c r="M207" s="33"/>
      <c r="N207" s="33"/>
      <c r="O207" s="33"/>
      <c r="P207" s="26"/>
      <c r="Q207" s="33"/>
      <c r="R207" s="33"/>
      <c r="S207" s="26"/>
      <c r="T207" s="26"/>
      <c r="U207" s="26"/>
      <c r="V207" s="26"/>
      <c r="W207" s="26"/>
      <c r="X207" s="33"/>
      <c r="Y207" s="33"/>
      <c r="Z207" s="33"/>
      <c r="AA207" s="26"/>
      <c r="AB207" s="26"/>
      <c r="AC207" s="26"/>
      <c r="AD207" s="26"/>
      <c r="AE207" s="26"/>
      <c r="AF207" s="26"/>
      <c r="AG207" s="33"/>
      <c r="AH207" s="33"/>
      <c r="AI207" s="33"/>
      <c r="AJ207" s="33"/>
      <c r="AK207" s="32"/>
      <c r="AL207" s="35"/>
      <c r="AM207" s="35"/>
      <c r="AN207" s="32"/>
      <c r="AO207" s="32"/>
      <c r="AP207" s="775"/>
      <c r="AQ207" s="775"/>
      <c r="AR207" s="32"/>
      <c r="AV207" s="32"/>
      <c r="AW207" s="26"/>
      <c r="AX207" s="32"/>
      <c r="BG207" s="32"/>
      <c r="BJ207" s="32"/>
      <c r="BM207" s="32"/>
      <c r="BN207" s="439"/>
      <c r="CA207" s="700"/>
      <c r="CB207" s="700"/>
      <c r="CD207" s="26"/>
      <c r="CE207" s="33"/>
      <c r="CF207" s="103"/>
      <c r="CI207" s="32"/>
      <c r="CJ207" s="26"/>
      <c r="CX207" s="794"/>
      <c r="CY207" s="794"/>
      <c r="DR207" s="439"/>
      <c r="EL207" s="439"/>
      <c r="EM207" s="439"/>
      <c r="EN207" s="711"/>
      <c r="EP207" s="439"/>
      <c r="EQ207" s="439"/>
      <c r="ER207" s="439"/>
      <c r="ES207" s="439"/>
      <c r="ET207" s="439"/>
      <c r="EU207" s="672"/>
      <c r="EX207" s="32"/>
    </row>
    <row r="208" spans="1:154" s="27" customFormat="1" ht="12.75">
      <c r="A208" s="26"/>
      <c r="B208" s="26"/>
      <c r="C208" s="26"/>
      <c r="D208" s="26"/>
      <c r="E208" s="26"/>
      <c r="F208" s="26"/>
      <c r="G208" s="31"/>
      <c r="I208" s="32"/>
      <c r="K208" s="26"/>
      <c r="L208" s="33"/>
      <c r="M208" s="33"/>
      <c r="N208" s="33"/>
      <c r="O208" s="33"/>
      <c r="P208" s="26"/>
      <c r="Q208" s="33"/>
      <c r="R208" s="33"/>
      <c r="S208" s="26"/>
      <c r="T208" s="26"/>
      <c r="U208" s="26"/>
      <c r="V208" s="26"/>
      <c r="W208" s="26"/>
      <c r="X208" s="33"/>
      <c r="Y208" s="33"/>
      <c r="Z208" s="33"/>
      <c r="AA208" s="26"/>
      <c r="AB208" s="26"/>
      <c r="AC208" s="26"/>
      <c r="AD208" s="26"/>
      <c r="AE208" s="26"/>
      <c r="AF208" s="26"/>
      <c r="AG208" s="33"/>
      <c r="AH208" s="33"/>
      <c r="AI208" s="33"/>
      <c r="AJ208" s="33"/>
      <c r="AK208" s="32"/>
      <c r="AL208" s="35"/>
      <c r="AM208" s="35"/>
      <c r="AN208" s="32"/>
      <c r="AO208" s="32"/>
      <c r="AP208" s="775"/>
      <c r="AQ208" s="775"/>
      <c r="AR208" s="32"/>
      <c r="AV208" s="32"/>
      <c r="AW208" s="26"/>
      <c r="AX208" s="32"/>
      <c r="BG208" s="32"/>
      <c r="BJ208" s="32"/>
      <c r="BM208" s="32"/>
      <c r="BN208" s="439"/>
      <c r="CA208" s="700"/>
      <c r="CB208" s="700"/>
      <c r="CD208" s="26"/>
      <c r="CE208" s="33"/>
      <c r="CF208" s="103"/>
      <c r="CI208" s="32"/>
      <c r="CJ208" s="26"/>
      <c r="CX208" s="794"/>
      <c r="CY208" s="794"/>
      <c r="DR208" s="439"/>
      <c r="EL208" s="439"/>
      <c r="EM208" s="439"/>
      <c r="EN208" s="711"/>
      <c r="EP208" s="439"/>
      <c r="EQ208" s="439"/>
      <c r="ER208" s="439"/>
      <c r="ES208" s="439"/>
      <c r="ET208" s="439"/>
      <c r="EU208" s="672"/>
      <c r="EX208" s="32"/>
    </row>
    <row r="209" spans="1:154" s="27" customFormat="1" ht="12.75">
      <c r="A209" s="26"/>
      <c r="B209" s="26"/>
      <c r="C209" s="26"/>
      <c r="D209" s="26"/>
      <c r="E209" s="26"/>
      <c r="F209" s="26"/>
      <c r="G209" s="31"/>
      <c r="I209" s="32"/>
      <c r="K209" s="26"/>
      <c r="L209" s="33"/>
      <c r="M209" s="33"/>
      <c r="N209" s="33"/>
      <c r="O209" s="33"/>
      <c r="P209" s="26"/>
      <c r="Q209" s="33"/>
      <c r="R209" s="33"/>
      <c r="S209" s="26"/>
      <c r="T209" s="26"/>
      <c r="U209" s="26"/>
      <c r="V209" s="26"/>
      <c r="W209" s="26"/>
      <c r="X209" s="33"/>
      <c r="Y209" s="33"/>
      <c r="Z209" s="33"/>
      <c r="AA209" s="26"/>
      <c r="AB209" s="26"/>
      <c r="AC209" s="26"/>
      <c r="AD209" s="26"/>
      <c r="AE209" s="26"/>
      <c r="AF209" s="26"/>
      <c r="AG209" s="33"/>
      <c r="AH209" s="33"/>
      <c r="AI209" s="33"/>
      <c r="AJ209" s="33"/>
      <c r="AK209" s="32"/>
      <c r="AL209" s="35"/>
      <c r="AM209" s="35"/>
      <c r="AN209" s="32"/>
      <c r="AO209" s="32"/>
      <c r="AP209" s="775"/>
      <c r="AQ209" s="775"/>
      <c r="AR209" s="32"/>
      <c r="AV209" s="32"/>
      <c r="AW209" s="26"/>
      <c r="AX209" s="32"/>
      <c r="BG209" s="32"/>
      <c r="BJ209" s="32"/>
      <c r="BM209" s="32"/>
      <c r="BN209" s="439"/>
      <c r="CA209" s="700"/>
      <c r="CB209" s="700"/>
      <c r="CD209" s="26"/>
      <c r="CE209" s="33"/>
      <c r="CF209" s="103"/>
      <c r="CI209" s="32"/>
      <c r="CJ209" s="26"/>
      <c r="CX209" s="794"/>
      <c r="CY209" s="794"/>
      <c r="DR209" s="439"/>
      <c r="EL209" s="439"/>
      <c r="EM209" s="439"/>
      <c r="EN209" s="711"/>
      <c r="EP209" s="439"/>
      <c r="EQ209" s="439"/>
      <c r="ER209" s="439"/>
      <c r="ES209" s="439"/>
      <c r="ET209" s="439"/>
      <c r="EU209" s="672"/>
      <c r="EX209" s="32"/>
    </row>
    <row r="210" spans="1:154" s="27" customFormat="1" ht="12.75">
      <c r="A210" s="26"/>
      <c r="B210" s="26"/>
      <c r="C210" s="26"/>
      <c r="D210" s="26"/>
      <c r="E210" s="26"/>
      <c r="F210" s="26"/>
      <c r="G210" s="31"/>
      <c r="I210" s="32"/>
      <c r="K210" s="26"/>
      <c r="L210" s="33"/>
      <c r="M210" s="33"/>
      <c r="N210" s="33"/>
      <c r="O210" s="33"/>
      <c r="P210" s="26"/>
      <c r="Q210" s="33"/>
      <c r="R210" s="33"/>
      <c r="S210" s="26"/>
      <c r="T210" s="26"/>
      <c r="U210" s="26"/>
      <c r="V210" s="26"/>
      <c r="W210" s="26"/>
      <c r="X210" s="33"/>
      <c r="Y210" s="33"/>
      <c r="Z210" s="33"/>
      <c r="AA210" s="26"/>
      <c r="AB210" s="26"/>
      <c r="AC210" s="26"/>
      <c r="AD210" s="26"/>
      <c r="AE210" s="26"/>
      <c r="AF210" s="26"/>
      <c r="AG210" s="33"/>
      <c r="AH210" s="33"/>
      <c r="AI210" s="33"/>
      <c r="AJ210" s="33"/>
      <c r="AK210" s="32"/>
      <c r="AL210" s="35"/>
      <c r="AM210" s="35"/>
      <c r="AN210" s="32"/>
      <c r="AO210" s="32"/>
      <c r="AP210" s="775"/>
      <c r="AQ210" s="775"/>
      <c r="AR210" s="32"/>
      <c r="AV210" s="32"/>
      <c r="AW210" s="26"/>
      <c r="AX210" s="32"/>
      <c r="BG210" s="32"/>
      <c r="BJ210" s="32"/>
      <c r="BM210" s="32"/>
      <c r="BN210" s="439"/>
      <c r="CA210" s="700"/>
      <c r="CB210" s="700"/>
      <c r="CD210" s="26"/>
      <c r="CE210" s="33"/>
      <c r="CF210" s="103"/>
      <c r="CI210" s="32"/>
      <c r="CJ210" s="26"/>
      <c r="CX210" s="794"/>
      <c r="CY210" s="794"/>
      <c r="DR210" s="439"/>
      <c r="EL210" s="439"/>
      <c r="EM210" s="439"/>
      <c r="EN210" s="711"/>
      <c r="EP210" s="439"/>
      <c r="EQ210" s="439"/>
      <c r="ER210" s="439"/>
      <c r="ES210" s="439"/>
      <c r="ET210" s="439"/>
      <c r="EU210" s="672"/>
      <c r="EX210" s="32"/>
    </row>
    <row r="211" spans="1:154" s="27" customFormat="1" ht="12.75">
      <c r="A211" s="26"/>
      <c r="B211" s="26"/>
      <c r="C211" s="26"/>
      <c r="D211" s="26"/>
      <c r="E211" s="26"/>
      <c r="F211" s="26"/>
      <c r="G211" s="31"/>
      <c r="I211" s="32"/>
      <c r="K211" s="26"/>
      <c r="L211" s="33"/>
      <c r="M211" s="33"/>
      <c r="N211" s="33"/>
      <c r="O211" s="33"/>
      <c r="P211" s="26"/>
      <c r="Q211" s="33"/>
      <c r="R211" s="33"/>
      <c r="S211" s="26"/>
      <c r="T211" s="26"/>
      <c r="U211" s="26"/>
      <c r="V211" s="26"/>
      <c r="W211" s="26"/>
      <c r="X211" s="33"/>
      <c r="Y211" s="33"/>
      <c r="Z211" s="33"/>
      <c r="AA211" s="26"/>
      <c r="AB211" s="26"/>
      <c r="AC211" s="26"/>
      <c r="AD211" s="26"/>
      <c r="AE211" s="26"/>
      <c r="AF211" s="26"/>
      <c r="AG211" s="33"/>
      <c r="AH211" s="33"/>
      <c r="AI211" s="33"/>
      <c r="AJ211" s="33"/>
      <c r="AK211" s="32"/>
      <c r="AL211" s="35"/>
      <c r="AM211" s="35"/>
      <c r="AN211" s="32"/>
      <c r="AO211" s="32"/>
      <c r="AP211" s="775"/>
      <c r="AQ211" s="775"/>
      <c r="AR211" s="32"/>
      <c r="AV211" s="32"/>
      <c r="AW211" s="26"/>
      <c r="AX211" s="32"/>
      <c r="BG211" s="32"/>
      <c r="BJ211" s="32"/>
      <c r="BM211" s="32"/>
      <c r="BN211" s="439"/>
      <c r="CA211" s="700"/>
      <c r="CB211" s="700"/>
      <c r="CD211" s="26"/>
      <c r="CE211" s="33"/>
      <c r="CF211" s="103"/>
      <c r="CI211" s="32"/>
      <c r="CJ211" s="26"/>
      <c r="CX211" s="794"/>
      <c r="CY211" s="794"/>
      <c r="DR211" s="439"/>
      <c r="EL211" s="439"/>
      <c r="EM211" s="439"/>
      <c r="EN211" s="711"/>
      <c r="EP211" s="439"/>
      <c r="EQ211" s="439"/>
      <c r="ER211" s="439"/>
      <c r="ES211" s="439"/>
      <c r="ET211" s="439"/>
      <c r="EU211" s="672"/>
      <c r="EX211" s="32"/>
    </row>
    <row r="212" spans="1:154" s="27" customFormat="1" ht="12.75">
      <c r="A212" s="26"/>
      <c r="B212" s="26"/>
      <c r="C212" s="26"/>
      <c r="D212" s="26"/>
      <c r="E212" s="26"/>
      <c r="F212" s="26"/>
      <c r="G212" s="31"/>
      <c r="I212" s="32"/>
      <c r="K212" s="26"/>
      <c r="L212" s="33"/>
      <c r="M212" s="33"/>
      <c r="N212" s="33"/>
      <c r="O212" s="33"/>
      <c r="P212" s="26"/>
      <c r="Q212" s="33"/>
      <c r="R212" s="33"/>
      <c r="S212" s="26"/>
      <c r="T212" s="26"/>
      <c r="U212" s="26"/>
      <c r="V212" s="26"/>
      <c r="W212" s="26"/>
      <c r="X212" s="33"/>
      <c r="Y212" s="33"/>
      <c r="Z212" s="33"/>
      <c r="AA212" s="26"/>
      <c r="AB212" s="26"/>
      <c r="AC212" s="26"/>
      <c r="AD212" s="26"/>
      <c r="AE212" s="26"/>
      <c r="AF212" s="26"/>
      <c r="AG212" s="33"/>
      <c r="AH212" s="33"/>
      <c r="AI212" s="33"/>
      <c r="AJ212" s="33"/>
      <c r="AK212" s="32"/>
      <c r="AL212" s="35"/>
      <c r="AM212" s="35"/>
      <c r="AN212" s="32"/>
      <c r="AO212" s="32"/>
      <c r="AP212" s="775"/>
      <c r="AQ212" s="775"/>
      <c r="AR212" s="32"/>
      <c r="AV212" s="32"/>
      <c r="AW212" s="26"/>
      <c r="AX212" s="32"/>
      <c r="BG212" s="32"/>
      <c r="BJ212" s="32"/>
      <c r="BM212" s="32"/>
      <c r="BN212" s="439"/>
      <c r="CA212" s="700"/>
      <c r="CB212" s="700"/>
      <c r="CD212" s="26"/>
      <c r="CE212" s="33"/>
      <c r="CF212" s="103"/>
      <c r="CI212" s="32"/>
      <c r="CJ212" s="26"/>
      <c r="CX212" s="794"/>
      <c r="CY212" s="794"/>
      <c r="DR212" s="439"/>
      <c r="EL212" s="439"/>
      <c r="EM212" s="439"/>
      <c r="EN212" s="711"/>
      <c r="EP212" s="439"/>
      <c r="EQ212" s="439"/>
      <c r="ER212" s="439"/>
      <c r="ES212" s="439"/>
      <c r="ET212" s="439"/>
      <c r="EU212" s="672"/>
      <c r="EX212" s="32"/>
    </row>
    <row r="213" spans="1:154" s="27" customFormat="1" ht="12.75">
      <c r="A213" s="26"/>
      <c r="B213" s="26"/>
      <c r="C213" s="26"/>
      <c r="D213" s="26"/>
      <c r="E213" s="26"/>
      <c r="F213" s="26"/>
      <c r="G213" s="31"/>
      <c r="I213" s="32"/>
      <c r="K213" s="26"/>
      <c r="L213" s="33"/>
      <c r="M213" s="33"/>
      <c r="N213" s="33"/>
      <c r="O213" s="33"/>
      <c r="P213" s="26"/>
      <c r="Q213" s="33"/>
      <c r="R213" s="33"/>
      <c r="S213" s="26"/>
      <c r="T213" s="26"/>
      <c r="U213" s="26"/>
      <c r="V213" s="26"/>
      <c r="W213" s="26"/>
      <c r="X213" s="33"/>
      <c r="Y213" s="33"/>
      <c r="Z213" s="33"/>
      <c r="AA213" s="26"/>
      <c r="AB213" s="26"/>
      <c r="AC213" s="26"/>
      <c r="AD213" s="26"/>
      <c r="AE213" s="26"/>
      <c r="AF213" s="26"/>
      <c r="AG213" s="33"/>
      <c r="AH213" s="33"/>
      <c r="AI213" s="33"/>
      <c r="AJ213" s="33"/>
      <c r="AK213" s="32"/>
      <c r="AL213" s="35"/>
      <c r="AM213" s="35"/>
      <c r="AN213" s="32"/>
      <c r="AO213" s="32"/>
      <c r="AP213" s="775"/>
      <c r="AQ213" s="775"/>
      <c r="AR213" s="32"/>
      <c r="AV213" s="32"/>
      <c r="AW213" s="26"/>
      <c r="AX213" s="32"/>
      <c r="BG213" s="32"/>
      <c r="BJ213" s="32"/>
      <c r="BM213" s="32"/>
      <c r="BN213" s="439"/>
      <c r="CA213" s="700"/>
      <c r="CB213" s="700"/>
      <c r="CD213" s="26"/>
      <c r="CE213" s="33"/>
      <c r="CF213" s="103"/>
      <c r="CI213" s="32"/>
      <c r="CJ213" s="26"/>
      <c r="CX213" s="794"/>
      <c r="CY213" s="794"/>
      <c r="DR213" s="439"/>
      <c r="EL213" s="439"/>
      <c r="EM213" s="439"/>
      <c r="EN213" s="711"/>
      <c r="EP213" s="439"/>
      <c r="EQ213" s="439"/>
      <c r="ER213" s="439"/>
      <c r="ES213" s="439"/>
      <c r="ET213" s="439"/>
      <c r="EU213" s="672"/>
      <c r="EX213" s="32"/>
    </row>
    <row r="214" spans="1:154" s="27" customFormat="1" ht="12.75">
      <c r="A214" s="26"/>
      <c r="B214" s="26"/>
      <c r="C214" s="26"/>
      <c r="D214" s="26"/>
      <c r="E214" s="26"/>
      <c r="F214" s="26"/>
      <c r="G214" s="31"/>
      <c r="I214" s="32"/>
      <c r="K214" s="26"/>
      <c r="L214" s="33"/>
      <c r="M214" s="33"/>
      <c r="N214" s="33"/>
      <c r="O214" s="33"/>
      <c r="P214" s="26"/>
      <c r="Q214" s="33"/>
      <c r="R214" s="33"/>
      <c r="S214" s="26"/>
      <c r="T214" s="26"/>
      <c r="U214" s="26"/>
      <c r="V214" s="26"/>
      <c r="W214" s="26"/>
      <c r="X214" s="33"/>
      <c r="Y214" s="33"/>
      <c r="Z214" s="33"/>
      <c r="AA214" s="26"/>
      <c r="AB214" s="26"/>
      <c r="AC214" s="26"/>
      <c r="AD214" s="26"/>
      <c r="AE214" s="26"/>
      <c r="AF214" s="26"/>
      <c r="AG214" s="33"/>
      <c r="AH214" s="33"/>
      <c r="AI214" s="33"/>
      <c r="AJ214" s="33"/>
      <c r="AK214" s="32"/>
      <c r="AL214" s="35"/>
      <c r="AM214" s="35"/>
      <c r="AN214" s="32"/>
      <c r="AO214" s="32"/>
      <c r="AP214" s="775"/>
      <c r="AQ214" s="775"/>
      <c r="AR214" s="32"/>
      <c r="AV214" s="32"/>
      <c r="AW214" s="26"/>
      <c r="AX214" s="32"/>
      <c r="BG214" s="32"/>
      <c r="BJ214" s="32"/>
      <c r="BM214" s="32"/>
      <c r="BN214" s="439"/>
      <c r="CA214" s="700"/>
      <c r="CB214" s="700"/>
      <c r="CD214" s="26"/>
      <c r="CE214" s="33"/>
      <c r="CF214" s="103"/>
      <c r="CI214" s="32"/>
      <c r="CJ214" s="26"/>
      <c r="CX214" s="794"/>
      <c r="CY214" s="794"/>
      <c r="DR214" s="439"/>
      <c r="EL214" s="439"/>
      <c r="EM214" s="439"/>
      <c r="EN214" s="711"/>
      <c r="EP214" s="439"/>
      <c r="EQ214" s="439"/>
      <c r="ER214" s="439"/>
      <c r="ES214" s="439"/>
      <c r="ET214" s="439"/>
      <c r="EU214" s="672"/>
      <c r="EX214" s="32"/>
    </row>
    <row r="215" spans="1:229" s="27" customFormat="1" ht="12.75">
      <c r="A215" s="26"/>
      <c r="B215" s="26"/>
      <c r="C215" s="26"/>
      <c r="D215" s="26"/>
      <c r="E215" s="26"/>
      <c r="F215" s="26"/>
      <c r="G215" s="31"/>
      <c r="I215" s="32"/>
      <c r="K215" s="53"/>
      <c r="L215" s="52"/>
      <c r="M215" s="33"/>
      <c r="N215" s="33"/>
      <c r="O215" s="33"/>
      <c r="P215" s="26"/>
      <c r="Q215" s="33"/>
      <c r="R215" s="33"/>
      <c r="S215" s="26"/>
      <c r="T215" s="26"/>
      <c r="U215" s="26"/>
      <c r="V215" s="26"/>
      <c r="W215" s="26"/>
      <c r="X215" s="106"/>
      <c r="Y215" s="33"/>
      <c r="Z215" s="89"/>
      <c r="AA215" s="26"/>
      <c r="AB215" s="26"/>
      <c r="AC215" s="26"/>
      <c r="AD215" s="26"/>
      <c r="AE215" s="26"/>
      <c r="AF215" s="26"/>
      <c r="AG215" s="87"/>
      <c r="AH215" s="33"/>
      <c r="AI215" s="33"/>
      <c r="AJ215" s="33"/>
      <c r="AK215" s="32"/>
      <c r="AL215" s="35"/>
      <c r="AM215" s="35"/>
      <c r="AN215" s="32"/>
      <c r="AO215" s="32"/>
      <c r="AP215" s="775"/>
      <c r="AQ215" s="775"/>
      <c r="AR215" s="32"/>
      <c r="AV215" s="32"/>
      <c r="AW215" s="26"/>
      <c r="AX215" s="32"/>
      <c r="BG215" s="32"/>
      <c r="BJ215" s="32"/>
      <c r="BM215" s="32"/>
      <c r="BN215" s="391"/>
      <c r="BR215" s="56"/>
      <c r="BS215" s="57"/>
      <c r="BT215" s="57"/>
      <c r="CA215" s="700"/>
      <c r="CB215" s="700"/>
      <c r="CD215" s="26"/>
      <c r="CE215" s="33"/>
      <c r="CF215" s="103"/>
      <c r="CI215" s="32"/>
      <c r="CJ215" s="26"/>
      <c r="CX215" s="794"/>
      <c r="CY215" s="794"/>
      <c r="DR215" s="439"/>
      <c r="EL215" s="439"/>
      <c r="EM215" s="439"/>
      <c r="EN215" s="711"/>
      <c r="EP215" s="439"/>
      <c r="EQ215" s="439"/>
      <c r="ER215" s="439"/>
      <c r="ES215" s="439"/>
      <c r="ET215" s="439"/>
      <c r="EU215" s="672"/>
      <c r="EX215" s="32"/>
      <c r="FH215" s="38"/>
      <c r="FI215" s="38"/>
      <c r="FJ215" s="38"/>
      <c r="FK215" s="38"/>
      <c r="FL215" s="38"/>
      <c r="FM215" s="38"/>
      <c r="FN215" s="38"/>
      <c r="FO215" s="38"/>
      <c r="HN215" s="38"/>
      <c r="HO215" s="38"/>
      <c r="HP215" s="38"/>
      <c r="HQ215" s="38"/>
      <c r="HR215" s="38"/>
      <c r="HS215" s="38"/>
      <c r="HT215" s="38"/>
      <c r="HU215" s="38"/>
    </row>
    <row r="216" spans="1:229" s="27" customFormat="1" ht="12.75">
      <c r="A216" s="26"/>
      <c r="B216" s="26"/>
      <c r="C216" s="26"/>
      <c r="D216" s="26"/>
      <c r="E216" s="26"/>
      <c r="F216" s="26"/>
      <c r="G216" s="31"/>
      <c r="I216" s="32"/>
      <c r="K216" s="53"/>
      <c r="L216" s="52"/>
      <c r="M216" s="33"/>
      <c r="N216" s="33"/>
      <c r="O216" s="33"/>
      <c r="P216" s="26"/>
      <c r="Q216" s="33"/>
      <c r="R216" s="33"/>
      <c r="S216" s="26"/>
      <c r="T216" s="26"/>
      <c r="U216" s="26"/>
      <c r="V216" s="26"/>
      <c r="W216" s="26"/>
      <c r="X216" s="106"/>
      <c r="Y216" s="33"/>
      <c r="Z216" s="89"/>
      <c r="AA216" s="26"/>
      <c r="AB216" s="26"/>
      <c r="AC216" s="26"/>
      <c r="AD216" s="26"/>
      <c r="AE216" s="26"/>
      <c r="AF216" s="26"/>
      <c r="AG216" s="87"/>
      <c r="AH216" s="33"/>
      <c r="AI216" s="33"/>
      <c r="AJ216" s="33"/>
      <c r="AK216" s="32"/>
      <c r="AL216" s="35"/>
      <c r="AM216" s="35"/>
      <c r="AN216" s="32"/>
      <c r="AO216" s="32"/>
      <c r="AP216" s="775"/>
      <c r="AQ216" s="775"/>
      <c r="AR216" s="32"/>
      <c r="AV216" s="32"/>
      <c r="AW216" s="26"/>
      <c r="AX216" s="32"/>
      <c r="BG216" s="32"/>
      <c r="BJ216" s="32"/>
      <c r="BM216" s="32"/>
      <c r="BN216" s="391"/>
      <c r="BR216" s="56"/>
      <c r="BS216" s="57"/>
      <c r="BT216" s="57"/>
      <c r="CA216" s="700"/>
      <c r="CB216" s="700"/>
      <c r="CD216" s="26"/>
      <c r="CE216" s="33"/>
      <c r="CF216" s="103"/>
      <c r="CI216" s="32"/>
      <c r="CJ216" s="26"/>
      <c r="CX216" s="794"/>
      <c r="CY216" s="794"/>
      <c r="DR216" s="439"/>
      <c r="EL216" s="439"/>
      <c r="EM216" s="439"/>
      <c r="EN216" s="711"/>
      <c r="EP216" s="439"/>
      <c r="EQ216" s="439"/>
      <c r="ER216" s="439"/>
      <c r="ES216" s="439"/>
      <c r="ET216" s="439"/>
      <c r="EU216" s="672"/>
      <c r="EX216" s="32"/>
      <c r="FH216" s="38"/>
      <c r="FI216" s="38"/>
      <c r="FJ216" s="38"/>
      <c r="FK216" s="38"/>
      <c r="FL216" s="38"/>
      <c r="FM216" s="38"/>
      <c r="FN216" s="38"/>
      <c r="FO216" s="38"/>
      <c r="HN216" s="38"/>
      <c r="HO216" s="38"/>
      <c r="HP216" s="38"/>
      <c r="HQ216" s="38"/>
      <c r="HR216" s="38"/>
      <c r="HS216" s="38"/>
      <c r="HT216" s="38"/>
      <c r="HU216" s="38"/>
    </row>
    <row r="217" spans="1:229" s="27" customFormat="1" ht="12.75">
      <c r="A217" s="26"/>
      <c r="B217" s="26"/>
      <c r="C217" s="26"/>
      <c r="D217" s="26"/>
      <c r="E217" s="26"/>
      <c r="F217" s="26"/>
      <c r="G217" s="31"/>
      <c r="I217" s="32"/>
      <c r="K217" s="53"/>
      <c r="L217" s="52"/>
      <c r="M217" s="33"/>
      <c r="N217" s="33"/>
      <c r="O217" s="33"/>
      <c r="P217" s="26"/>
      <c r="Q217" s="33"/>
      <c r="R217" s="33"/>
      <c r="S217" s="26"/>
      <c r="T217" s="26"/>
      <c r="U217" s="26"/>
      <c r="V217" s="26"/>
      <c r="W217" s="26"/>
      <c r="X217" s="106"/>
      <c r="Y217" s="33"/>
      <c r="Z217" s="89"/>
      <c r="AA217" s="26"/>
      <c r="AB217" s="26"/>
      <c r="AC217" s="26"/>
      <c r="AD217" s="26"/>
      <c r="AE217" s="26"/>
      <c r="AF217" s="26"/>
      <c r="AG217" s="87"/>
      <c r="AH217" s="33"/>
      <c r="AI217" s="33"/>
      <c r="AJ217" s="33"/>
      <c r="AK217" s="32"/>
      <c r="AL217" s="35"/>
      <c r="AM217" s="35"/>
      <c r="AN217" s="32"/>
      <c r="AO217" s="32"/>
      <c r="AP217" s="775"/>
      <c r="AQ217" s="775"/>
      <c r="AR217" s="32"/>
      <c r="AV217" s="32"/>
      <c r="AW217" s="26"/>
      <c r="AX217" s="32"/>
      <c r="BG217" s="32"/>
      <c r="BJ217" s="32"/>
      <c r="BM217" s="32"/>
      <c r="BN217" s="391"/>
      <c r="BR217" s="56"/>
      <c r="BS217" s="57"/>
      <c r="BT217" s="57"/>
      <c r="CA217" s="700"/>
      <c r="CB217" s="700"/>
      <c r="CD217" s="26"/>
      <c r="CE217" s="33"/>
      <c r="CF217" s="103"/>
      <c r="CI217" s="32"/>
      <c r="CJ217" s="26"/>
      <c r="CX217" s="794"/>
      <c r="CY217" s="794"/>
      <c r="DR217" s="439"/>
      <c r="EL217" s="439"/>
      <c r="EM217" s="439"/>
      <c r="EN217" s="711"/>
      <c r="EP217" s="439"/>
      <c r="EQ217" s="439"/>
      <c r="ER217" s="439"/>
      <c r="ES217" s="439"/>
      <c r="ET217" s="439"/>
      <c r="EU217" s="672"/>
      <c r="EX217" s="32"/>
      <c r="FH217" s="38"/>
      <c r="FI217" s="38"/>
      <c r="FJ217" s="38"/>
      <c r="FK217" s="38"/>
      <c r="FL217" s="38"/>
      <c r="FM217" s="38"/>
      <c r="FN217" s="38"/>
      <c r="FO217" s="38"/>
      <c r="HN217" s="38"/>
      <c r="HO217" s="38"/>
      <c r="HP217" s="38"/>
      <c r="HQ217" s="38"/>
      <c r="HR217" s="38"/>
      <c r="HS217" s="38"/>
      <c r="HT217" s="38"/>
      <c r="HU217" s="38"/>
    </row>
    <row r="218" spans="1:229" s="27" customFormat="1" ht="12.75">
      <c r="A218" s="26"/>
      <c r="B218" s="26"/>
      <c r="C218" s="26"/>
      <c r="D218" s="26"/>
      <c r="E218" s="26"/>
      <c r="F218" s="26"/>
      <c r="G218" s="31"/>
      <c r="I218" s="32"/>
      <c r="K218" s="53"/>
      <c r="L218" s="52"/>
      <c r="M218" s="33"/>
      <c r="N218" s="33"/>
      <c r="O218" s="33"/>
      <c r="P218" s="26"/>
      <c r="Q218" s="33"/>
      <c r="R218" s="33"/>
      <c r="S218" s="26"/>
      <c r="T218" s="26"/>
      <c r="U218" s="26"/>
      <c r="V218" s="26"/>
      <c r="W218" s="26"/>
      <c r="X218" s="106"/>
      <c r="Y218" s="33"/>
      <c r="Z218" s="89"/>
      <c r="AA218" s="26"/>
      <c r="AB218" s="26"/>
      <c r="AC218" s="26"/>
      <c r="AD218" s="26"/>
      <c r="AE218" s="26"/>
      <c r="AF218" s="26"/>
      <c r="AG218" s="87"/>
      <c r="AH218" s="33"/>
      <c r="AI218" s="33"/>
      <c r="AJ218" s="33"/>
      <c r="AK218" s="32"/>
      <c r="AL218" s="35"/>
      <c r="AM218" s="35"/>
      <c r="AN218" s="32"/>
      <c r="AO218" s="32"/>
      <c r="AP218" s="775"/>
      <c r="AQ218" s="775"/>
      <c r="AR218" s="32"/>
      <c r="AV218" s="32"/>
      <c r="AW218" s="26"/>
      <c r="AX218" s="32"/>
      <c r="BG218" s="32"/>
      <c r="BJ218" s="32"/>
      <c r="BM218" s="32"/>
      <c r="BN218" s="391"/>
      <c r="BR218" s="56"/>
      <c r="BS218" s="57"/>
      <c r="BT218" s="57"/>
      <c r="CA218" s="700"/>
      <c r="CB218" s="700"/>
      <c r="CD218" s="26"/>
      <c r="CE218" s="33"/>
      <c r="CF218" s="103"/>
      <c r="CI218" s="32"/>
      <c r="CJ218" s="26"/>
      <c r="CX218" s="794"/>
      <c r="CY218" s="794"/>
      <c r="DR218" s="439"/>
      <c r="EL218" s="439"/>
      <c r="EM218" s="439"/>
      <c r="EN218" s="711"/>
      <c r="EP218" s="439"/>
      <c r="EQ218" s="439"/>
      <c r="ER218" s="439"/>
      <c r="ES218" s="439"/>
      <c r="ET218" s="439"/>
      <c r="EU218" s="672"/>
      <c r="EX218" s="32"/>
      <c r="FH218" s="38"/>
      <c r="FI218" s="38"/>
      <c r="FJ218" s="38"/>
      <c r="FK218" s="38"/>
      <c r="FL218" s="38"/>
      <c r="FM218" s="38"/>
      <c r="FN218" s="38"/>
      <c r="FO218" s="38"/>
      <c r="HN218" s="38"/>
      <c r="HO218" s="38"/>
      <c r="HP218" s="38"/>
      <c r="HQ218" s="38"/>
      <c r="HR218" s="38"/>
      <c r="HS218" s="38"/>
      <c r="HT218" s="38"/>
      <c r="HU218" s="38"/>
    </row>
    <row r="219" spans="1:229" s="27" customFormat="1" ht="12.75">
      <c r="A219" s="26"/>
      <c r="B219" s="26"/>
      <c r="C219" s="26"/>
      <c r="D219" s="26"/>
      <c r="E219" s="26"/>
      <c r="F219" s="26"/>
      <c r="G219" s="31"/>
      <c r="I219" s="32"/>
      <c r="K219" s="53"/>
      <c r="L219" s="52"/>
      <c r="M219" s="33"/>
      <c r="N219" s="33"/>
      <c r="O219" s="33"/>
      <c r="P219" s="26"/>
      <c r="Q219" s="33"/>
      <c r="R219" s="33"/>
      <c r="S219" s="26"/>
      <c r="T219" s="26"/>
      <c r="U219" s="26"/>
      <c r="V219" s="26"/>
      <c r="W219" s="26"/>
      <c r="X219" s="106"/>
      <c r="Y219" s="33"/>
      <c r="Z219" s="89"/>
      <c r="AA219" s="26"/>
      <c r="AB219" s="26"/>
      <c r="AC219" s="26"/>
      <c r="AD219" s="26"/>
      <c r="AE219" s="26"/>
      <c r="AF219" s="26"/>
      <c r="AG219" s="87"/>
      <c r="AH219" s="33"/>
      <c r="AI219" s="33"/>
      <c r="AJ219" s="33"/>
      <c r="AK219" s="32"/>
      <c r="AL219" s="35"/>
      <c r="AM219" s="35"/>
      <c r="AN219" s="32"/>
      <c r="AO219" s="32"/>
      <c r="AP219" s="775"/>
      <c r="AQ219" s="775"/>
      <c r="AR219" s="32"/>
      <c r="AV219" s="32"/>
      <c r="AW219" s="26"/>
      <c r="AX219" s="32"/>
      <c r="BG219" s="32"/>
      <c r="BJ219" s="32"/>
      <c r="BM219" s="32"/>
      <c r="BN219" s="391"/>
      <c r="BR219" s="56"/>
      <c r="BS219" s="57"/>
      <c r="BT219" s="57"/>
      <c r="CA219" s="700"/>
      <c r="CB219" s="700"/>
      <c r="CD219" s="26"/>
      <c r="CE219" s="33"/>
      <c r="CF219" s="103"/>
      <c r="CI219" s="32"/>
      <c r="CJ219" s="26"/>
      <c r="CX219" s="794"/>
      <c r="CY219" s="794"/>
      <c r="DR219" s="439"/>
      <c r="EL219" s="439"/>
      <c r="EM219" s="439"/>
      <c r="EN219" s="711"/>
      <c r="EP219" s="439"/>
      <c r="EQ219" s="439"/>
      <c r="ER219" s="439"/>
      <c r="ES219" s="439"/>
      <c r="ET219" s="439"/>
      <c r="EU219" s="672"/>
      <c r="EX219" s="32"/>
      <c r="FH219" s="38"/>
      <c r="FI219" s="38"/>
      <c r="FJ219" s="38"/>
      <c r="FK219" s="38"/>
      <c r="FL219" s="38"/>
      <c r="FM219" s="38"/>
      <c r="FN219" s="38"/>
      <c r="FO219" s="38"/>
      <c r="HN219" s="38"/>
      <c r="HO219" s="38"/>
      <c r="HP219" s="38"/>
      <c r="HQ219" s="38"/>
      <c r="HR219" s="38"/>
      <c r="HS219" s="38"/>
      <c r="HT219" s="38"/>
      <c r="HU219" s="38"/>
    </row>
    <row r="220" spans="1:229" s="27" customFormat="1" ht="12.75">
      <c r="A220" s="26"/>
      <c r="B220" s="26"/>
      <c r="C220" s="26"/>
      <c r="D220" s="26"/>
      <c r="E220" s="26"/>
      <c r="F220" s="26"/>
      <c r="G220" s="31"/>
      <c r="I220" s="32"/>
      <c r="K220" s="53"/>
      <c r="L220" s="52"/>
      <c r="M220" s="33"/>
      <c r="N220" s="33"/>
      <c r="O220" s="33"/>
      <c r="P220" s="26"/>
      <c r="Q220" s="33"/>
      <c r="R220" s="33"/>
      <c r="S220" s="26"/>
      <c r="T220" s="26"/>
      <c r="U220" s="26"/>
      <c r="V220" s="26"/>
      <c r="W220" s="26"/>
      <c r="X220" s="106"/>
      <c r="Y220" s="33"/>
      <c r="Z220" s="89"/>
      <c r="AA220" s="26"/>
      <c r="AB220" s="26"/>
      <c r="AC220" s="26"/>
      <c r="AD220" s="26"/>
      <c r="AE220" s="26"/>
      <c r="AF220" s="26"/>
      <c r="AG220" s="87"/>
      <c r="AH220" s="33"/>
      <c r="AI220" s="33"/>
      <c r="AJ220" s="33"/>
      <c r="AK220" s="32"/>
      <c r="AL220" s="35"/>
      <c r="AM220" s="35"/>
      <c r="AN220" s="32"/>
      <c r="AO220" s="32"/>
      <c r="AP220" s="775"/>
      <c r="AQ220" s="775"/>
      <c r="AR220" s="32"/>
      <c r="AV220" s="32"/>
      <c r="AW220" s="26"/>
      <c r="AX220" s="32"/>
      <c r="BG220" s="32"/>
      <c r="BJ220" s="32"/>
      <c r="BM220" s="32"/>
      <c r="BN220" s="391"/>
      <c r="BR220" s="56"/>
      <c r="BS220" s="57"/>
      <c r="BT220" s="57"/>
      <c r="CA220" s="700"/>
      <c r="CB220" s="700"/>
      <c r="CD220" s="26"/>
      <c r="CE220" s="33"/>
      <c r="CF220" s="103"/>
      <c r="CI220" s="32"/>
      <c r="CJ220" s="26"/>
      <c r="CX220" s="794"/>
      <c r="CY220" s="794"/>
      <c r="DR220" s="439"/>
      <c r="EL220" s="439"/>
      <c r="EM220" s="439"/>
      <c r="EN220" s="711"/>
      <c r="EP220" s="439"/>
      <c r="EQ220" s="439"/>
      <c r="ER220" s="439"/>
      <c r="ES220" s="439"/>
      <c r="ET220" s="439"/>
      <c r="EU220" s="672"/>
      <c r="EX220" s="32"/>
      <c r="FH220" s="38"/>
      <c r="FI220" s="38"/>
      <c r="FJ220" s="38"/>
      <c r="FK220" s="38"/>
      <c r="FL220" s="38"/>
      <c r="FM220" s="38"/>
      <c r="FN220" s="38"/>
      <c r="FO220" s="38"/>
      <c r="HN220" s="38"/>
      <c r="HO220" s="38"/>
      <c r="HP220" s="38"/>
      <c r="HQ220" s="38"/>
      <c r="HR220" s="38"/>
      <c r="HS220" s="38"/>
      <c r="HT220" s="38"/>
      <c r="HU220" s="38"/>
    </row>
    <row r="221" spans="1:229" s="27" customFormat="1" ht="12.75">
      <c r="A221" s="26"/>
      <c r="B221" s="26"/>
      <c r="C221" s="26"/>
      <c r="D221" s="26"/>
      <c r="E221" s="26"/>
      <c r="F221" s="26"/>
      <c r="G221" s="31"/>
      <c r="I221" s="32"/>
      <c r="K221" s="53"/>
      <c r="L221" s="52"/>
      <c r="M221" s="33"/>
      <c r="N221" s="33"/>
      <c r="O221" s="33"/>
      <c r="P221" s="26"/>
      <c r="Q221" s="33"/>
      <c r="R221" s="33"/>
      <c r="S221" s="26"/>
      <c r="T221" s="26"/>
      <c r="U221" s="26"/>
      <c r="V221" s="26"/>
      <c r="W221" s="26"/>
      <c r="X221" s="106"/>
      <c r="Y221" s="33"/>
      <c r="Z221" s="89"/>
      <c r="AA221" s="26"/>
      <c r="AB221" s="26"/>
      <c r="AC221" s="26"/>
      <c r="AD221" s="26"/>
      <c r="AE221" s="26"/>
      <c r="AF221" s="26"/>
      <c r="AG221" s="87"/>
      <c r="AH221" s="33"/>
      <c r="AI221" s="33"/>
      <c r="AJ221" s="33"/>
      <c r="AK221" s="32"/>
      <c r="AL221" s="35"/>
      <c r="AM221" s="35"/>
      <c r="AN221" s="32"/>
      <c r="AO221" s="32"/>
      <c r="AP221" s="775"/>
      <c r="AQ221" s="775"/>
      <c r="AR221" s="32"/>
      <c r="AV221" s="32"/>
      <c r="AW221" s="26"/>
      <c r="AX221" s="32"/>
      <c r="BG221" s="32"/>
      <c r="BJ221" s="32"/>
      <c r="BM221" s="32"/>
      <c r="BN221" s="391"/>
      <c r="BR221" s="56"/>
      <c r="BS221" s="57"/>
      <c r="BT221" s="57"/>
      <c r="CA221" s="700"/>
      <c r="CB221" s="700"/>
      <c r="CD221" s="26"/>
      <c r="CE221" s="33"/>
      <c r="CF221" s="103"/>
      <c r="CI221" s="32"/>
      <c r="CJ221" s="26"/>
      <c r="CX221" s="794"/>
      <c r="CY221" s="794"/>
      <c r="DR221" s="439"/>
      <c r="EL221" s="439"/>
      <c r="EM221" s="439"/>
      <c r="EN221" s="711"/>
      <c r="EP221" s="439"/>
      <c r="EQ221" s="439"/>
      <c r="ER221" s="439"/>
      <c r="ES221" s="439"/>
      <c r="ET221" s="439"/>
      <c r="EU221" s="672"/>
      <c r="EX221" s="32"/>
      <c r="FH221" s="38"/>
      <c r="FI221" s="38"/>
      <c r="FJ221" s="38"/>
      <c r="FK221" s="38"/>
      <c r="FL221" s="38"/>
      <c r="FM221" s="38"/>
      <c r="FN221" s="38"/>
      <c r="FO221" s="38"/>
      <c r="HN221" s="38"/>
      <c r="HO221" s="38"/>
      <c r="HP221" s="38"/>
      <c r="HQ221" s="38"/>
      <c r="HR221" s="38"/>
      <c r="HS221" s="38"/>
      <c r="HT221" s="38"/>
      <c r="HU221" s="38"/>
    </row>
    <row r="222" spans="1:229" s="27" customFormat="1" ht="12.75">
      <c r="A222" s="26"/>
      <c r="B222" s="26"/>
      <c r="C222" s="26"/>
      <c r="D222" s="26"/>
      <c r="E222" s="26"/>
      <c r="F222" s="26"/>
      <c r="G222" s="31"/>
      <c r="I222" s="32"/>
      <c r="K222" s="53"/>
      <c r="L222" s="52"/>
      <c r="M222" s="33"/>
      <c r="N222" s="33"/>
      <c r="O222" s="33"/>
      <c r="P222" s="26"/>
      <c r="Q222" s="33"/>
      <c r="R222" s="33"/>
      <c r="S222" s="26"/>
      <c r="T222" s="26"/>
      <c r="U222" s="26"/>
      <c r="V222" s="26"/>
      <c r="W222" s="26"/>
      <c r="X222" s="106"/>
      <c r="Y222" s="33"/>
      <c r="Z222" s="89"/>
      <c r="AA222" s="26"/>
      <c r="AB222" s="26"/>
      <c r="AC222" s="26"/>
      <c r="AD222" s="26"/>
      <c r="AE222" s="26"/>
      <c r="AF222" s="26"/>
      <c r="AG222" s="87"/>
      <c r="AH222" s="33"/>
      <c r="AI222" s="33"/>
      <c r="AJ222" s="33"/>
      <c r="AK222" s="32"/>
      <c r="AL222" s="35"/>
      <c r="AM222" s="35"/>
      <c r="AN222" s="32"/>
      <c r="AO222" s="32"/>
      <c r="AP222" s="775"/>
      <c r="AQ222" s="775"/>
      <c r="AR222" s="32"/>
      <c r="AV222" s="32"/>
      <c r="AW222" s="26"/>
      <c r="AX222" s="32"/>
      <c r="BG222" s="32"/>
      <c r="BJ222" s="32"/>
      <c r="BM222" s="32"/>
      <c r="BN222" s="391"/>
      <c r="BR222" s="56"/>
      <c r="BS222" s="57"/>
      <c r="BT222" s="57"/>
      <c r="CA222" s="700"/>
      <c r="CB222" s="700"/>
      <c r="CD222" s="26"/>
      <c r="CE222" s="33"/>
      <c r="CF222" s="103"/>
      <c r="CI222" s="32"/>
      <c r="CJ222" s="26"/>
      <c r="CX222" s="794"/>
      <c r="CY222" s="794"/>
      <c r="DR222" s="439"/>
      <c r="EL222" s="439"/>
      <c r="EM222" s="439"/>
      <c r="EN222" s="711"/>
      <c r="EP222" s="439"/>
      <c r="EQ222" s="439"/>
      <c r="ER222" s="439"/>
      <c r="ES222" s="439"/>
      <c r="ET222" s="439"/>
      <c r="EU222" s="672"/>
      <c r="EX222" s="32"/>
      <c r="FH222" s="38"/>
      <c r="FI222" s="38"/>
      <c r="FJ222" s="38"/>
      <c r="FK222" s="38"/>
      <c r="FL222" s="38"/>
      <c r="FM222" s="38"/>
      <c r="FN222" s="38"/>
      <c r="FO222" s="38"/>
      <c r="HN222" s="38"/>
      <c r="HO222" s="38"/>
      <c r="HP222" s="38"/>
      <c r="HQ222" s="38"/>
      <c r="HR222" s="38"/>
      <c r="HS222" s="38"/>
      <c r="HT222" s="38"/>
      <c r="HU222" s="38"/>
    </row>
    <row r="223" spans="1:229" s="27" customFormat="1" ht="12.75">
      <c r="A223" s="26"/>
      <c r="B223" s="26"/>
      <c r="C223" s="26"/>
      <c r="D223" s="26"/>
      <c r="E223" s="26"/>
      <c r="F223" s="26"/>
      <c r="G223" s="31"/>
      <c r="I223" s="32"/>
      <c r="K223" s="53"/>
      <c r="L223" s="52"/>
      <c r="M223" s="33"/>
      <c r="N223" s="33"/>
      <c r="O223" s="33"/>
      <c r="P223" s="26"/>
      <c r="Q223" s="33"/>
      <c r="R223" s="33"/>
      <c r="S223" s="26"/>
      <c r="T223" s="26"/>
      <c r="U223" s="26"/>
      <c r="V223" s="26"/>
      <c r="W223" s="26"/>
      <c r="X223" s="106"/>
      <c r="Y223" s="33"/>
      <c r="Z223" s="89"/>
      <c r="AA223" s="26"/>
      <c r="AB223" s="26"/>
      <c r="AC223" s="26"/>
      <c r="AD223" s="26"/>
      <c r="AE223" s="26"/>
      <c r="AF223" s="26"/>
      <c r="AG223" s="87"/>
      <c r="AH223" s="33"/>
      <c r="AI223" s="33"/>
      <c r="AJ223" s="33"/>
      <c r="AK223" s="32"/>
      <c r="AL223" s="35"/>
      <c r="AM223" s="35"/>
      <c r="AN223" s="32"/>
      <c r="AO223" s="32"/>
      <c r="AP223" s="775"/>
      <c r="AQ223" s="775"/>
      <c r="AR223" s="32"/>
      <c r="AV223" s="32"/>
      <c r="AW223" s="26"/>
      <c r="AX223" s="32"/>
      <c r="BG223" s="32"/>
      <c r="BJ223" s="32"/>
      <c r="BM223" s="32"/>
      <c r="BN223" s="391"/>
      <c r="BR223" s="56"/>
      <c r="BS223" s="57"/>
      <c r="BT223" s="57"/>
      <c r="CA223" s="700"/>
      <c r="CB223" s="700"/>
      <c r="CD223" s="26"/>
      <c r="CE223" s="33"/>
      <c r="CF223" s="103"/>
      <c r="CI223" s="32"/>
      <c r="CJ223" s="26"/>
      <c r="CX223" s="794"/>
      <c r="CY223" s="794"/>
      <c r="DR223" s="439"/>
      <c r="EL223" s="439"/>
      <c r="EM223" s="439"/>
      <c r="EN223" s="711"/>
      <c r="EP223" s="439"/>
      <c r="EQ223" s="439"/>
      <c r="ER223" s="439"/>
      <c r="ES223" s="439"/>
      <c r="ET223" s="439"/>
      <c r="EU223" s="672"/>
      <c r="EX223" s="32"/>
      <c r="FH223" s="38"/>
      <c r="FI223" s="38"/>
      <c r="FJ223" s="38"/>
      <c r="FK223" s="38"/>
      <c r="FL223" s="38"/>
      <c r="FM223" s="38"/>
      <c r="FN223" s="38"/>
      <c r="FO223" s="38"/>
      <c r="HN223" s="38"/>
      <c r="HO223" s="38"/>
      <c r="HP223" s="38"/>
      <c r="HQ223" s="38"/>
      <c r="HR223" s="38"/>
      <c r="HS223" s="38"/>
      <c r="HT223" s="38"/>
      <c r="HU223" s="38"/>
    </row>
    <row r="224" spans="1:229" s="27" customFormat="1" ht="12.75">
      <c r="A224" s="26"/>
      <c r="B224" s="26"/>
      <c r="C224" s="26"/>
      <c r="D224" s="26"/>
      <c r="E224" s="26"/>
      <c r="F224" s="26"/>
      <c r="G224" s="31"/>
      <c r="I224" s="32"/>
      <c r="K224" s="53"/>
      <c r="L224" s="52"/>
      <c r="M224" s="33"/>
      <c r="N224" s="33"/>
      <c r="O224" s="33"/>
      <c r="P224" s="26"/>
      <c r="Q224" s="33"/>
      <c r="R224" s="33"/>
      <c r="S224" s="26"/>
      <c r="T224" s="26"/>
      <c r="U224" s="26"/>
      <c r="V224" s="26"/>
      <c r="W224" s="26"/>
      <c r="X224" s="106"/>
      <c r="Y224" s="33"/>
      <c r="Z224" s="89"/>
      <c r="AA224" s="26"/>
      <c r="AB224" s="26"/>
      <c r="AC224" s="26"/>
      <c r="AD224" s="26"/>
      <c r="AE224" s="26"/>
      <c r="AF224" s="26"/>
      <c r="AG224" s="87"/>
      <c r="AH224" s="33"/>
      <c r="AI224" s="33"/>
      <c r="AJ224" s="33"/>
      <c r="AK224" s="32"/>
      <c r="AL224" s="35"/>
      <c r="AM224" s="35"/>
      <c r="AN224" s="32"/>
      <c r="AO224" s="32"/>
      <c r="AP224" s="775"/>
      <c r="AQ224" s="775"/>
      <c r="AR224" s="32"/>
      <c r="AV224" s="32"/>
      <c r="AW224" s="26"/>
      <c r="AX224" s="32"/>
      <c r="BG224" s="32"/>
      <c r="BJ224" s="32"/>
      <c r="BM224" s="32"/>
      <c r="BN224" s="391"/>
      <c r="BR224" s="56"/>
      <c r="BS224" s="57"/>
      <c r="BT224" s="57"/>
      <c r="CA224" s="700"/>
      <c r="CB224" s="700"/>
      <c r="CD224" s="26"/>
      <c r="CE224" s="33"/>
      <c r="CF224" s="103"/>
      <c r="CI224" s="32"/>
      <c r="CJ224" s="26"/>
      <c r="CX224" s="794"/>
      <c r="CY224" s="794"/>
      <c r="DR224" s="439"/>
      <c r="EL224" s="439"/>
      <c r="EM224" s="439"/>
      <c r="EN224" s="711"/>
      <c r="EP224" s="439"/>
      <c r="EQ224" s="439"/>
      <c r="ER224" s="439"/>
      <c r="ES224" s="439"/>
      <c r="ET224" s="439"/>
      <c r="EU224" s="672"/>
      <c r="EX224" s="32"/>
      <c r="FH224" s="38"/>
      <c r="FI224" s="38"/>
      <c r="FJ224" s="38"/>
      <c r="FK224" s="38"/>
      <c r="FL224" s="38"/>
      <c r="FM224" s="38"/>
      <c r="FN224" s="38"/>
      <c r="FO224" s="38"/>
      <c r="HN224" s="38"/>
      <c r="HO224" s="38"/>
      <c r="HP224" s="38"/>
      <c r="HQ224" s="38"/>
      <c r="HR224" s="38"/>
      <c r="HS224" s="38"/>
      <c r="HT224" s="38"/>
      <c r="HU224" s="38"/>
    </row>
    <row r="225" spans="1:229" s="27" customFormat="1" ht="12.75">
      <c r="A225" s="26"/>
      <c r="B225" s="26"/>
      <c r="C225" s="26"/>
      <c r="D225" s="26"/>
      <c r="E225" s="26"/>
      <c r="F225" s="26"/>
      <c r="G225" s="31"/>
      <c r="I225" s="32"/>
      <c r="K225" s="53"/>
      <c r="L225" s="52"/>
      <c r="M225" s="33"/>
      <c r="N225" s="33"/>
      <c r="O225" s="33"/>
      <c r="P225" s="26"/>
      <c r="Q225" s="33"/>
      <c r="R225" s="33"/>
      <c r="S225" s="26"/>
      <c r="T225" s="26"/>
      <c r="U225" s="26"/>
      <c r="V225" s="26"/>
      <c r="W225" s="26"/>
      <c r="X225" s="106"/>
      <c r="Y225" s="33"/>
      <c r="Z225" s="89"/>
      <c r="AA225" s="26"/>
      <c r="AB225" s="26"/>
      <c r="AC225" s="26"/>
      <c r="AD225" s="26"/>
      <c r="AE225" s="26"/>
      <c r="AF225" s="26"/>
      <c r="AG225" s="87"/>
      <c r="AH225" s="33"/>
      <c r="AI225" s="33"/>
      <c r="AJ225" s="33"/>
      <c r="AK225" s="32"/>
      <c r="AL225" s="35"/>
      <c r="AM225" s="35"/>
      <c r="AN225" s="32"/>
      <c r="AO225" s="32"/>
      <c r="AP225" s="775"/>
      <c r="AQ225" s="775"/>
      <c r="AR225" s="32"/>
      <c r="AV225" s="32"/>
      <c r="AW225" s="26"/>
      <c r="AX225" s="32"/>
      <c r="BG225" s="32"/>
      <c r="BJ225" s="32"/>
      <c r="BM225" s="32"/>
      <c r="BN225" s="391"/>
      <c r="BR225" s="56"/>
      <c r="BS225" s="57"/>
      <c r="BT225" s="57"/>
      <c r="CA225" s="700"/>
      <c r="CB225" s="700"/>
      <c r="CD225" s="26"/>
      <c r="CE225" s="33"/>
      <c r="CF225" s="103"/>
      <c r="CI225" s="32"/>
      <c r="CJ225" s="26"/>
      <c r="CX225" s="794"/>
      <c r="CY225" s="794"/>
      <c r="DR225" s="439"/>
      <c r="EL225" s="439"/>
      <c r="EM225" s="439"/>
      <c r="EN225" s="711"/>
      <c r="EP225" s="439"/>
      <c r="EQ225" s="439"/>
      <c r="ER225" s="439"/>
      <c r="ES225" s="439"/>
      <c r="ET225" s="439"/>
      <c r="EU225" s="672"/>
      <c r="EX225" s="32"/>
      <c r="FH225" s="38"/>
      <c r="FI225" s="38"/>
      <c r="FJ225" s="38"/>
      <c r="FK225" s="38"/>
      <c r="FL225" s="38"/>
      <c r="FM225" s="38"/>
      <c r="FN225" s="38"/>
      <c r="FO225" s="38"/>
      <c r="HN225" s="38"/>
      <c r="HO225" s="38"/>
      <c r="HP225" s="38"/>
      <c r="HQ225" s="38"/>
      <c r="HR225" s="38"/>
      <c r="HS225" s="38"/>
      <c r="HT225" s="38"/>
      <c r="HU225" s="38"/>
    </row>
    <row r="226" spans="1:229" s="27" customFormat="1" ht="12.75">
      <c r="A226" s="26"/>
      <c r="B226" s="26"/>
      <c r="C226" s="26"/>
      <c r="D226" s="26"/>
      <c r="E226" s="26"/>
      <c r="F226" s="26"/>
      <c r="G226" s="31"/>
      <c r="I226" s="32"/>
      <c r="K226" s="53"/>
      <c r="L226" s="52"/>
      <c r="M226" s="33"/>
      <c r="N226" s="33"/>
      <c r="O226" s="33"/>
      <c r="P226" s="26"/>
      <c r="Q226" s="33"/>
      <c r="R226" s="33"/>
      <c r="S226" s="26"/>
      <c r="T226" s="26"/>
      <c r="U226" s="26"/>
      <c r="V226" s="26"/>
      <c r="W226" s="26"/>
      <c r="X226" s="106"/>
      <c r="Y226" s="33"/>
      <c r="Z226" s="89"/>
      <c r="AA226" s="26"/>
      <c r="AB226" s="26"/>
      <c r="AC226" s="26"/>
      <c r="AD226" s="26"/>
      <c r="AE226" s="26"/>
      <c r="AF226" s="26"/>
      <c r="AG226" s="87"/>
      <c r="AH226" s="33"/>
      <c r="AI226" s="33"/>
      <c r="AJ226" s="33"/>
      <c r="AK226" s="32"/>
      <c r="AL226" s="35"/>
      <c r="AM226" s="35"/>
      <c r="AN226" s="32"/>
      <c r="AO226" s="32"/>
      <c r="AP226" s="775"/>
      <c r="AQ226" s="775"/>
      <c r="AR226" s="32"/>
      <c r="AV226" s="32"/>
      <c r="AW226" s="26"/>
      <c r="AX226" s="32"/>
      <c r="BG226" s="32"/>
      <c r="BJ226" s="32"/>
      <c r="BM226" s="32"/>
      <c r="BN226" s="391"/>
      <c r="BR226" s="56"/>
      <c r="BS226" s="57"/>
      <c r="BT226" s="57"/>
      <c r="CA226" s="700"/>
      <c r="CB226" s="700"/>
      <c r="CD226" s="26"/>
      <c r="CE226" s="33"/>
      <c r="CF226" s="103"/>
      <c r="CI226" s="32"/>
      <c r="CJ226" s="26"/>
      <c r="CX226" s="794"/>
      <c r="CY226" s="794"/>
      <c r="DR226" s="439"/>
      <c r="EL226" s="439"/>
      <c r="EM226" s="439"/>
      <c r="EN226" s="711"/>
      <c r="EP226" s="439"/>
      <c r="EQ226" s="439"/>
      <c r="ER226" s="439"/>
      <c r="ES226" s="439"/>
      <c r="ET226" s="439"/>
      <c r="EU226" s="672"/>
      <c r="EX226" s="32"/>
      <c r="FH226" s="38"/>
      <c r="FI226" s="38"/>
      <c r="FJ226" s="38"/>
      <c r="FK226" s="38"/>
      <c r="FL226" s="38"/>
      <c r="FM226" s="38"/>
      <c r="FN226" s="38"/>
      <c r="FO226" s="38"/>
      <c r="HN226" s="38"/>
      <c r="HO226" s="38"/>
      <c r="HP226" s="38"/>
      <c r="HQ226" s="38"/>
      <c r="HR226" s="38"/>
      <c r="HS226" s="38"/>
      <c r="HT226" s="38"/>
      <c r="HU226" s="38"/>
    </row>
    <row r="227" spans="1:229" s="27" customFormat="1" ht="12.75">
      <c r="A227" s="26"/>
      <c r="B227" s="26"/>
      <c r="C227" s="26"/>
      <c r="D227" s="26"/>
      <c r="E227" s="26"/>
      <c r="F227" s="26"/>
      <c r="G227" s="31"/>
      <c r="I227" s="32"/>
      <c r="K227" s="53"/>
      <c r="L227" s="52"/>
      <c r="M227" s="33"/>
      <c r="N227" s="33"/>
      <c r="O227" s="33"/>
      <c r="P227" s="26"/>
      <c r="Q227" s="33"/>
      <c r="R227" s="33"/>
      <c r="S227" s="26"/>
      <c r="T227" s="26"/>
      <c r="U227" s="26"/>
      <c r="V227" s="26"/>
      <c r="W227" s="26"/>
      <c r="X227" s="106"/>
      <c r="Y227" s="33"/>
      <c r="Z227" s="89"/>
      <c r="AA227" s="26"/>
      <c r="AB227" s="26"/>
      <c r="AC227" s="26"/>
      <c r="AD227" s="26"/>
      <c r="AE227" s="26"/>
      <c r="AF227" s="26"/>
      <c r="AG227" s="87"/>
      <c r="AH227" s="33"/>
      <c r="AI227" s="33"/>
      <c r="AJ227" s="33"/>
      <c r="AK227" s="32"/>
      <c r="AL227" s="35"/>
      <c r="AM227" s="35"/>
      <c r="AN227" s="32"/>
      <c r="AO227" s="32"/>
      <c r="AP227" s="775"/>
      <c r="AQ227" s="775"/>
      <c r="AR227" s="32"/>
      <c r="AV227" s="32"/>
      <c r="AW227" s="26"/>
      <c r="AX227" s="32"/>
      <c r="BG227" s="32"/>
      <c r="BJ227" s="32"/>
      <c r="BM227" s="32"/>
      <c r="BN227" s="391"/>
      <c r="BR227" s="56"/>
      <c r="BS227" s="57"/>
      <c r="BT227" s="57"/>
      <c r="CA227" s="700"/>
      <c r="CB227" s="700"/>
      <c r="CD227" s="26"/>
      <c r="CE227" s="33"/>
      <c r="CF227" s="103"/>
      <c r="CI227" s="32"/>
      <c r="CJ227" s="26"/>
      <c r="CX227" s="794"/>
      <c r="CY227" s="794"/>
      <c r="DR227" s="439"/>
      <c r="EL227" s="439"/>
      <c r="EM227" s="439"/>
      <c r="EN227" s="711"/>
      <c r="EP227" s="439"/>
      <c r="EQ227" s="439"/>
      <c r="ER227" s="439"/>
      <c r="ES227" s="439"/>
      <c r="ET227" s="439"/>
      <c r="EU227" s="672"/>
      <c r="EX227" s="32"/>
      <c r="FH227" s="38"/>
      <c r="FI227" s="38"/>
      <c r="FJ227" s="38"/>
      <c r="FK227" s="38"/>
      <c r="FL227" s="38"/>
      <c r="FM227" s="38"/>
      <c r="FN227" s="38"/>
      <c r="FO227" s="38"/>
      <c r="HN227" s="38"/>
      <c r="HO227" s="38"/>
      <c r="HP227" s="38"/>
      <c r="HQ227" s="38"/>
      <c r="HR227" s="38"/>
      <c r="HS227" s="38"/>
      <c r="HT227" s="38"/>
      <c r="HU227" s="38"/>
    </row>
    <row r="228" spans="1:229" s="27" customFormat="1" ht="12.75">
      <c r="A228" s="26"/>
      <c r="B228" s="26"/>
      <c r="C228" s="26"/>
      <c r="D228" s="26"/>
      <c r="E228" s="26"/>
      <c r="F228" s="26"/>
      <c r="G228" s="31"/>
      <c r="I228" s="32"/>
      <c r="K228" s="53"/>
      <c r="L228" s="52"/>
      <c r="M228" s="33"/>
      <c r="N228" s="33"/>
      <c r="O228" s="33"/>
      <c r="P228" s="26"/>
      <c r="Q228" s="33"/>
      <c r="R228" s="33"/>
      <c r="S228" s="26"/>
      <c r="T228" s="26"/>
      <c r="U228" s="26"/>
      <c r="V228" s="26"/>
      <c r="W228" s="26"/>
      <c r="X228" s="106"/>
      <c r="Y228" s="33"/>
      <c r="Z228" s="89"/>
      <c r="AA228" s="26"/>
      <c r="AB228" s="26"/>
      <c r="AC228" s="26"/>
      <c r="AD228" s="26"/>
      <c r="AE228" s="26"/>
      <c r="AF228" s="26"/>
      <c r="AG228" s="87"/>
      <c r="AH228" s="33"/>
      <c r="AI228" s="33"/>
      <c r="AJ228" s="33"/>
      <c r="AK228" s="32"/>
      <c r="AL228" s="35"/>
      <c r="AM228" s="35"/>
      <c r="AN228" s="32"/>
      <c r="AO228" s="32"/>
      <c r="AP228" s="775"/>
      <c r="AQ228" s="775"/>
      <c r="AR228" s="32"/>
      <c r="AV228" s="32"/>
      <c r="AW228" s="26"/>
      <c r="AX228" s="32"/>
      <c r="BG228" s="32"/>
      <c r="BJ228" s="32"/>
      <c r="BM228" s="32"/>
      <c r="BN228" s="391"/>
      <c r="BR228" s="56"/>
      <c r="BS228" s="57"/>
      <c r="BT228" s="57"/>
      <c r="CA228" s="700"/>
      <c r="CB228" s="700"/>
      <c r="CD228" s="26"/>
      <c r="CE228" s="33"/>
      <c r="CF228" s="103"/>
      <c r="CI228" s="32"/>
      <c r="CJ228" s="26"/>
      <c r="CX228" s="794"/>
      <c r="CY228" s="794"/>
      <c r="DR228" s="439"/>
      <c r="EL228" s="439"/>
      <c r="EM228" s="439"/>
      <c r="EN228" s="711"/>
      <c r="EP228" s="439"/>
      <c r="EQ228" s="439"/>
      <c r="ER228" s="439"/>
      <c r="ES228" s="439"/>
      <c r="ET228" s="439"/>
      <c r="EU228" s="672"/>
      <c r="EX228" s="32"/>
      <c r="FH228" s="38"/>
      <c r="FI228" s="38"/>
      <c r="FJ228" s="38"/>
      <c r="FK228" s="38"/>
      <c r="FL228" s="38"/>
      <c r="FM228" s="38"/>
      <c r="FN228" s="38"/>
      <c r="FO228" s="38"/>
      <c r="HN228" s="38"/>
      <c r="HO228" s="38"/>
      <c r="HP228" s="38"/>
      <c r="HQ228" s="38"/>
      <c r="HR228" s="38"/>
      <c r="HS228" s="38"/>
      <c r="HT228" s="38"/>
      <c r="HU228" s="38"/>
    </row>
    <row r="229" spans="1:229" s="27" customFormat="1" ht="12.75">
      <c r="A229" s="26"/>
      <c r="B229" s="26"/>
      <c r="C229" s="26"/>
      <c r="D229" s="26"/>
      <c r="E229" s="26"/>
      <c r="F229" s="26"/>
      <c r="G229" s="31"/>
      <c r="I229" s="32"/>
      <c r="K229" s="53"/>
      <c r="L229" s="52"/>
      <c r="M229" s="33"/>
      <c r="N229" s="33"/>
      <c r="O229" s="33"/>
      <c r="P229" s="26"/>
      <c r="Q229" s="33"/>
      <c r="R229" s="33"/>
      <c r="S229" s="26"/>
      <c r="T229" s="26"/>
      <c r="U229" s="26"/>
      <c r="V229" s="26"/>
      <c r="W229" s="26"/>
      <c r="X229" s="106"/>
      <c r="Y229" s="33"/>
      <c r="Z229" s="89"/>
      <c r="AA229" s="26"/>
      <c r="AB229" s="26"/>
      <c r="AC229" s="26"/>
      <c r="AD229" s="26"/>
      <c r="AE229" s="26"/>
      <c r="AF229" s="26"/>
      <c r="AG229" s="87"/>
      <c r="AH229" s="33"/>
      <c r="AI229" s="33"/>
      <c r="AJ229" s="33"/>
      <c r="AK229" s="32"/>
      <c r="AL229" s="35"/>
      <c r="AM229" s="35"/>
      <c r="AN229" s="32"/>
      <c r="AO229" s="32"/>
      <c r="AP229" s="775"/>
      <c r="AQ229" s="775"/>
      <c r="AR229" s="32"/>
      <c r="AV229" s="32"/>
      <c r="AW229" s="26"/>
      <c r="AX229" s="32"/>
      <c r="BG229" s="32"/>
      <c r="BJ229" s="32"/>
      <c r="BM229" s="32"/>
      <c r="BN229" s="391"/>
      <c r="BR229" s="56"/>
      <c r="BS229" s="57"/>
      <c r="BT229" s="57"/>
      <c r="CA229" s="700"/>
      <c r="CB229" s="700"/>
      <c r="CD229" s="26"/>
      <c r="CE229" s="33"/>
      <c r="CF229" s="103"/>
      <c r="CI229" s="32"/>
      <c r="CJ229" s="26"/>
      <c r="CX229" s="794"/>
      <c r="CY229" s="794"/>
      <c r="DR229" s="439"/>
      <c r="EL229" s="439"/>
      <c r="EM229" s="439"/>
      <c r="EN229" s="711"/>
      <c r="EP229" s="439"/>
      <c r="EQ229" s="439"/>
      <c r="ER229" s="439"/>
      <c r="ES229" s="439"/>
      <c r="ET229" s="439"/>
      <c r="EU229" s="672"/>
      <c r="EX229" s="32"/>
      <c r="FH229" s="38"/>
      <c r="FI229" s="38"/>
      <c r="FJ229" s="38"/>
      <c r="FK229" s="38"/>
      <c r="FL229" s="38"/>
      <c r="FM229" s="38"/>
      <c r="FN229" s="38"/>
      <c r="FO229" s="38"/>
      <c r="HN229" s="38"/>
      <c r="HO229" s="38"/>
      <c r="HP229" s="38"/>
      <c r="HQ229" s="38"/>
      <c r="HR229" s="38"/>
      <c r="HS229" s="38"/>
      <c r="HT229" s="38"/>
      <c r="HU229" s="38"/>
    </row>
    <row r="230" spans="1:229" s="27" customFormat="1" ht="12.75">
      <c r="A230" s="26"/>
      <c r="B230" s="26"/>
      <c r="C230" s="26"/>
      <c r="D230" s="26"/>
      <c r="E230" s="26"/>
      <c r="F230" s="26"/>
      <c r="G230" s="31"/>
      <c r="I230" s="32"/>
      <c r="K230" s="53"/>
      <c r="L230" s="52"/>
      <c r="M230" s="33"/>
      <c r="N230" s="33"/>
      <c r="O230" s="33"/>
      <c r="P230" s="26"/>
      <c r="Q230" s="33"/>
      <c r="R230" s="33"/>
      <c r="S230" s="26"/>
      <c r="T230" s="26"/>
      <c r="U230" s="26"/>
      <c r="V230" s="26"/>
      <c r="W230" s="26"/>
      <c r="X230" s="106"/>
      <c r="Y230" s="33"/>
      <c r="Z230" s="89"/>
      <c r="AA230" s="26"/>
      <c r="AB230" s="26"/>
      <c r="AC230" s="26"/>
      <c r="AD230" s="26"/>
      <c r="AE230" s="26"/>
      <c r="AF230" s="26"/>
      <c r="AG230" s="87"/>
      <c r="AH230" s="33"/>
      <c r="AI230" s="33"/>
      <c r="AJ230" s="33"/>
      <c r="AK230" s="32"/>
      <c r="AL230" s="35"/>
      <c r="AM230" s="35"/>
      <c r="AN230" s="32"/>
      <c r="AO230" s="32"/>
      <c r="AP230" s="775"/>
      <c r="AQ230" s="775"/>
      <c r="AR230" s="32"/>
      <c r="AV230" s="32"/>
      <c r="AW230" s="26"/>
      <c r="AX230" s="32"/>
      <c r="BG230" s="32"/>
      <c r="BJ230" s="32"/>
      <c r="BM230" s="32"/>
      <c r="BN230" s="391"/>
      <c r="BR230" s="56"/>
      <c r="BS230" s="57"/>
      <c r="BT230" s="57"/>
      <c r="CA230" s="700"/>
      <c r="CB230" s="700"/>
      <c r="CD230" s="26"/>
      <c r="CE230" s="33"/>
      <c r="CF230" s="103"/>
      <c r="CI230" s="32"/>
      <c r="CJ230" s="26"/>
      <c r="CX230" s="794"/>
      <c r="CY230" s="794"/>
      <c r="DR230" s="439"/>
      <c r="EL230" s="439"/>
      <c r="EM230" s="439"/>
      <c r="EN230" s="711"/>
      <c r="EP230" s="439"/>
      <c r="EQ230" s="439"/>
      <c r="ER230" s="439"/>
      <c r="ES230" s="439"/>
      <c r="ET230" s="439"/>
      <c r="EU230" s="672"/>
      <c r="EX230" s="32"/>
      <c r="FH230" s="38"/>
      <c r="FI230" s="38"/>
      <c r="FJ230" s="38"/>
      <c r="FK230" s="38"/>
      <c r="FL230" s="38"/>
      <c r="FM230" s="38"/>
      <c r="FN230" s="38"/>
      <c r="FO230" s="38"/>
      <c r="HN230" s="38"/>
      <c r="HO230" s="38"/>
      <c r="HP230" s="38"/>
      <c r="HQ230" s="38"/>
      <c r="HR230" s="38"/>
      <c r="HS230" s="38"/>
      <c r="HT230" s="38"/>
      <c r="HU230" s="38"/>
    </row>
    <row r="231" spans="1:229" s="27" customFormat="1" ht="12.75">
      <c r="A231" s="26"/>
      <c r="B231" s="26"/>
      <c r="C231" s="26"/>
      <c r="D231" s="26"/>
      <c r="E231" s="26"/>
      <c r="F231" s="26"/>
      <c r="G231" s="31"/>
      <c r="I231" s="32"/>
      <c r="K231" s="53"/>
      <c r="L231" s="52"/>
      <c r="M231" s="33"/>
      <c r="N231" s="33"/>
      <c r="O231" s="33"/>
      <c r="P231" s="26"/>
      <c r="Q231" s="33"/>
      <c r="R231" s="33"/>
      <c r="S231" s="26"/>
      <c r="T231" s="26"/>
      <c r="U231" s="26"/>
      <c r="V231" s="26"/>
      <c r="W231" s="26"/>
      <c r="X231" s="106"/>
      <c r="Y231" s="33"/>
      <c r="Z231" s="89"/>
      <c r="AA231" s="26"/>
      <c r="AB231" s="26"/>
      <c r="AC231" s="26"/>
      <c r="AD231" s="26"/>
      <c r="AE231" s="26"/>
      <c r="AF231" s="26"/>
      <c r="AG231" s="87"/>
      <c r="AH231" s="33"/>
      <c r="AI231" s="33"/>
      <c r="AJ231" s="33"/>
      <c r="AK231" s="32"/>
      <c r="AL231" s="35"/>
      <c r="AM231" s="35"/>
      <c r="AN231" s="32"/>
      <c r="AO231" s="32"/>
      <c r="AP231" s="775"/>
      <c r="AQ231" s="775"/>
      <c r="AR231" s="32"/>
      <c r="AV231" s="32"/>
      <c r="AW231" s="26"/>
      <c r="AX231" s="32"/>
      <c r="BG231" s="32"/>
      <c r="BJ231" s="32"/>
      <c r="BM231" s="32"/>
      <c r="BN231" s="391"/>
      <c r="BR231" s="56"/>
      <c r="BS231" s="57"/>
      <c r="BT231" s="57"/>
      <c r="CA231" s="700"/>
      <c r="CB231" s="700"/>
      <c r="CD231" s="26"/>
      <c r="CE231" s="33"/>
      <c r="CF231" s="103"/>
      <c r="CI231" s="32"/>
      <c r="CJ231" s="26"/>
      <c r="CX231" s="794"/>
      <c r="CY231" s="794"/>
      <c r="DR231" s="439"/>
      <c r="EL231" s="439"/>
      <c r="EM231" s="439"/>
      <c r="EN231" s="711"/>
      <c r="EP231" s="439"/>
      <c r="EQ231" s="439"/>
      <c r="ER231" s="439"/>
      <c r="ES231" s="439"/>
      <c r="ET231" s="439"/>
      <c r="EU231" s="672"/>
      <c r="EX231" s="32"/>
      <c r="FH231" s="38"/>
      <c r="FI231" s="38"/>
      <c r="FJ231" s="38"/>
      <c r="FK231" s="38"/>
      <c r="FL231" s="38"/>
      <c r="FM231" s="38"/>
      <c r="FN231" s="38"/>
      <c r="FO231" s="38"/>
      <c r="HN231" s="38"/>
      <c r="HO231" s="38"/>
      <c r="HP231" s="38"/>
      <c r="HQ231" s="38"/>
      <c r="HR231" s="38"/>
      <c r="HS231" s="38"/>
      <c r="HT231" s="38"/>
      <c r="HU231" s="38"/>
    </row>
    <row r="232" spans="1:229" s="27" customFormat="1" ht="12.75">
      <c r="A232" s="26"/>
      <c r="B232" s="26"/>
      <c r="C232" s="26"/>
      <c r="D232" s="26"/>
      <c r="E232" s="26"/>
      <c r="F232" s="26"/>
      <c r="G232" s="31"/>
      <c r="I232" s="32"/>
      <c r="K232" s="53"/>
      <c r="L232" s="52"/>
      <c r="M232" s="33"/>
      <c r="N232" s="33"/>
      <c r="O232" s="33"/>
      <c r="P232" s="26"/>
      <c r="Q232" s="33"/>
      <c r="R232" s="33"/>
      <c r="S232" s="26"/>
      <c r="T232" s="26"/>
      <c r="U232" s="26"/>
      <c r="V232" s="26"/>
      <c r="W232" s="26"/>
      <c r="X232" s="106"/>
      <c r="Y232" s="33"/>
      <c r="Z232" s="89"/>
      <c r="AA232" s="26"/>
      <c r="AB232" s="26"/>
      <c r="AC232" s="26"/>
      <c r="AD232" s="26"/>
      <c r="AE232" s="26"/>
      <c r="AF232" s="26"/>
      <c r="AG232" s="87"/>
      <c r="AH232" s="33"/>
      <c r="AI232" s="33"/>
      <c r="AJ232" s="33"/>
      <c r="AK232" s="32"/>
      <c r="AL232" s="35"/>
      <c r="AM232" s="35"/>
      <c r="AN232" s="32"/>
      <c r="AO232" s="32"/>
      <c r="AP232" s="775"/>
      <c r="AQ232" s="775"/>
      <c r="AR232" s="32"/>
      <c r="AV232" s="32"/>
      <c r="AW232" s="26"/>
      <c r="AX232" s="32"/>
      <c r="BG232" s="32"/>
      <c r="BJ232" s="32"/>
      <c r="BM232" s="32"/>
      <c r="BN232" s="391"/>
      <c r="BR232" s="56"/>
      <c r="BS232" s="57"/>
      <c r="BT232" s="57"/>
      <c r="CA232" s="700"/>
      <c r="CB232" s="700"/>
      <c r="CD232" s="26"/>
      <c r="CE232" s="33"/>
      <c r="CF232" s="103"/>
      <c r="CI232" s="32"/>
      <c r="CJ232" s="26"/>
      <c r="CX232" s="794"/>
      <c r="CY232" s="794"/>
      <c r="DR232" s="439"/>
      <c r="EL232" s="439"/>
      <c r="EM232" s="439"/>
      <c r="EN232" s="711"/>
      <c r="EP232" s="439"/>
      <c r="EQ232" s="439"/>
      <c r="ER232" s="439"/>
      <c r="ES232" s="439"/>
      <c r="ET232" s="439"/>
      <c r="EU232" s="672"/>
      <c r="EX232" s="32"/>
      <c r="FH232" s="38"/>
      <c r="FI232" s="38"/>
      <c r="FJ232" s="38"/>
      <c r="FK232" s="38"/>
      <c r="FL232" s="38"/>
      <c r="FM232" s="38"/>
      <c r="FN232" s="38"/>
      <c r="FO232" s="38"/>
      <c r="HN232" s="38"/>
      <c r="HO232" s="38"/>
      <c r="HP232" s="38"/>
      <c r="HQ232" s="38"/>
      <c r="HR232" s="38"/>
      <c r="HS232" s="38"/>
      <c r="HT232" s="38"/>
      <c r="HU232" s="38"/>
    </row>
    <row r="233" spans="1:229" s="27" customFormat="1" ht="12.75">
      <c r="A233" s="26"/>
      <c r="B233" s="26"/>
      <c r="C233" s="26"/>
      <c r="D233" s="26"/>
      <c r="E233" s="26"/>
      <c r="F233" s="26"/>
      <c r="G233" s="31"/>
      <c r="I233" s="32"/>
      <c r="K233" s="53"/>
      <c r="L233" s="52"/>
      <c r="M233" s="33"/>
      <c r="N233" s="33"/>
      <c r="O233" s="33"/>
      <c r="P233" s="26"/>
      <c r="Q233" s="33"/>
      <c r="R233" s="33"/>
      <c r="S233" s="26"/>
      <c r="T233" s="26"/>
      <c r="U233" s="26"/>
      <c r="V233" s="26"/>
      <c r="W233" s="26"/>
      <c r="X233" s="106"/>
      <c r="Y233" s="33"/>
      <c r="Z233" s="89"/>
      <c r="AA233" s="26"/>
      <c r="AB233" s="26"/>
      <c r="AC233" s="26"/>
      <c r="AD233" s="26"/>
      <c r="AE233" s="26"/>
      <c r="AF233" s="26"/>
      <c r="AG233" s="87"/>
      <c r="AH233" s="33"/>
      <c r="AI233" s="33"/>
      <c r="AJ233" s="33"/>
      <c r="AK233" s="32"/>
      <c r="AL233" s="35"/>
      <c r="AM233" s="35"/>
      <c r="AN233" s="32"/>
      <c r="AO233" s="32"/>
      <c r="AP233" s="775"/>
      <c r="AQ233" s="775"/>
      <c r="AR233" s="32"/>
      <c r="AV233" s="32"/>
      <c r="AW233" s="26"/>
      <c r="AX233" s="32"/>
      <c r="BG233" s="32"/>
      <c r="BJ233" s="32"/>
      <c r="BM233" s="32"/>
      <c r="BN233" s="391"/>
      <c r="BR233" s="56"/>
      <c r="BS233" s="57"/>
      <c r="BT233" s="57"/>
      <c r="CA233" s="700"/>
      <c r="CB233" s="700"/>
      <c r="CD233" s="26"/>
      <c r="CE233" s="33"/>
      <c r="CF233" s="103"/>
      <c r="CI233" s="32"/>
      <c r="CJ233" s="26"/>
      <c r="CX233" s="794"/>
      <c r="CY233" s="794"/>
      <c r="DR233" s="439"/>
      <c r="EL233" s="439"/>
      <c r="EM233" s="439"/>
      <c r="EN233" s="711"/>
      <c r="EP233" s="439"/>
      <c r="EQ233" s="439"/>
      <c r="ER233" s="439"/>
      <c r="ES233" s="439"/>
      <c r="ET233" s="439"/>
      <c r="EU233" s="672"/>
      <c r="EX233" s="32"/>
      <c r="FH233" s="38"/>
      <c r="FI233" s="38"/>
      <c r="FJ233" s="38"/>
      <c r="FK233" s="38"/>
      <c r="FL233" s="38"/>
      <c r="FM233" s="38"/>
      <c r="FN233" s="38"/>
      <c r="FO233" s="38"/>
      <c r="HN233" s="38"/>
      <c r="HO233" s="38"/>
      <c r="HP233" s="38"/>
      <c r="HQ233" s="38"/>
      <c r="HR233" s="38"/>
      <c r="HS233" s="38"/>
      <c r="HT233" s="38"/>
      <c r="HU233" s="38"/>
    </row>
    <row r="234" spans="1:229" s="27" customFormat="1" ht="12.75">
      <c r="A234" s="26"/>
      <c r="B234" s="26"/>
      <c r="C234" s="26"/>
      <c r="D234" s="26"/>
      <c r="E234" s="26"/>
      <c r="F234" s="26"/>
      <c r="G234" s="31"/>
      <c r="I234" s="32"/>
      <c r="K234" s="53"/>
      <c r="L234" s="52"/>
      <c r="M234" s="33"/>
      <c r="N234" s="33"/>
      <c r="O234" s="33"/>
      <c r="P234" s="26"/>
      <c r="Q234" s="33"/>
      <c r="R234" s="33"/>
      <c r="S234" s="26"/>
      <c r="T234" s="26"/>
      <c r="U234" s="26"/>
      <c r="V234" s="26"/>
      <c r="W234" s="26"/>
      <c r="X234" s="106"/>
      <c r="Y234" s="33"/>
      <c r="Z234" s="89"/>
      <c r="AA234" s="26"/>
      <c r="AB234" s="26"/>
      <c r="AC234" s="26"/>
      <c r="AD234" s="26"/>
      <c r="AE234" s="26"/>
      <c r="AF234" s="26"/>
      <c r="AG234" s="87"/>
      <c r="AH234" s="33"/>
      <c r="AI234" s="33"/>
      <c r="AJ234" s="33"/>
      <c r="AK234" s="32"/>
      <c r="AL234" s="35"/>
      <c r="AM234" s="35"/>
      <c r="AN234" s="32"/>
      <c r="AO234" s="32"/>
      <c r="AP234" s="775"/>
      <c r="AQ234" s="775"/>
      <c r="AR234" s="32"/>
      <c r="AV234" s="32"/>
      <c r="AW234" s="26"/>
      <c r="AX234" s="32"/>
      <c r="BG234" s="32"/>
      <c r="BJ234" s="32"/>
      <c r="BM234" s="32"/>
      <c r="BN234" s="391"/>
      <c r="BR234" s="56"/>
      <c r="BS234" s="57"/>
      <c r="BT234" s="57"/>
      <c r="CA234" s="700"/>
      <c r="CB234" s="700"/>
      <c r="CD234" s="26"/>
      <c r="CE234" s="33"/>
      <c r="CF234" s="103"/>
      <c r="CI234" s="32"/>
      <c r="CJ234" s="26"/>
      <c r="CX234" s="794"/>
      <c r="CY234" s="794"/>
      <c r="DR234" s="439"/>
      <c r="EL234" s="439"/>
      <c r="EM234" s="439"/>
      <c r="EN234" s="711"/>
      <c r="EP234" s="439"/>
      <c r="EQ234" s="439"/>
      <c r="ER234" s="439"/>
      <c r="ES234" s="439"/>
      <c r="ET234" s="439"/>
      <c r="EU234" s="672"/>
      <c r="EX234" s="32"/>
      <c r="FH234" s="38"/>
      <c r="FI234" s="38"/>
      <c r="FJ234" s="38"/>
      <c r="FK234" s="38"/>
      <c r="FL234" s="38"/>
      <c r="FM234" s="38"/>
      <c r="FN234" s="38"/>
      <c r="FO234" s="38"/>
      <c r="HN234" s="38"/>
      <c r="HO234" s="38"/>
      <c r="HP234" s="38"/>
      <c r="HQ234" s="38"/>
      <c r="HR234" s="38"/>
      <c r="HS234" s="38"/>
      <c r="HT234" s="38"/>
      <c r="HU234" s="38"/>
    </row>
    <row r="235" spans="1:229" s="27" customFormat="1" ht="12.75">
      <c r="A235" s="26"/>
      <c r="B235" s="26"/>
      <c r="C235" s="26"/>
      <c r="D235" s="26"/>
      <c r="E235" s="26"/>
      <c r="F235" s="26"/>
      <c r="G235" s="31"/>
      <c r="I235" s="32"/>
      <c r="K235" s="53"/>
      <c r="L235" s="52"/>
      <c r="M235" s="33"/>
      <c r="N235" s="33"/>
      <c r="O235" s="33"/>
      <c r="P235" s="26"/>
      <c r="Q235" s="33"/>
      <c r="R235" s="33"/>
      <c r="S235" s="26"/>
      <c r="T235" s="26"/>
      <c r="U235" s="26"/>
      <c r="V235" s="26"/>
      <c r="W235" s="26"/>
      <c r="X235" s="106"/>
      <c r="Y235" s="33"/>
      <c r="Z235" s="89"/>
      <c r="AA235" s="26"/>
      <c r="AB235" s="26"/>
      <c r="AC235" s="26"/>
      <c r="AD235" s="26"/>
      <c r="AE235" s="26"/>
      <c r="AF235" s="26"/>
      <c r="AG235" s="87"/>
      <c r="AH235" s="33"/>
      <c r="AI235" s="33"/>
      <c r="AJ235" s="33"/>
      <c r="AK235" s="32"/>
      <c r="AL235" s="35"/>
      <c r="AM235" s="35"/>
      <c r="AN235" s="32"/>
      <c r="AO235" s="32"/>
      <c r="AP235" s="775"/>
      <c r="AQ235" s="775"/>
      <c r="AR235" s="32"/>
      <c r="AV235" s="32"/>
      <c r="AW235" s="26"/>
      <c r="AX235" s="32"/>
      <c r="BG235" s="32"/>
      <c r="BJ235" s="32"/>
      <c r="BM235" s="32"/>
      <c r="BN235" s="391"/>
      <c r="BR235" s="56"/>
      <c r="BS235" s="57"/>
      <c r="BT235" s="57"/>
      <c r="CA235" s="700"/>
      <c r="CB235" s="700"/>
      <c r="CD235" s="26"/>
      <c r="CE235" s="33"/>
      <c r="CF235" s="103"/>
      <c r="CI235" s="32"/>
      <c r="CJ235" s="26"/>
      <c r="CX235" s="794"/>
      <c r="CY235" s="794"/>
      <c r="DR235" s="439"/>
      <c r="EL235" s="439"/>
      <c r="EM235" s="439"/>
      <c r="EN235" s="711"/>
      <c r="EP235" s="439"/>
      <c r="EQ235" s="439"/>
      <c r="ER235" s="439"/>
      <c r="ES235" s="439"/>
      <c r="ET235" s="439"/>
      <c r="EU235" s="672"/>
      <c r="EX235" s="32"/>
      <c r="FH235" s="38"/>
      <c r="FI235" s="38"/>
      <c r="FJ235" s="38"/>
      <c r="FK235" s="38"/>
      <c r="FL235" s="38"/>
      <c r="FM235" s="38"/>
      <c r="FN235" s="38"/>
      <c r="FO235" s="38"/>
      <c r="HN235" s="38"/>
      <c r="HO235" s="38"/>
      <c r="HP235" s="38"/>
      <c r="HQ235" s="38"/>
      <c r="HR235" s="38"/>
      <c r="HS235" s="38"/>
      <c r="HT235" s="38"/>
      <c r="HU235" s="38"/>
    </row>
    <row r="236" spans="1:229" s="27" customFormat="1" ht="12.75">
      <c r="A236" s="26"/>
      <c r="B236" s="26"/>
      <c r="C236" s="26"/>
      <c r="D236" s="26"/>
      <c r="E236" s="26"/>
      <c r="F236" s="26"/>
      <c r="G236" s="31"/>
      <c r="I236" s="32"/>
      <c r="K236" s="53"/>
      <c r="L236" s="52"/>
      <c r="M236" s="33"/>
      <c r="N236" s="33"/>
      <c r="O236" s="33"/>
      <c r="P236" s="26"/>
      <c r="Q236" s="33"/>
      <c r="R236" s="33"/>
      <c r="S236" s="26"/>
      <c r="T236" s="26"/>
      <c r="U236" s="26"/>
      <c r="V236" s="26"/>
      <c r="W236" s="26"/>
      <c r="X236" s="106"/>
      <c r="Y236" s="33"/>
      <c r="Z236" s="89"/>
      <c r="AA236" s="26"/>
      <c r="AB236" s="26"/>
      <c r="AC236" s="26"/>
      <c r="AD236" s="26"/>
      <c r="AE236" s="26"/>
      <c r="AF236" s="26"/>
      <c r="AG236" s="87"/>
      <c r="AH236" s="33"/>
      <c r="AI236" s="33"/>
      <c r="AJ236" s="33"/>
      <c r="AK236" s="32"/>
      <c r="AL236" s="35"/>
      <c r="AM236" s="35"/>
      <c r="AN236" s="32"/>
      <c r="AO236" s="32"/>
      <c r="AP236" s="775"/>
      <c r="AQ236" s="775"/>
      <c r="AR236" s="32"/>
      <c r="AV236" s="32"/>
      <c r="AW236" s="26"/>
      <c r="AX236" s="32"/>
      <c r="BG236" s="32"/>
      <c r="BJ236" s="32"/>
      <c r="BM236" s="32"/>
      <c r="BN236" s="391"/>
      <c r="BR236" s="56"/>
      <c r="BS236" s="57"/>
      <c r="BT236" s="57"/>
      <c r="CA236" s="700"/>
      <c r="CB236" s="700"/>
      <c r="CD236" s="26"/>
      <c r="CE236" s="33"/>
      <c r="CF236" s="103"/>
      <c r="CI236" s="32"/>
      <c r="CJ236" s="26"/>
      <c r="CX236" s="794"/>
      <c r="CY236" s="794"/>
      <c r="DR236" s="439"/>
      <c r="EL236" s="439"/>
      <c r="EM236" s="439"/>
      <c r="EN236" s="711"/>
      <c r="EP236" s="439"/>
      <c r="EQ236" s="439"/>
      <c r="ER236" s="439"/>
      <c r="ES236" s="439"/>
      <c r="ET236" s="439"/>
      <c r="EU236" s="672"/>
      <c r="EX236" s="32"/>
      <c r="FH236" s="38"/>
      <c r="FI236" s="38"/>
      <c r="FJ236" s="38"/>
      <c r="FK236" s="38"/>
      <c r="FL236" s="38"/>
      <c r="FM236" s="38"/>
      <c r="FN236" s="38"/>
      <c r="FO236" s="38"/>
      <c r="HN236" s="38"/>
      <c r="HO236" s="38"/>
      <c r="HP236" s="38"/>
      <c r="HQ236" s="38"/>
      <c r="HR236" s="38"/>
      <c r="HS236" s="38"/>
      <c r="HT236" s="38"/>
      <c r="HU236" s="38"/>
    </row>
    <row r="237" spans="1:229" s="27" customFormat="1" ht="12.75">
      <c r="A237" s="26"/>
      <c r="B237" s="26"/>
      <c r="C237" s="26"/>
      <c r="D237" s="26"/>
      <c r="E237" s="26"/>
      <c r="F237" s="26"/>
      <c r="G237" s="31"/>
      <c r="I237" s="32"/>
      <c r="K237" s="53"/>
      <c r="L237" s="52"/>
      <c r="M237" s="33"/>
      <c r="N237" s="33"/>
      <c r="O237" s="33"/>
      <c r="P237" s="26"/>
      <c r="Q237" s="33"/>
      <c r="R237" s="33"/>
      <c r="S237" s="26"/>
      <c r="T237" s="26"/>
      <c r="U237" s="26"/>
      <c r="V237" s="26"/>
      <c r="W237" s="26"/>
      <c r="X237" s="106"/>
      <c r="Y237" s="33"/>
      <c r="Z237" s="89"/>
      <c r="AA237" s="26"/>
      <c r="AB237" s="26"/>
      <c r="AC237" s="26"/>
      <c r="AD237" s="26"/>
      <c r="AE237" s="26"/>
      <c r="AF237" s="26"/>
      <c r="AG237" s="87"/>
      <c r="AH237" s="33"/>
      <c r="AI237" s="33"/>
      <c r="AJ237" s="33"/>
      <c r="AK237" s="32"/>
      <c r="AL237" s="35"/>
      <c r="AM237" s="35"/>
      <c r="AN237" s="32"/>
      <c r="AO237" s="32"/>
      <c r="AP237" s="775"/>
      <c r="AQ237" s="775"/>
      <c r="AR237" s="32"/>
      <c r="AV237" s="32"/>
      <c r="AW237" s="26"/>
      <c r="AX237" s="32"/>
      <c r="BG237" s="32"/>
      <c r="BJ237" s="32"/>
      <c r="BM237" s="32"/>
      <c r="BN237" s="391"/>
      <c r="BR237" s="56"/>
      <c r="BS237" s="57"/>
      <c r="BT237" s="57"/>
      <c r="CA237" s="700"/>
      <c r="CB237" s="700"/>
      <c r="CD237" s="26"/>
      <c r="CE237" s="33"/>
      <c r="CF237" s="103"/>
      <c r="CI237" s="32"/>
      <c r="CJ237" s="26"/>
      <c r="CX237" s="794"/>
      <c r="CY237" s="794"/>
      <c r="DR237" s="439"/>
      <c r="EL237" s="439"/>
      <c r="EM237" s="439"/>
      <c r="EN237" s="711"/>
      <c r="EP237" s="439"/>
      <c r="EQ237" s="439"/>
      <c r="ER237" s="439"/>
      <c r="ES237" s="439"/>
      <c r="ET237" s="439"/>
      <c r="EU237" s="672"/>
      <c r="EX237" s="32"/>
      <c r="FH237" s="38"/>
      <c r="FI237" s="38"/>
      <c r="FJ237" s="38"/>
      <c r="FK237" s="38"/>
      <c r="FL237" s="38"/>
      <c r="FM237" s="38"/>
      <c r="FN237" s="38"/>
      <c r="FO237" s="38"/>
      <c r="HN237" s="38"/>
      <c r="HO237" s="38"/>
      <c r="HP237" s="38"/>
      <c r="HQ237" s="38"/>
      <c r="HR237" s="38"/>
      <c r="HS237" s="38"/>
      <c r="HT237" s="38"/>
      <c r="HU237" s="38"/>
    </row>
    <row r="238" spans="1:229" s="27" customFormat="1" ht="12.75">
      <c r="A238" s="26"/>
      <c r="B238" s="26"/>
      <c r="C238" s="26"/>
      <c r="D238" s="26"/>
      <c r="E238" s="26"/>
      <c r="F238" s="26"/>
      <c r="G238" s="31"/>
      <c r="I238" s="32"/>
      <c r="K238" s="53"/>
      <c r="L238" s="52"/>
      <c r="M238" s="33"/>
      <c r="N238" s="33"/>
      <c r="O238" s="33"/>
      <c r="P238" s="26"/>
      <c r="Q238" s="33"/>
      <c r="R238" s="33"/>
      <c r="S238" s="26"/>
      <c r="T238" s="26"/>
      <c r="U238" s="26"/>
      <c r="V238" s="26"/>
      <c r="W238" s="26"/>
      <c r="X238" s="106"/>
      <c r="Y238" s="33"/>
      <c r="Z238" s="89"/>
      <c r="AA238" s="26"/>
      <c r="AB238" s="26"/>
      <c r="AC238" s="26"/>
      <c r="AD238" s="26"/>
      <c r="AE238" s="26"/>
      <c r="AF238" s="26"/>
      <c r="AG238" s="87"/>
      <c r="AH238" s="33"/>
      <c r="AI238" s="33"/>
      <c r="AJ238" s="33"/>
      <c r="AK238" s="32"/>
      <c r="AL238" s="35"/>
      <c r="AM238" s="35"/>
      <c r="AN238" s="32"/>
      <c r="AO238" s="32"/>
      <c r="AP238" s="775"/>
      <c r="AQ238" s="775"/>
      <c r="AR238" s="32"/>
      <c r="AV238" s="32"/>
      <c r="AW238" s="26"/>
      <c r="AX238" s="32"/>
      <c r="BG238" s="32"/>
      <c r="BJ238" s="32"/>
      <c r="BM238" s="32"/>
      <c r="BN238" s="391"/>
      <c r="BR238" s="56"/>
      <c r="BS238" s="57"/>
      <c r="BT238" s="57"/>
      <c r="CA238" s="700"/>
      <c r="CB238" s="700"/>
      <c r="CD238" s="26"/>
      <c r="CE238" s="33"/>
      <c r="CF238" s="103"/>
      <c r="CI238" s="32"/>
      <c r="CJ238" s="26"/>
      <c r="CX238" s="794"/>
      <c r="CY238" s="794"/>
      <c r="DR238" s="439"/>
      <c r="EL238" s="439"/>
      <c r="EM238" s="439"/>
      <c r="EN238" s="711"/>
      <c r="EP238" s="439"/>
      <c r="EQ238" s="439"/>
      <c r="ER238" s="439"/>
      <c r="ES238" s="439"/>
      <c r="ET238" s="439"/>
      <c r="EU238" s="672"/>
      <c r="EX238" s="32"/>
      <c r="FH238" s="38"/>
      <c r="FI238" s="38"/>
      <c r="FJ238" s="38"/>
      <c r="FK238" s="38"/>
      <c r="FL238" s="38"/>
      <c r="FM238" s="38"/>
      <c r="FN238" s="38"/>
      <c r="FO238" s="38"/>
      <c r="HN238" s="38"/>
      <c r="HO238" s="38"/>
      <c r="HP238" s="38"/>
      <c r="HQ238" s="38"/>
      <c r="HR238" s="38"/>
      <c r="HS238" s="38"/>
      <c r="HT238" s="38"/>
      <c r="HU238" s="38"/>
    </row>
    <row r="239" spans="1:229" s="27" customFormat="1" ht="12.75">
      <c r="A239" s="26"/>
      <c r="B239" s="26"/>
      <c r="C239" s="26"/>
      <c r="D239" s="26"/>
      <c r="E239" s="26"/>
      <c r="F239" s="26"/>
      <c r="G239" s="31"/>
      <c r="I239" s="32"/>
      <c r="K239" s="53"/>
      <c r="L239" s="52"/>
      <c r="M239" s="33"/>
      <c r="N239" s="33"/>
      <c r="O239" s="33"/>
      <c r="P239" s="26"/>
      <c r="Q239" s="33"/>
      <c r="R239" s="33"/>
      <c r="S239" s="26"/>
      <c r="T239" s="26"/>
      <c r="U239" s="26"/>
      <c r="V239" s="26"/>
      <c r="W239" s="26"/>
      <c r="X239" s="106"/>
      <c r="Y239" s="33"/>
      <c r="Z239" s="89"/>
      <c r="AA239" s="26"/>
      <c r="AB239" s="26"/>
      <c r="AC239" s="26"/>
      <c r="AD239" s="26"/>
      <c r="AE239" s="26"/>
      <c r="AF239" s="26"/>
      <c r="AG239" s="87"/>
      <c r="AH239" s="33"/>
      <c r="AI239" s="33"/>
      <c r="AJ239" s="33"/>
      <c r="AK239" s="32"/>
      <c r="AL239" s="35"/>
      <c r="AM239" s="35"/>
      <c r="AN239" s="32"/>
      <c r="AO239" s="32"/>
      <c r="AP239" s="775"/>
      <c r="AQ239" s="775"/>
      <c r="AR239" s="32"/>
      <c r="AV239" s="32"/>
      <c r="AW239" s="26"/>
      <c r="AX239" s="32"/>
      <c r="BG239" s="32"/>
      <c r="BJ239" s="32"/>
      <c r="BM239" s="32"/>
      <c r="BN239" s="391"/>
      <c r="BR239" s="56"/>
      <c r="BS239" s="57"/>
      <c r="BT239" s="57"/>
      <c r="CA239" s="700"/>
      <c r="CB239" s="700"/>
      <c r="CD239" s="26"/>
      <c r="CE239" s="33"/>
      <c r="CF239" s="103"/>
      <c r="CI239" s="32"/>
      <c r="CJ239" s="26"/>
      <c r="CX239" s="794"/>
      <c r="CY239" s="794"/>
      <c r="DR239" s="439"/>
      <c r="EL239" s="439"/>
      <c r="EM239" s="439"/>
      <c r="EN239" s="711"/>
      <c r="EP239" s="439"/>
      <c r="EQ239" s="439"/>
      <c r="ER239" s="439"/>
      <c r="ES239" s="439"/>
      <c r="ET239" s="439"/>
      <c r="EU239" s="672"/>
      <c r="EX239" s="32"/>
      <c r="FH239" s="38"/>
      <c r="FI239" s="38"/>
      <c r="FJ239" s="38"/>
      <c r="FK239" s="38"/>
      <c r="FL239" s="38"/>
      <c r="FM239" s="38"/>
      <c r="FN239" s="38"/>
      <c r="FO239" s="38"/>
      <c r="HN239" s="38"/>
      <c r="HO239" s="38"/>
      <c r="HP239" s="38"/>
      <c r="HQ239" s="38"/>
      <c r="HR239" s="38"/>
      <c r="HS239" s="38"/>
      <c r="HT239" s="38"/>
      <c r="HU239" s="38"/>
    </row>
    <row r="240" spans="1:229" s="27" customFormat="1" ht="12.75">
      <c r="A240" s="26"/>
      <c r="B240" s="26"/>
      <c r="C240" s="26"/>
      <c r="D240" s="26"/>
      <c r="E240" s="26"/>
      <c r="F240" s="26"/>
      <c r="G240" s="31"/>
      <c r="I240" s="32"/>
      <c r="K240" s="53"/>
      <c r="L240" s="52"/>
      <c r="M240" s="33"/>
      <c r="N240" s="33"/>
      <c r="O240" s="33"/>
      <c r="P240" s="26"/>
      <c r="Q240" s="33"/>
      <c r="R240" s="33"/>
      <c r="S240" s="26"/>
      <c r="T240" s="26"/>
      <c r="U240" s="26"/>
      <c r="V240" s="26"/>
      <c r="W240" s="26"/>
      <c r="X240" s="106"/>
      <c r="Y240" s="33"/>
      <c r="Z240" s="89"/>
      <c r="AA240" s="26"/>
      <c r="AB240" s="26"/>
      <c r="AC240" s="26"/>
      <c r="AD240" s="26"/>
      <c r="AE240" s="26"/>
      <c r="AF240" s="26"/>
      <c r="AG240" s="87"/>
      <c r="AH240" s="33"/>
      <c r="AI240" s="33"/>
      <c r="AJ240" s="33"/>
      <c r="AK240" s="32"/>
      <c r="AL240" s="35"/>
      <c r="AM240" s="35"/>
      <c r="AN240" s="32"/>
      <c r="AO240" s="32"/>
      <c r="AP240" s="775"/>
      <c r="AQ240" s="775"/>
      <c r="AR240" s="32"/>
      <c r="AV240" s="32"/>
      <c r="AW240" s="26"/>
      <c r="AX240" s="32"/>
      <c r="BG240" s="32"/>
      <c r="BJ240" s="32"/>
      <c r="BM240" s="32"/>
      <c r="BN240" s="391"/>
      <c r="BR240" s="56"/>
      <c r="BS240" s="57"/>
      <c r="BT240" s="57"/>
      <c r="CA240" s="700"/>
      <c r="CB240" s="700"/>
      <c r="CD240" s="26"/>
      <c r="CE240" s="33"/>
      <c r="CF240" s="103"/>
      <c r="CI240" s="32"/>
      <c r="CJ240" s="26"/>
      <c r="CX240" s="794"/>
      <c r="CY240" s="794"/>
      <c r="DR240" s="439"/>
      <c r="EL240" s="439"/>
      <c r="EM240" s="439"/>
      <c r="EN240" s="711"/>
      <c r="EP240" s="439"/>
      <c r="EQ240" s="439"/>
      <c r="ER240" s="439"/>
      <c r="ES240" s="439"/>
      <c r="ET240" s="439"/>
      <c r="EU240" s="672"/>
      <c r="EX240" s="32"/>
      <c r="FH240" s="38"/>
      <c r="FI240" s="38"/>
      <c r="FJ240" s="38"/>
      <c r="FK240" s="38"/>
      <c r="FL240" s="38"/>
      <c r="FM240" s="38"/>
      <c r="FN240" s="38"/>
      <c r="FO240" s="38"/>
      <c r="HN240" s="38"/>
      <c r="HO240" s="38"/>
      <c r="HP240" s="38"/>
      <c r="HQ240" s="38"/>
      <c r="HR240" s="38"/>
      <c r="HS240" s="38"/>
      <c r="HT240" s="38"/>
      <c r="HU240" s="38"/>
    </row>
    <row r="241" spans="1:229" s="27" customFormat="1" ht="12.75">
      <c r="A241" s="26"/>
      <c r="B241" s="26"/>
      <c r="C241" s="26"/>
      <c r="D241" s="26"/>
      <c r="E241" s="26"/>
      <c r="F241" s="26"/>
      <c r="G241" s="31"/>
      <c r="I241" s="32"/>
      <c r="K241" s="53"/>
      <c r="L241" s="52"/>
      <c r="M241" s="33"/>
      <c r="N241" s="33"/>
      <c r="O241" s="33"/>
      <c r="P241" s="26"/>
      <c r="Q241" s="33"/>
      <c r="R241" s="33"/>
      <c r="S241" s="26"/>
      <c r="T241" s="26"/>
      <c r="U241" s="26"/>
      <c r="V241" s="26"/>
      <c r="W241" s="26"/>
      <c r="X241" s="106"/>
      <c r="Y241" s="33"/>
      <c r="Z241" s="89"/>
      <c r="AA241" s="26"/>
      <c r="AB241" s="26"/>
      <c r="AC241" s="26"/>
      <c r="AD241" s="26"/>
      <c r="AE241" s="26"/>
      <c r="AF241" s="26"/>
      <c r="AG241" s="87"/>
      <c r="AH241" s="33"/>
      <c r="AI241" s="33"/>
      <c r="AJ241" s="33"/>
      <c r="AK241" s="32"/>
      <c r="AL241" s="35"/>
      <c r="AM241" s="35"/>
      <c r="AN241" s="32"/>
      <c r="AO241" s="32"/>
      <c r="AP241" s="775"/>
      <c r="AQ241" s="775"/>
      <c r="AR241" s="32"/>
      <c r="AV241" s="32"/>
      <c r="AW241" s="26"/>
      <c r="AX241" s="32"/>
      <c r="BG241" s="32"/>
      <c r="BJ241" s="32"/>
      <c r="BM241" s="32"/>
      <c r="BN241" s="391"/>
      <c r="BR241" s="56"/>
      <c r="BS241" s="57"/>
      <c r="BT241" s="57"/>
      <c r="CA241" s="700"/>
      <c r="CB241" s="700"/>
      <c r="CD241" s="26"/>
      <c r="CE241" s="33"/>
      <c r="CF241" s="103"/>
      <c r="CI241" s="32"/>
      <c r="CJ241" s="26"/>
      <c r="CX241" s="794"/>
      <c r="CY241" s="794"/>
      <c r="DR241" s="439"/>
      <c r="EL241" s="439"/>
      <c r="EM241" s="439"/>
      <c r="EN241" s="711"/>
      <c r="EP241" s="439"/>
      <c r="EQ241" s="439"/>
      <c r="ER241" s="439"/>
      <c r="ES241" s="439"/>
      <c r="ET241" s="439"/>
      <c r="EU241" s="672"/>
      <c r="EX241" s="32"/>
      <c r="FH241" s="38"/>
      <c r="FI241" s="38"/>
      <c r="FJ241" s="38"/>
      <c r="FK241" s="38"/>
      <c r="FL241" s="38"/>
      <c r="FM241" s="38"/>
      <c r="FN241" s="38"/>
      <c r="FO241" s="38"/>
      <c r="HN241" s="38"/>
      <c r="HO241" s="38"/>
      <c r="HP241" s="38"/>
      <c r="HQ241" s="38"/>
      <c r="HR241" s="38"/>
      <c r="HS241" s="38"/>
      <c r="HT241" s="38"/>
      <c r="HU241" s="38"/>
    </row>
    <row r="242" spans="1:229" s="27" customFormat="1" ht="12.75">
      <c r="A242" s="26"/>
      <c r="B242" s="26"/>
      <c r="C242" s="26"/>
      <c r="D242" s="26"/>
      <c r="E242" s="26"/>
      <c r="F242" s="26"/>
      <c r="G242" s="31"/>
      <c r="I242" s="32"/>
      <c r="K242" s="53"/>
      <c r="L242" s="52"/>
      <c r="M242" s="33"/>
      <c r="N242" s="33"/>
      <c r="O242" s="33"/>
      <c r="P242" s="26"/>
      <c r="Q242" s="33"/>
      <c r="R242" s="33"/>
      <c r="S242" s="26"/>
      <c r="T242" s="26"/>
      <c r="U242" s="26"/>
      <c r="V242" s="26"/>
      <c r="W242" s="26"/>
      <c r="X242" s="106"/>
      <c r="Y242" s="33"/>
      <c r="Z242" s="89"/>
      <c r="AA242" s="26"/>
      <c r="AB242" s="26"/>
      <c r="AC242" s="26"/>
      <c r="AD242" s="26"/>
      <c r="AE242" s="26"/>
      <c r="AF242" s="26"/>
      <c r="AG242" s="87"/>
      <c r="AH242" s="33"/>
      <c r="AI242" s="33"/>
      <c r="AJ242" s="33"/>
      <c r="AK242" s="32"/>
      <c r="AL242" s="35"/>
      <c r="AM242" s="35"/>
      <c r="AN242" s="32"/>
      <c r="AO242" s="32"/>
      <c r="AP242" s="775"/>
      <c r="AQ242" s="775"/>
      <c r="AR242" s="32"/>
      <c r="AV242" s="32"/>
      <c r="AW242" s="26"/>
      <c r="AX242" s="32"/>
      <c r="BG242" s="32"/>
      <c r="BJ242" s="32"/>
      <c r="BM242" s="32"/>
      <c r="BN242" s="391"/>
      <c r="BR242" s="56"/>
      <c r="BS242" s="57"/>
      <c r="BT242" s="57"/>
      <c r="CA242" s="700"/>
      <c r="CB242" s="700"/>
      <c r="CD242" s="26"/>
      <c r="CE242" s="33"/>
      <c r="CF242" s="103"/>
      <c r="CI242" s="32"/>
      <c r="CJ242" s="26"/>
      <c r="CX242" s="794"/>
      <c r="CY242" s="794"/>
      <c r="DR242" s="439"/>
      <c r="EL242" s="439"/>
      <c r="EM242" s="439"/>
      <c r="EN242" s="711"/>
      <c r="EP242" s="439"/>
      <c r="EQ242" s="439"/>
      <c r="ER242" s="439"/>
      <c r="ES242" s="439"/>
      <c r="ET242" s="439"/>
      <c r="EU242" s="672"/>
      <c r="EX242" s="32"/>
      <c r="FH242" s="38"/>
      <c r="FI242" s="38"/>
      <c r="FJ242" s="38"/>
      <c r="FK242" s="38"/>
      <c r="FL242" s="38"/>
      <c r="FM242" s="38"/>
      <c r="FN242" s="38"/>
      <c r="FO242" s="38"/>
      <c r="HN242" s="38"/>
      <c r="HO242" s="38"/>
      <c r="HP242" s="38"/>
      <c r="HQ242" s="38"/>
      <c r="HR242" s="38"/>
      <c r="HS242" s="38"/>
      <c r="HT242" s="38"/>
      <c r="HU242" s="38"/>
    </row>
    <row r="243" spans="1:229" s="27" customFormat="1" ht="12.75">
      <c r="A243" s="26"/>
      <c r="B243" s="26"/>
      <c r="C243" s="26"/>
      <c r="D243" s="26"/>
      <c r="E243" s="26"/>
      <c r="F243" s="26"/>
      <c r="G243" s="31"/>
      <c r="I243" s="32"/>
      <c r="K243" s="53"/>
      <c r="L243" s="52"/>
      <c r="M243" s="33"/>
      <c r="N243" s="33"/>
      <c r="O243" s="33"/>
      <c r="P243" s="26"/>
      <c r="Q243" s="33"/>
      <c r="R243" s="33"/>
      <c r="S243" s="26"/>
      <c r="T243" s="26"/>
      <c r="U243" s="26"/>
      <c r="V243" s="26"/>
      <c r="W243" s="26"/>
      <c r="X243" s="106"/>
      <c r="Y243" s="33"/>
      <c r="Z243" s="89"/>
      <c r="AA243" s="26"/>
      <c r="AB243" s="26"/>
      <c r="AC243" s="26"/>
      <c r="AD243" s="26"/>
      <c r="AE243" s="26"/>
      <c r="AF243" s="26"/>
      <c r="AG243" s="87"/>
      <c r="AH243" s="33"/>
      <c r="AI243" s="33"/>
      <c r="AJ243" s="33"/>
      <c r="AK243" s="32"/>
      <c r="AL243" s="35"/>
      <c r="AM243" s="35"/>
      <c r="AN243" s="32"/>
      <c r="AO243" s="32"/>
      <c r="AP243" s="775"/>
      <c r="AQ243" s="775"/>
      <c r="AR243" s="32"/>
      <c r="AV243" s="32"/>
      <c r="AW243" s="26"/>
      <c r="AX243" s="32"/>
      <c r="BG243" s="32"/>
      <c r="BJ243" s="32"/>
      <c r="BM243" s="32"/>
      <c r="BN243" s="391"/>
      <c r="BR243" s="56"/>
      <c r="BS243" s="57"/>
      <c r="BT243" s="57"/>
      <c r="CA243" s="700"/>
      <c r="CB243" s="700"/>
      <c r="CD243" s="26"/>
      <c r="CE243" s="33"/>
      <c r="CF243" s="103"/>
      <c r="CI243" s="32"/>
      <c r="CJ243" s="26"/>
      <c r="CX243" s="794"/>
      <c r="CY243" s="794"/>
      <c r="DR243" s="439"/>
      <c r="EL243" s="439"/>
      <c r="EM243" s="439"/>
      <c r="EN243" s="711"/>
      <c r="EP243" s="439"/>
      <c r="EQ243" s="439"/>
      <c r="ER243" s="439"/>
      <c r="ES243" s="439"/>
      <c r="ET243" s="439"/>
      <c r="EU243" s="672"/>
      <c r="EX243" s="32"/>
      <c r="FH243" s="38"/>
      <c r="FI243" s="38"/>
      <c r="FJ243" s="38"/>
      <c r="FK243" s="38"/>
      <c r="FL243" s="38"/>
      <c r="FM243" s="38"/>
      <c r="FN243" s="38"/>
      <c r="FO243" s="38"/>
      <c r="HN243" s="38"/>
      <c r="HO243" s="38"/>
      <c r="HP243" s="38"/>
      <c r="HQ243" s="38"/>
      <c r="HR243" s="38"/>
      <c r="HS243" s="38"/>
      <c r="HT243" s="38"/>
      <c r="HU243" s="38"/>
    </row>
    <row r="244" spans="1:229" s="27" customFormat="1" ht="12.75">
      <c r="A244" s="26"/>
      <c r="B244" s="26"/>
      <c r="C244" s="26"/>
      <c r="D244" s="26"/>
      <c r="E244" s="26"/>
      <c r="F244" s="26"/>
      <c r="G244" s="31"/>
      <c r="I244" s="32"/>
      <c r="K244" s="53"/>
      <c r="L244" s="52"/>
      <c r="M244" s="33"/>
      <c r="N244" s="33"/>
      <c r="O244" s="33"/>
      <c r="P244" s="26"/>
      <c r="Q244" s="33"/>
      <c r="R244" s="33"/>
      <c r="S244" s="26"/>
      <c r="T244" s="26"/>
      <c r="U244" s="26"/>
      <c r="V244" s="26"/>
      <c r="W244" s="26"/>
      <c r="X244" s="106"/>
      <c r="Y244" s="33"/>
      <c r="Z244" s="89"/>
      <c r="AA244" s="26"/>
      <c r="AB244" s="26"/>
      <c r="AC244" s="26"/>
      <c r="AD244" s="26"/>
      <c r="AE244" s="26"/>
      <c r="AF244" s="26"/>
      <c r="AG244" s="87"/>
      <c r="AH244" s="33"/>
      <c r="AI244" s="33"/>
      <c r="AJ244" s="33"/>
      <c r="AK244" s="32"/>
      <c r="AL244" s="35"/>
      <c r="AM244" s="35"/>
      <c r="AN244" s="32"/>
      <c r="AO244" s="32"/>
      <c r="AP244" s="775"/>
      <c r="AQ244" s="775"/>
      <c r="AR244" s="32"/>
      <c r="AV244" s="32"/>
      <c r="AW244" s="26"/>
      <c r="AX244" s="32"/>
      <c r="BG244" s="32"/>
      <c r="BJ244" s="32"/>
      <c r="BM244" s="32"/>
      <c r="BN244" s="391"/>
      <c r="BR244" s="56"/>
      <c r="BS244" s="57"/>
      <c r="BT244" s="57"/>
      <c r="CA244" s="700"/>
      <c r="CB244" s="700"/>
      <c r="CD244" s="26"/>
      <c r="CE244" s="33"/>
      <c r="CF244" s="103"/>
      <c r="CI244" s="32"/>
      <c r="CJ244" s="26"/>
      <c r="CX244" s="794"/>
      <c r="CY244" s="794"/>
      <c r="DR244" s="439"/>
      <c r="EL244" s="439"/>
      <c r="EM244" s="439"/>
      <c r="EN244" s="711"/>
      <c r="EP244" s="439"/>
      <c r="EQ244" s="439"/>
      <c r="ER244" s="439"/>
      <c r="ES244" s="439"/>
      <c r="ET244" s="439"/>
      <c r="EU244" s="672"/>
      <c r="EX244" s="32"/>
      <c r="FH244" s="38"/>
      <c r="FI244" s="38"/>
      <c r="FJ244" s="38"/>
      <c r="FK244" s="38"/>
      <c r="FL244" s="38"/>
      <c r="FM244" s="38"/>
      <c r="FN244" s="38"/>
      <c r="FO244" s="38"/>
      <c r="HN244" s="38"/>
      <c r="HO244" s="38"/>
      <c r="HP244" s="38"/>
      <c r="HQ244" s="38"/>
      <c r="HR244" s="38"/>
      <c r="HS244" s="38"/>
      <c r="HT244" s="38"/>
      <c r="HU244" s="38"/>
    </row>
    <row r="245" spans="1:229" s="27" customFormat="1" ht="12.75">
      <c r="A245" s="26"/>
      <c r="B245" s="26"/>
      <c r="C245" s="26"/>
      <c r="D245" s="26"/>
      <c r="E245" s="26"/>
      <c r="F245" s="26"/>
      <c r="G245" s="31"/>
      <c r="I245" s="32"/>
      <c r="K245" s="53"/>
      <c r="L245" s="52"/>
      <c r="M245" s="33"/>
      <c r="N245" s="33"/>
      <c r="O245" s="33"/>
      <c r="P245" s="26"/>
      <c r="Q245" s="33"/>
      <c r="R245" s="33"/>
      <c r="S245" s="26"/>
      <c r="T245" s="26"/>
      <c r="U245" s="26"/>
      <c r="V245" s="26"/>
      <c r="W245" s="26"/>
      <c r="X245" s="106"/>
      <c r="Y245" s="33"/>
      <c r="Z245" s="89"/>
      <c r="AA245" s="26"/>
      <c r="AB245" s="26"/>
      <c r="AC245" s="26"/>
      <c r="AD245" s="26"/>
      <c r="AE245" s="26"/>
      <c r="AF245" s="26"/>
      <c r="AG245" s="87"/>
      <c r="AH245" s="33"/>
      <c r="AI245" s="33"/>
      <c r="AJ245" s="33"/>
      <c r="AK245" s="32"/>
      <c r="AL245" s="35"/>
      <c r="AM245" s="35"/>
      <c r="AN245" s="32"/>
      <c r="AO245" s="32"/>
      <c r="AP245" s="775"/>
      <c r="AQ245" s="775"/>
      <c r="AR245" s="32"/>
      <c r="AV245" s="32"/>
      <c r="AW245" s="26"/>
      <c r="AX245" s="32"/>
      <c r="BG245" s="32"/>
      <c r="BJ245" s="32"/>
      <c r="BM245" s="32"/>
      <c r="BN245" s="391"/>
      <c r="BR245" s="56"/>
      <c r="BS245" s="57"/>
      <c r="BT245" s="57"/>
      <c r="CA245" s="700"/>
      <c r="CB245" s="700"/>
      <c r="CD245" s="26"/>
      <c r="CE245" s="33"/>
      <c r="CF245" s="103"/>
      <c r="CI245" s="32"/>
      <c r="CJ245" s="26"/>
      <c r="CX245" s="794"/>
      <c r="CY245" s="794"/>
      <c r="DR245" s="439"/>
      <c r="EL245" s="439"/>
      <c r="EM245" s="439"/>
      <c r="EN245" s="711"/>
      <c r="EP245" s="439"/>
      <c r="EQ245" s="439"/>
      <c r="ER245" s="439"/>
      <c r="ES245" s="439"/>
      <c r="ET245" s="439"/>
      <c r="EU245" s="672"/>
      <c r="EX245" s="32"/>
      <c r="FH245" s="38"/>
      <c r="FI245" s="38"/>
      <c r="FJ245" s="38"/>
      <c r="FK245" s="38"/>
      <c r="FL245" s="38"/>
      <c r="FM245" s="38"/>
      <c r="FN245" s="38"/>
      <c r="FO245" s="38"/>
      <c r="HN245" s="38"/>
      <c r="HO245" s="38"/>
      <c r="HP245" s="38"/>
      <c r="HQ245" s="38"/>
      <c r="HR245" s="38"/>
      <c r="HS245" s="38"/>
      <c r="HT245" s="38"/>
      <c r="HU245" s="38"/>
    </row>
    <row r="246" spans="1:229" s="27" customFormat="1" ht="12.75">
      <c r="A246" s="26"/>
      <c r="B246" s="26"/>
      <c r="C246" s="26"/>
      <c r="D246" s="26"/>
      <c r="E246" s="26"/>
      <c r="F246" s="26"/>
      <c r="G246" s="31"/>
      <c r="I246" s="32"/>
      <c r="K246" s="53"/>
      <c r="L246" s="52"/>
      <c r="M246" s="33"/>
      <c r="N246" s="33"/>
      <c r="O246" s="33"/>
      <c r="P246" s="26"/>
      <c r="Q246" s="33"/>
      <c r="R246" s="33"/>
      <c r="S246" s="26"/>
      <c r="T246" s="26"/>
      <c r="U246" s="26"/>
      <c r="V246" s="26"/>
      <c r="W246" s="26"/>
      <c r="X246" s="106"/>
      <c r="Y246" s="33"/>
      <c r="Z246" s="89"/>
      <c r="AA246" s="26"/>
      <c r="AB246" s="26"/>
      <c r="AC246" s="26"/>
      <c r="AD246" s="26"/>
      <c r="AE246" s="26"/>
      <c r="AF246" s="26"/>
      <c r="AG246" s="87"/>
      <c r="AH246" s="33"/>
      <c r="AI246" s="33"/>
      <c r="AJ246" s="33"/>
      <c r="AK246" s="32"/>
      <c r="AL246" s="35"/>
      <c r="AM246" s="35"/>
      <c r="AN246" s="32"/>
      <c r="AO246" s="32"/>
      <c r="AP246" s="775"/>
      <c r="AQ246" s="775"/>
      <c r="AR246" s="32"/>
      <c r="AV246" s="32"/>
      <c r="AW246" s="26"/>
      <c r="AX246" s="32"/>
      <c r="BG246" s="32"/>
      <c r="BJ246" s="32"/>
      <c r="BM246" s="32"/>
      <c r="BN246" s="391"/>
      <c r="BR246" s="56"/>
      <c r="BS246" s="57"/>
      <c r="BT246" s="57"/>
      <c r="CA246" s="700"/>
      <c r="CB246" s="700"/>
      <c r="CD246" s="26"/>
      <c r="CE246" s="33"/>
      <c r="CF246" s="103"/>
      <c r="CI246" s="32"/>
      <c r="CJ246" s="26"/>
      <c r="CX246" s="794"/>
      <c r="CY246" s="794"/>
      <c r="DR246" s="439"/>
      <c r="EL246" s="439"/>
      <c r="EM246" s="439"/>
      <c r="EN246" s="711"/>
      <c r="EP246" s="439"/>
      <c r="EQ246" s="439"/>
      <c r="ER246" s="439"/>
      <c r="ES246" s="439"/>
      <c r="ET246" s="439"/>
      <c r="EU246" s="672"/>
      <c r="EX246" s="32"/>
      <c r="FH246" s="38"/>
      <c r="FI246" s="38"/>
      <c r="FJ246" s="38"/>
      <c r="FK246" s="38"/>
      <c r="FL246" s="38"/>
      <c r="FM246" s="38"/>
      <c r="FN246" s="38"/>
      <c r="FO246" s="38"/>
      <c r="HN246" s="38"/>
      <c r="HO246" s="38"/>
      <c r="HP246" s="38"/>
      <c r="HQ246" s="38"/>
      <c r="HR246" s="38"/>
      <c r="HS246" s="38"/>
      <c r="HT246" s="38"/>
      <c r="HU246" s="38"/>
    </row>
    <row r="247" spans="1:229" s="27" customFormat="1" ht="12.75">
      <c r="A247" s="26"/>
      <c r="B247" s="26"/>
      <c r="C247" s="26"/>
      <c r="D247" s="26"/>
      <c r="E247" s="26"/>
      <c r="F247" s="26"/>
      <c r="G247" s="31"/>
      <c r="I247" s="32"/>
      <c r="K247" s="53"/>
      <c r="L247" s="52"/>
      <c r="M247" s="33"/>
      <c r="N247" s="33"/>
      <c r="O247" s="33"/>
      <c r="P247" s="26"/>
      <c r="Q247" s="33"/>
      <c r="R247" s="33"/>
      <c r="S247" s="26"/>
      <c r="T247" s="26"/>
      <c r="U247" s="26"/>
      <c r="V247" s="26"/>
      <c r="W247" s="26"/>
      <c r="X247" s="106"/>
      <c r="Y247" s="33"/>
      <c r="Z247" s="89"/>
      <c r="AA247" s="26"/>
      <c r="AB247" s="26"/>
      <c r="AC247" s="26"/>
      <c r="AD247" s="26"/>
      <c r="AE247" s="26"/>
      <c r="AF247" s="26"/>
      <c r="AG247" s="87"/>
      <c r="AH247" s="33"/>
      <c r="AI247" s="33"/>
      <c r="AJ247" s="33"/>
      <c r="AK247" s="32"/>
      <c r="AL247" s="35"/>
      <c r="AM247" s="35"/>
      <c r="AN247" s="32"/>
      <c r="AO247" s="32"/>
      <c r="AP247" s="775"/>
      <c r="AQ247" s="775"/>
      <c r="AR247" s="32"/>
      <c r="AV247" s="32"/>
      <c r="AW247" s="26"/>
      <c r="AX247" s="32"/>
      <c r="BG247" s="32"/>
      <c r="BJ247" s="32"/>
      <c r="BM247" s="32"/>
      <c r="BN247" s="391"/>
      <c r="BR247" s="56"/>
      <c r="BS247" s="57"/>
      <c r="BT247" s="57"/>
      <c r="CA247" s="700"/>
      <c r="CB247" s="700"/>
      <c r="CD247" s="26"/>
      <c r="CE247" s="33"/>
      <c r="CF247" s="103"/>
      <c r="CI247" s="32"/>
      <c r="CJ247" s="26"/>
      <c r="CX247" s="794"/>
      <c r="CY247" s="794"/>
      <c r="DR247" s="439"/>
      <c r="EL247" s="439"/>
      <c r="EM247" s="439"/>
      <c r="EN247" s="711"/>
      <c r="EP247" s="439"/>
      <c r="EQ247" s="439"/>
      <c r="ER247" s="439"/>
      <c r="ES247" s="439"/>
      <c r="ET247" s="439"/>
      <c r="EU247" s="672"/>
      <c r="EX247" s="32"/>
      <c r="FH247" s="38"/>
      <c r="FI247" s="38"/>
      <c r="FJ247" s="38"/>
      <c r="FK247" s="38"/>
      <c r="FL247" s="38"/>
      <c r="FM247" s="38"/>
      <c r="FN247" s="38"/>
      <c r="FO247" s="38"/>
      <c r="HN247" s="38"/>
      <c r="HO247" s="38"/>
      <c r="HP247" s="38"/>
      <c r="HQ247" s="38"/>
      <c r="HR247" s="38"/>
      <c r="HS247" s="38"/>
      <c r="HT247" s="38"/>
      <c r="HU247" s="38"/>
    </row>
    <row r="248" spans="1:229" s="27" customFormat="1" ht="12.75">
      <c r="A248" s="26"/>
      <c r="B248" s="26"/>
      <c r="C248" s="26"/>
      <c r="D248" s="26"/>
      <c r="E248" s="26"/>
      <c r="F248" s="26"/>
      <c r="G248" s="31"/>
      <c r="I248" s="32"/>
      <c r="K248" s="53"/>
      <c r="L248" s="52"/>
      <c r="M248" s="33"/>
      <c r="N248" s="33"/>
      <c r="O248" s="33"/>
      <c r="P248" s="26"/>
      <c r="Q248" s="33"/>
      <c r="R248" s="33"/>
      <c r="S248" s="26"/>
      <c r="T248" s="26"/>
      <c r="U248" s="26"/>
      <c r="V248" s="26"/>
      <c r="W248" s="26"/>
      <c r="X248" s="106"/>
      <c r="Y248" s="33"/>
      <c r="Z248" s="89"/>
      <c r="AA248" s="26"/>
      <c r="AB248" s="26"/>
      <c r="AC248" s="26"/>
      <c r="AD248" s="26"/>
      <c r="AE248" s="26"/>
      <c r="AF248" s="26"/>
      <c r="AG248" s="87"/>
      <c r="AH248" s="33"/>
      <c r="AI248" s="33"/>
      <c r="AJ248" s="33"/>
      <c r="AK248" s="32"/>
      <c r="AL248" s="35"/>
      <c r="AM248" s="35"/>
      <c r="AN248" s="32"/>
      <c r="AO248" s="32"/>
      <c r="AP248" s="775"/>
      <c r="AQ248" s="775"/>
      <c r="AR248" s="32"/>
      <c r="AV248" s="32"/>
      <c r="AW248" s="26"/>
      <c r="AX248" s="32"/>
      <c r="BG248" s="32"/>
      <c r="BJ248" s="32"/>
      <c r="BM248" s="32"/>
      <c r="BN248" s="391"/>
      <c r="BR248" s="56"/>
      <c r="BS248" s="57"/>
      <c r="BT248" s="57"/>
      <c r="CA248" s="700"/>
      <c r="CB248" s="700"/>
      <c r="CD248" s="26"/>
      <c r="CE248" s="33"/>
      <c r="CF248" s="103"/>
      <c r="CI248" s="32"/>
      <c r="CJ248" s="26"/>
      <c r="CX248" s="794"/>
      <c r="CY248" s="794"/>
      <c r="DR248" s="439"/>
      <c r="EL248" s="439"/>
      <c r="EM248" s="439"/>
      <c r="EN248" s="711"/>
      <c r="EP248" s="439"/>
      <c r="EQ248" s="439"/>
      <c r="ER248" s="439"/>
      <c r="ES248" s="439"/>
      <c r="ET248" s="439"/>
      <c r="EU248" s="672"/>
      <c r="EX248" s="32"/>
      <c r="FH248" s="38"/>
      <c r="FI248" s="38"/>
      <c r="FJ248" s="38"/>
      <c r="FK248" s="38"/>
      <c r="FL248" s="38"/>
      <c r="FM248" s="38"/>
      <c r="FN248" s="38"/>
      <c r="FO248" s="38"/>
      <c r="HN248" s="38"/>
      <c r="HO248" s="38"/>
      <c r="HP248" s="38"/>
      <c r="HQ248" s="38"/>
      <c r="HR248" s="38"/>
      <c r="HS248" s="38"/>
      <c r="HT248" s="38"/>
      <c r="HU248" s="38"/>
    </row>
    <row r="249" spans="1:229" s="27" customFormat="1" ht="12.75">
      <c r="A249" s="26"/>
      <c r="B249" s="26"/>
      <c r="C249" s="26"/>
      <c r="D249" s="26"/>
      <c r="E249" s="26"/>
      <c r="F249" s="26"/>
      <c r="G249" s="31"/>
      <c r="I249" s="32"/>
      <c r="K249" s="53"/>
      <c r="L249" s="52"/>
      <c r="M249" s="33"/>
      <c r="N249" s="33"/>
      <c r="O249" s="33"/>
      <c r="P249" s="26"/>
      <c r="Q249" s="33"/>
      <c r="R249" s="33"/>
      <c r="S249" s="26"/>
      <c r="T249" s="26"/>
      <c r="U249" s="26"/>
      <c r="V249" s="26"/>
      <c r="W249" s="26"/>
      <c r="X249" s="106"/>
      <c r="Y249" s="33"/>
      <c r="Z249" s="89"/>
      <c r="AA249" s="26"/>
      <c r="AB249" s="26"/>
      <c r="AC249" s="26"/>
      <c r="AD249" s="26"/>
      <c r="AE249" s="26"/>
      <c r="AF249" s="26"/>
      <c r="AG249" s="87"/>
      <c r="AH249" s="33"/>
      <c r="AI249" s="33"/>
      <c r="AJ249" s="33"/>
      <c r="AK249" s="32"/>
      <c r="AL249" s="35"/>
      <c r="AM249" s="35"/>
      <c r="AN249" s="32"/>
      <c r="AO249" s="32"/>
      <c r="AP249" s="775"/>
      <c r="AQ249" s="775"/>
      <c r="AR249" s="32"/>
      <c r="AV249" s="32"/>
      <c r="AW249" s="26"/>
      <c r="AX249" s="32"/>
      <c r="BG249" s="32"/>
      <c r="BJ249" s="32"/>
      <c r="BM249" s="32"/>
      <c r="BN249" s="391"/>
      <c r="BR249" s="56"/>
      <c r="BS249" s="57"/>
      <c r="BT249" s="57"/>
      <c r="CA249" s="700"/>
      <c r="CB249" s="700"/>
      <c r="CD249" s="26"/>
      <c r="CE249" s="33"/>
      <c r="CF249" s="103"/>
      <c r="CI249" s="32"/>
      <c r="CJ249" s="26"/>
      <c r="CX249" s="794"/>
      <c r="CY249" s="794"/>
      <c r="DR249" s="439"/>
      <c r="EL249" s="439"/>
      <c r="EM249" s="439"/>
      <c r="EN249" s="711"/>
      <c r="EP249" s="439"/>
      <c r="EQ249" s="439"/>
      <c r="ER249" s="439"/>
      <c r="ES249" s="439"/>
      <c r="ET249" s="439"/>
      <c r="EU249" s="672"/>
      <c r="EX249" s="32"/>
      <c r="FH249" s="38"/>
      <c r="FI249" s="38"/>
      <c r="FJ249" s="38"/>
      <c r="FK249" s="38"/>
      <c r="FL249" s="38"/>
      <c r="FM249" s="38"/>
      <c r="FN249" s="38"/>
      <c r="FO249" s="38"/>
      <c r="HN249" s="38"/>
      <c r="HO249" s="38"/>
      <c r="HP249" s="38"/>
      <c r="HQ249" s="38"/>
      <c r="HR249" s="38"/>
      <c r="HS249" s="38"/>
      <c r="HT249" s="38"/>
      <c r="HU249" s="38"/>
    </row>
    <row r="250" spans="1:229" s="27" customFormat="1" ht="12.75">
      <c r="A250" s="26"/>
      <c r="B250" s="26"/>
      <c r="C250" s="26"/>
      <c r="D250" s="26"/>
      <c r="E250" s="26"/>
      <c r="F250" s="26"/>
      <c r="G250" s="31"/>
      <c r="I250" s="32"/>
      <c r="K250" s="53"/>
      <c r="L250" s="52"/>
      <c r="M250" s="33"/>
      <c r="N250" s="33"/>
      <c r="O250" s="33"/>
      <c r="P250" s="26"/>
      <c r="Q250" s="33"/>
      <c r="R250" s="33"/>
      <c r="S250" s="26"/>
      <c r="T250" s="26"/>
      <c r="U250" s="26"/>
      <c r="V250" s="26"/>
      <c r="W250" s="26"/>
      <c r="X250" s="106"/>
      <c r="Y250" s="33"/>
      <c r="Z250" s="89"/>
      <c r="AA250" s="26"/>
      <c r="AB250" s="26"/>
      <c r="AC250" s="26"/>
      <c r="AD250" s="26"/>
      <c r="AE250" s="26"/>
      <c r="AF250" s="26"/>
      <c r="AG250" s="87"/>
      <c r="AH250" s="33"/>
      <c r="AI250" s="33"/>
      <c r="AJ250" s="33"/>
      <c r="AK250" s="32"/>
      <c r="AL250" s="35"/>
      <c r="AM250" s="35"/>
      <c r="AN250" s="32"/>
      <c r="AO250" s="32"/>
      <c r="AP250" s="775"/>
      <c r="AQ250" s="775"/>
      <c r="AR250" s="32"/>
      <c r="AV250" s="32"/>
      <c r="AW250" s="26"/>
      <c r="AX250" s="32"/>
      <c r="BG250" s="32"/>
      <c r="BJ250" s="32"/>
      <c r="BM250" s="32"/>
      <c r="BN250" s="391"/>
      <c r="BR250" s="56"/>
      <c r="BS250" s="57"/>
      <c r="BT250" s="57"/>
      <c r="CA250" s="700"/>
      <c r="CB250" s="700"/>
      <c r="CD250" s="26"/>
      <c r="CE250" s="33"/>
      <c r="CF250" s="103"/>
      <c r="CI250" s="32"/>
      <c r="CJ250" s="26"/>
      <c r="CX250" s="794"/>
      <c r="CY250" s="794"/>
      <c r="DR250" s="439"/>
      <c r="EL250" s="439"/>
      <c r="EM250" s="439"/>
      <c r="EN250" s="711"/>
      <c r="EP250" s="439"/>
      <c r="EQ250" s="439"/>
      <c r="ER250" s="439"/>
      <c r="ES250" s="439"/>
      <c r="ET250" s="439"/>
      <c r="EU250" s="672"/>
      <c r="EX250" s="32"/>
      <c r="FH250" s="38"/>
      <c r="FI250" s="38"/>
      <c r="FJ250" s="38"/>
      <c r="FK250" s="38"/>
      <c r="FL250" s="38"/>
      <c r="FM250" s="38"/>
      <c r="FN250" s="38"/>
      <c r="FO250" s="38"/>
      <c r="HN250" s="38"/>
      <c r="HO250" s="38"/>
      <c r="HP250" s="38"/>
      <c r="HQ250" s="38"/>
      <c r="HR250" s="38"/>
      <c r="HS250" s="38"/>
      <c r="HT250" s="38"/>
      <c r="HU250" s="38"/>
    </row>
    <row r="251" spans="1:229" s="27" customFormat="1" ht="12.75">
      <c r="A251" s="26"/>
      <c r="B251" s="26"/>
      <c r="C251" s="26"/>
      <c r="D251" s="26"/>
      <c r="E251" s="26"/>
      <c r="F251" s="26"/>
      <c r="G251" s="31"/>
      <c r="I251" s="32"/>
      <c r="K251" s="53"/>
      <c r="L251" s="52"/>
      <c r="M251" s="33"/>
      <c r="N251" s="33"/>
      <c r="O251" s="33"/>
      <c r="P251" s="26"/>
      <c r="Q251" s="33"/>
      <c r="R251" s="33"/>
      <c r="S251" s="26"/>
      <c r="T251" s="26"/>
      <c r="U251" s="26"/>
      <c r="V251" s="26"/>
      <c r="W251" s="26"/>
      <c r="X251" s="106"/>
      <c r="Y251" s="33"/>
      <c r="Z251" s="89"/>
      <c r="AA251" s="26"/>
      <c r="AB251" s="26"/>
      <c r="AC251" s="26"/>
      <c r="AD251" s="26"/>
      <c r="AE251" s="26"/>
      <c r="AF251" s="26"/>
      <c r="AG251" s="87"/>
      <c r="AH251" s="33"/>
      <c r="AI251" s="33"/>
      <c r="AJ251" s="33"/>
      <c r="AK251" s="32"/>
      <c r="AL251" s="35"/>
      <c r="AM251" s="35"/>
      <c r="AN251" s="32"/>
      <c r="AO251" s="32"/>
      <c r="AP251" s="775"/>
      <c r="AQ251" s="775"/>
      <c r="AR251" s="32"/>
      <c r="AV251" s="32"/>
      <c r="AW251" s="26"/>
      <c r="AX251" s="32"/>
      <c r="BG251" s="32"/>
      <c r="BJ251" s="32"/>
      <c r="BM251" s="32"/>
      <c r="BN251" s="391"/>
      <c r="BR251" s="56"/>
      <c r="BS251" s="57"/>
      <c r="BT251" s="57"/>
      <c r="CA251" s="700"/>
      <c r="CB251" s="700"/>
      <c r="CD251" s="26"/>
      <c r="CE251" s="33"/>
      <c r="CF251" s="103"/>
      <c r="CI251" s="32"/>
      <c r="CJ251" s="26"/>
      <c r="CX251" s="794"/>
      <c r="CY251" s="794"/>
      <c r="DR251" s="439"/>
      <c r="EL251" s="439"/>
      <c r="EM251" s="439"/>
      <c r="EN251" s="711"/>
      <c r="EP251" s="439"/>
      <c r="EQ251" s="439"/>
      <c r="ER251" s="439"/>
      <c r="ES251" s="439"/>
      <c r="ET251" s="439"/>
      <c r="EU251" s="672"/>
      <c r="EX251" s="32"/>
      <c r="FH251" s="38"/>
      <c r="FI251" s="38"/>
      <c r="FJ251" s="38"/>
      <c r="FK251" s="38"/>
      <c r="FL251" s="38"/>
      <c r="FM251" s="38"/>
      <c r="FN251" s="38"/>
      <c r="FO251" s="38"/>
      <c r="HN251" s="38"/>
      <c r="HO251" s="38"/>
      <c r="HP251" s="38"/>
      <c r="HQ251" s="38"/>
      <c r="HR251" s="38"/>
      <c r="HS251" s="38"/>
      <c r="HT251" s="38"/>
      <c r="HU251" s="38"/>
    </row>
    <row r="252" spans="1:229" s="27" customFormat="1" ht="12.75">
      <c r="A252" s="26"/>
      <c r="B252" s="26"/>
      <c r="C252" s="26"/>
      <c r="D252" s="26"/>
      <c r="E252" s="26"/>
      <c r="F252" s="26"/>
      <c r="G252" s="31"/>
      <c r="I252" s="32"/>
      <c r="K252" s="53"/>
      <c r="L252" s="52"/>
      <c r="M252" s="33"/>
      <c r="N252" s="33"/>
      <c r="O252" s="33"/>
      <c r="P252" s="26"/>
      <c r="Q252" s="33"/>
      <c r="R252" s="33"/>
      <c r="S252" s="26"/>
      <c r="T252" s="26"/>
      <c r="U252" s="26"/>
      <c r="V252" s="26"/>
      <c r="W252" s="26"/>
      <c r="X252" s="106"/>
      <c r="Y252" s="33"/>
      <c r="Z252" s="89"/>
      <c r="AA252" s="26"/>
      <c r="AB252" s="26"/>
      <c r="AC252" s="26"/>
      <c r="AD252" s="26"/>
      <c r="AE252" s="26"/>
      <c r="AF252" s="26"/>
      <c r="AG252" s="87"/>
      <c r="AH252" s="33"/>
      <c r="AI252" s="33"/>
      <c r="AJ252" s="33"/>
      <c r="AK252" s="32"/>
      <c r="AL252" s="35"/>
      <c r="AM252" s="35"/>
      <c r="AN252" s="32"/>
      <c r="AO252" s="32"/>
      <c r="AP252" s="775"/>
      <c r="AQ252" s="775"/>
      <c r="AR252" s="32"/>
      <c r="AV252" s="32"/>
      <c r="AW252" s="26"/>
      <c r="AX252" s="32"/>
      <c r="BG252" s="32"/>
      <c r="BJ252" s="32"/>
      <c r="BM252" s="32"/>
      <c r="BN252" s="391"/>
      <c r="BR252" s="56"/>
      <c r="BS252" s="57"/>
      <c r="BT252" s="57"/>
      <c r="CA252" s="700"/>
      <c r="CB252" s="700"/>
      <c r="CD252" s="26"/>
      <c r="CE252" s="33"/>
      <c r="CF252" s="103"/>
      <c r="CI252" s="32"/>
      <c r="CJ252" s="26"/>
      <c r="CX252" s="794"/>
      <c r="CY252" s="794"/>
      <c r="DR252" s="439"/>
      <c r="EL252" s="439"/>
      <c r="EM252" s="439"/>
      <c r="EN252" s="711"/>
      <c r="EP252" s="439"/>
      <c r="EQ252" s="439"/>
      <c r="ER252" s="439"/>
      <c r="ES252" s="439"/>
      <c r="ET252" s="439"/>
      <c r="EU252" s="672"/>
      <c r="EX252" s="32"/>
      <c r="FH252" s="38"/>
      <c r="FI252" s="38"/>
      <c r="FJ252" s="38"/>
      <c r="FK252" s="38"/>
      <c r="FL252" s="38"/>
      <c r="FM252" s="38"/>
      <c r="FN252" s="38"/>
      <c r="FO252" s="38"/>
      <c r="HN252" s="38"/>
      <c r="HO252" s="38"/>
      <c r="HP252" s="38"/>
      <c r="HQ252" s="38"/>
      <c r="HR252" s="38"/>
      <c r="HS252" s="38"/>
      <c r="HT252" s="38"/>
      <c r="HU252" s="38"/>
    </row>
    <row r="253" spans="1:229" s="27" customFormat="1" ht="12.75">
      <c r="A253" s="26"/>
      <c r="B253" s="26"/>
      <c r="C253" s="26"/>
      <c r="D253" s="26"/>
      <c r="E253" s="26"/>
      <c r="F253" s="26"/>
      <c r="G253" s="31"/>
      <c r="I253" s="32"/>
      <c r="K253" s="53"/>
      <c r="L253" s="52"/>
      <c r="M253" s="33"/>
      <c r="N253" s="33"/>
      <c r="O253" s="33"/>
      <c r="P253" s="26"/>
      <c r="Q253" s="33"/>
      <c r="R253" s="33"/>
      <c r="S253" s="26"/>
      <c r="T253" s="26"/>
      <c r="U253" s="26"/>
      <c r="V253" s="26"/>
      <c r="W253" s="26"/>
      <c r="X253" s="106"/>
      <c r="Y253" s="33"/>
      <c r="Z253" s="89"/>
      <c r="AA253" s="26"/>
      <c r="AB253" s="26"/>
      <c r="AC253" s="26"/>
      <c r="AD253" s="26"/>
      <c r="AE253" s="26"/>
      <c r="AF253" s="26"/>
      <c r="AG253" s="87"/>
      <c r="AH253" s="33"/>
      <c r="AI253" s="33"/>
      <c r="AJ253" s="33"/>
      <c r="AK253" s="32"/>
      <c r="AL253" s="35"/>
      <c r="AM253" s="35"/>
      <c r="AN253" s="32"/>
      <c r="AO253" s="32"/>
      <c r="AP253" s="775"/>
      <c r="AQ253" s="775"/>
      <c r="AR253" s="32"/>
      <c r="AV253" s="32"/>
      <c r="AW253" s="26"/>
      <c r="AX253" s="32"/>
      <c r="BG253" s="32"/>
      <c r="BJ253" s="32"/>
      <c r="BM253" s="32"/>
      <c r="BN253" s="391"/>
      <c r="BR253" s="56"/>
      <c r="BS253" s="57"/>
      <c r="BT253" s="57"/>
      <c r="CA253" s="700"/>
      <c r="CB253" s="700"/>
      <c r="CD253" s="26"/>
      <c r="CE253" s="33"/>
      <c r="CF253" s="103"/>
      <c r="CI253" s="32"/>
      <c r="CJ253" s="26"/>
      <c r="CX253" s="794"/>
      <c r="CY253" s="794"/>
      <c r="DR253" s="439"/>
      <c r="EL253" s="439"/>
      <c r="EM253" s="439"/>
      <c r="EN253" s="711"/>
      <c r="EP253" s="439"/>
      <c r="EQ253" s="439"/>
      <c r="ER253" s="439"/>
      <c r="ES253" s="439"/>
      <c r="ET253" s="439"/>
      <c r="EU253" s="672"/>
      <c r="EX253" s="32"/>
      <c r="FH253" s="38"/>
      <c r="FI253" s="38"/>
      <c r="FJ253" s="38"/>
      <c r="FK253" s="38"/>
      <c r="FL253" s="38"/>
      <c r="FM253" s="38"/>
      <c r="FN253" s="38"/>
      <c r="FO253" s="38"/>
      <c r="HN253" s="38"/>
      <c r="HO253" s="38"/>
      <c r="HP253" s="38"/>
      <c r="HQ253" s="38"/>
      <c r="HR253" s="38"/>
      <c r="HS253" s="38"/>
      <c r="HT253" s="38"/>
      <c r="HU253" s="38"/>
    </row>
    <row r="254" spans="1:229" s="27" customFormat="1" ht="12.75">
      <c r="A254" s="26"/>
      <c r="B254" s="26"/>
      <c r="C254" s="26"/>
      <c r="D254" s="26"/>
      <c r="E254" s="26"/>
      <c r="F254" s="26"/>
      <c r="G254" s="31"/>
      <c r="I254" s="32"/>
      <c r="K254" s="53"/>
      <c r="L254" s="52"/>
      <c r="M254" s="33"/>
      <c r="N254" s="33"/>
      <c r="O254" s="33"/>
      <c r="P254" s="26"/>
      <c r="Q254" s="33"/>
      <c r="R254" s="33"/>
      <c r="S254" s="26"/>
      <c r="T254" s="26"/>
      <c r="U254" s="26"/>
      <c r="V254" s="26"/>
      <c r="W254" s="26"/>
      <c r="X254" s="106"/>
      <c r="Y254" s="33"/>
      <c r="Z254" s="89"/>
      <c r="AA254" s="26"/>
      <c r="AB254" s="26"/>
      <c r="AC254" s="26"/>
      <c r="AD254" s="26"/>
      <c r="AE254" s="26"/>
      <c r="AF254" s="26"/>
      <c r="AG254" s="87"/>
      <c r="AH254" s="33"/>
      <c r="AI254" s="33"/>
      <c r="AJ254" s="33"/>
      <c r="AK254" s="32"/>
      <c r="AL254" s="35"/>
      <c r="AM254" s="35"/>
      <c r="AN254" s="32"/>
      <c r="AO254" s="32"/>
      <c r="AP254" s="775"/>
      <c r="AQ254" s="775"/>
      <c r="AR254" s="32"/>
      <c r="AV254" s="32"/>
      <c r="AW254" s="26"/>
      <c r="AX254" s="32"/>
      <c r="BG254" s="32"/>
      <c r="BJ254" s="32"/>
      <c r="BM254" s="32"/>
      <c r="BN254" s="391"/>
      <c r="BR254" s="56"/>
      <c r="BS254" s="57"/>
      <c r="BT254" s="57"/>
      <c r="CA254" s="700"/>
      <c r="CB254" s="700"/>
      <c r="CD254" s="26"/>
      <c r="CE254" s="33"/>
      <c r="CF254" s="103"/>
      <c r="CI254" s="32"/>
      <c r="CJ254" s="26"/>
      <c r="CX254" s="794"/>
      <c r="CY254" s="794"/>
      <c r="DR254" s="439"/>
      <c r="EL254" s="439"/>
      <c r="EM254" s="439"/>
      <c r="EN254" s="711"/>
      <c r="EP254" s="439"/>
      <c r="EQ254" s="439"/>
      <c r="ER254" s="439"/>
      <c r="ES254" s="439"/>
      <c r="ET254" s="439"/>
      <c r="EU254" s="672"/>
      <c r="EX254" s="32"/>
      <c r="FH254" s="38"/>
      <c r="FI254" s="38"/>
      <c r="FJ254" s="38"/>
      <c r="FK254" s="38"/>
      <c r="FL254" s="38"/>
      <c r="FM254" s="38"/>
      <c r="FN254" s="38"/>
      <c r="FO254" s="38"/>
      <c r="HN254" s="38"/>
      <c r="HO254" s="38"/>
      <c r="HP254" s="38"/>
      <c r="HQ254" s="38"/>
      <c r="HR254" s="38"/>
      <c r="HS254" s="38"/>
      <c r="HT254" s="38"/>
      <c r="HU254" s="38"/>
    </row>
    <row r="255" spans="1:229" s="27" customFormat="1" ht="12.75">
      <c r="A255" s="26"/>
      <c r="B255" s="26"/>
      <c r="C255" s="26"/>
      <c r="D255" s="26"/>
      <c r="E255" s="26"/>
      <c r="F255" s="26"/>
      <c r="G255" s="31"/>
      <c r="I255" s="32"/>
      <c r="K255" s="53"/>
      <c r="L255" s="52"/>
      <c r="M255" s="33"/>
      <c r="N255" s="33"/>
      <c r="O255" s="33"/>
      <c r="P255" s="26"/>
      <c r="Q255" s="33"/>
      <c r="R255" s="33"/>
      <c r="S255" s="26"/>
      <c r="T255" s="26"/>
      <c r="U255" s="26"/>
      <c r="V255" s="26"/>
      <c r="W255" s="26"/>
      <c r="X255" s="106"/>
      <c r="Y255" s="33"/>
      <c r="Z255" s="89"/>
      <c r="AA255" s="26"/>
      <c r="AB255" s="26"/>
      <c r="AC255" s="26"/>
      <c r="AD255" s="26"/>
      <c r="AE255" s="26"/>
      <c r="AF255" s="26"/>
      <c r="AG255" s="87"/>
      <c r="AH255" s="33"/>
      <c r="AI255" s="33"/>
      <c r="AJ255" s="33"/>
      <c r="AK255" s="32"/>
      <c r="AL255" s="35"/>
      <c r="AM255" s="35"/>
      <c r="AN255" s="32"/>
      <c r="AO255" s="32"/>
      <c r="AP255" s="775"/>
      <c r="AQ255" s="775"/>
      <c r="AR255" s="32"/>
      <c r="AV255" s="32"/>
      <c r="AW255" s="26"/>
      <c r="AX255" s="32"/>
      <c r="BG255" s="32"/>
      <c r="BJ255" s="32"/>
      <c r="BM255" s="32"/>
      <c r="BN255" s="391"/>
      <c r="BR255" s="56"/>
      <c r="BS255" s="57"/>
      <c r="BT255" s="57"/>
      <c r="CA255" s="700"/>
      <c r="CB255" s="700"/>
      <c r="CD255" s="26"/>
      <c r="CE255" s="33"/>
      <c r="CF255" s="103"/>
      <c r="CI255" s="32"/>
      <c r="CJ255" s="26"/>
      <c r="CX255" s="794"/>
      <c r="CY255" s="794"/>
      <c r="DR255" s="439"/>
      <c r="EL255" s="439"/>
      <c r="EM255" s="439"/>
      <c r="EN255" s="711"/>
      <c r="EP255" s="439"/>
      <c r="EQ255" s="439"/>
      <c r="ER255" s="439"/>
      <c r="ES255" s="439"/>
      <c r="ET255" s="439"/>
      <c r="EU255" s="672"/>
      <c r="EX255" s="32"/>
      <c r="FH255" s="38"/>
      <c r="FI255" s="38"/>
      <c r="FJ255" s="38"/>
      <c r="FK255" s="38"/>
      <c r="FL255" s="38"/>
      <c r="FM255" s="38"/>
      <c r="FN255" s="38"/>
      <c r="FO255" s="38"/>
      <c r="HN255" s="38"/>
      <c r="HO255" s="38"/>
      <c r="HP255" s="38"/>
      <c r="HQ255" s="38"/>
      <c r="HR255" s="38"/>
      <c r="HS255" s="38"/>
      <c r="HT255" s="38"/>
      <c r="HU255" s="38"/>
    </row>
    <row r="256" spans="1:229" s="27" customFormat="1" ht="12.75">
      <c r="A256" s="26"/>
      <c r="B256" s="26"/>
      <c r="C256" s="26"/>
      <c r="D256" s="26"/>
      <c r="E256" s="26"/>
      <c r="F256" s="26"/>
      <c r="G256" s="31"/>
      <c r="I256" s="32"/>
      <c r="K256" s="53"/>
      <c r="L256" s="52"/>
      <c r="M256" s="33"/>
      <c r="N256" s="33"/>
      <c r="O256" s="33"/>
      <c r="P256" s="26"/>
      <c r="Q256" s="33"/>
      <c r="R256" s="33"/>
      <c r="S256" s="26"/>
      <c r="T256" s="26"/>
      <c r="U256" s="26"/>
      <c r="V256" s="26"/>
      <c r="W256" s="26"/>
      <c r="X256" s="106"/>
      <c r="Y256" s="33"/>
      <c r="Z256" s="89"/>
      <c r="AA256" s="26"/>
      <c r="AB256" s="26"/>
      <c r="AC256" s="26"/>
      <c r="AD256" s="26"/>
      <c r="AE256" s="26"/>
      <c r="AF256" s="26"/>
      <c r="AG256" s="87"/>
      <c r="AH256" s="33"/>
      <c r="AI256" s="33"/>
      <c r="AJ256" s="33"/>
      <c r="AK256" s="32"/>
      <c r="AL256" s="35"/>
      <c r="AM256" s="35"/>
      <c r="AN256" s="32"/>
      <c r="AO256" s="32"/>
      <c r="AP256" s="775"/>
      <c r="AQ256" s="775"/>
      <c r="AR256" s="32"/>
      <c r="AV256" s="32"/>
      <c r="AW256" s="26"/>
      <c r="AX256" s="32"/>
      <c r="BG256" s="32"/>
      <c r="BJ256" s="32"/>
      <c r="BM256" s="32"/>
      <c r="BN256" s="391"/>
      <c r="BR256" s="56"/>
      <c r="BS256" s="57"/>
      <c r="BT256" s="57"/>
      <c r="CA256" s="700"/>
      <c r="CB256" s="700"/>
      <c r="CD256" s="26"/>
      <c r="CE256" s="33"/>
      <c r="CF256" s="103"/>
      <c r="CI256" s="32"/>
      <c r="CJ256" s="26"/>
      <c r="CX256" s="794"/>
      <c r="CY256" s="794"/>
      <c r="DR256" s="439"/>
      <c r="EL256" s="439"/>
      <c r="EM256" s="439"/>
      <c r="EN256" s="711"/>
      <c r="EP256" s="439"/>
      <c r="EQ256" s="439"/>
      <c r="ER256" s="439"/>
      <c r="ES256" s="439"/>
      <c r="ET256" s="439"/>
      <c r="EU256" s="672"/>
      <c r="EX256" s="32"/>
      <c r="FH256" s="38"/>
      <c r="FI256" s="38"/>
      <c r="FJ256" s="38"/>
      <c r="FK256" s="38"/>
      <c r="FL256" s="38"/>
      <c r="FM256" s="38"/>
      <c r="FN256" s="38"/>
      <c r="FO256" s="38"/>
      <c r="HN256" s="38"/>
      <c r="HO256" s="38"/>
      <c r="HP256" s="38"/>
      <c r="HQ256" s="38"/>
      <c r="HR256" s="38"/>
      <c r="HS256" s="38"/>
      <c r="HT256" s="38"/>
      <c r="HU256" s="38"/>
    </row>
    <row r="257" spans="1:229" s="27" customFormat="1" ht="12.75">
      <c r="A257" s="26"/>
      <c r="B257" s="26"/>
      <c r="C257" s="26"/>
      <c r="D257" s="26"/>
      <c r="E257" s="26"/>
      <c r="F257" s="26"/>
      <c r="G257" s="31"/>
      <c r="I257" s="32"/>
      <c r="K257" s="53"/>
      <c r="L257" s="52"/>
      <c r="M257" s="33"/>
      <c r="N257" s="33"/>
      <c r="O257" s="33"/>
      <c r="P257" s="26"/>
      <c r="Q257" s="33"/>
      <c r="R257" s="33"/>
      <c r="S257" s="26"/>
      <c r="T257" s="26"/>
      <c r="U257" s="26"/>
      <c r="V257" s="26"/>
      <c r="W257" s="26"/>
      <c r="X257" s="106"/>
      <c r="Y257" s="33"/>
      <c r="Z257" s="89"/>
      <c r="AA257" s="26"/>
      <c r="AB257" s="26"/>
      <c r="AC257" s="26"/>
      <c r="AD257" s="26"/>
      <c r="AE257" s="26"/>
      <c r="AF257" s="26"/>
      <c r="AG257" s="87"/>
      <c r="AH257" s="33"/>
      <c r="AI257" s="33"/>
      <c r="AJ257" s="33"/>
      <c r="AK257" s="32"/>
      <c r="AL257" s="35"/>
      <c r="AM257" s="35"/>
      <c r="AN257" s="32"/>
      <c r="AO257" s="32"/>
      <c r="AP257" s="775"/>
      <c r="AQ257" s="775"/>
      <c r="AR257" s="32"/>
      <c r="AV257" s="32"/>
      <c r="AW257" s="26"/>
      <c r="AX257" s="32"/>
      <c r="BG257" s="32"/>
      <c r="BJ257" s="32"/>
      <c r="BM257" s="32"/>
      <c r="BN257" s="391"/>
      <c r="BR257" s="56"/>
      <c r="BS257" s="57"/>
      <c r="BT257" s="57"/>
      <c r="CA257" s="700"/>
      <c r="CB257" s="700"/>
      <c r="CD257" s="26"/>
      <c r="CE257" s="33"/>
      <c r="CF257" s="103"/>
      <c r="CI257" s="32"/>
      <c r="CJ257" s="26"/>
      <c r="CX257" s="794"/>
      <c r="CY257" s="794"/>
      <c r="DR257" s="439"/>
      <c r="EL257" s="439"/>
      <c r="EM257" s="439"/>
      <c r="EN257" s="711"/>
      <c r="EP257" s="439"/>
      <c r="EQ257" s="439"/>
      <c r="ER257" s="439"/>
      <c r="ES257" s="439"/>
      <c r="ET257" s="439"/>
      <c r="EU257" s="672"/>
      <c r="EX257" s="32"/>
      <c r="FH257" s="38"/>
      <c r="FI257" s="38"/>
      <c r="FJ257" s="38"/>
      <c r="FK257" s="38"/>
      <c r="FL257" s="38"/>
      <c r="FM257" s="38"/>
      <c r="FN257" s="38"/>
      <c r="FO257" s="38"/>
      <c r="HN257" s="38"/>
      <c r="HO257" s="38"/>
      <c r="HP257" s="38"/>
      <c r="HQ257" s="38"/>
      <c r="HR257" s="38"/>
      <c r="HS257" s="38"/>
      <c r="HT257" s="38"/>
      <c r="HU257" s="38"/>
    </row>
    <row r="258" spans="1:229" s="27" customFormat="1" ht="12.75">
      <c r="A258" s="26"/>
      <c r="B258" s="26"/>
      <c r="C258" s="26"/>
      <c r="D258" s="26"/>
      <c r="E258" s="26"/>
      <c r="F258" s="26"/>
      <c r="G258" s="31"/>
      <c r="I258" s="32"/>
      <c r="K258" s="53"/>
      <c r="L258" s="52"/>
      <c r="M258" s="33"/>
      <c r="N258" s="33"/>
      <c r="O258" s="33"/>
      <c r="P258" s="26"/>
      <c r="Q258" s="33"/>
      <c r="R258" s="33"/>
      <c r="S258" s="26"/>
      <c r="T258" s="26"/>
      <c r="U258" s="26"/>
      <c r="V258" s="26"/>
      <c r="W258" s="26"/>
      <c r="X258" s="106"/>
      <c r="Y258" s="33"/>
      <c r="Z258" s="89"/>
      <c r="AA258" s="26"/>
      <c r="AB258" s="26"/>
      <c r="AC258" s="26"/>
      <c r="AD258" s="26"/>
      <c r="AE258" s="26"/>
      <c r="AF258" s="26"/>
      <c r="AG258" s="87"/>
      <c r="AH258" s="33"/>
      <c r="AI258" s="33"/>
      <c r="AJ258" s="33"/>
      <c r="AK258" s="32"/>
      <c r="AL258" s="35"/>
      <c r="AM258" s="35"/>
      <c r="AN258" s="32"/>
      <c r="AO258" s="32"/>
      <c r="AP258" s="775"/>
      <c r="AQ258" s="775"/>
      <c r="AR258" s="32"/>
      <c r="AV258" s="32"/>
      <c r="AW258" s="26"/>
      <c r="AX258" s="32"/>
      <c r="BG258" s="32"/>
      <c r="BJ258" s="32"/>
      <c r="BM258" s="32"/>
      <c r="BN258" s="391"/>
      <c r="BR258" s="56"/>
      <c r="BS258" s="57"/>
      <c r="BT258" s="57"/>
      <c r="CA258" s="700"/>
      <c r="CB258" s="700"/>
      <c r="CD258" s="26"/>
      <c r="CE258" s="33"/>
      <c r="CF258" s="103"/>
      <c r="CI258" s="32"/>
      <c r="CJ258" s="26"/>
      <c r="CX258" s="794"/>
      <c r="CY258" s="794"/>
      <c r="DR258" s="439"/>
      <c r="EL258" s="439"/>
      <c r="EM258" s="439"/>
      <c r="EN258" s="711"/>
      <c r="EP258" s="439"/>
      <c r="EQ258" s="439"/>
      <c r="ER258" s="439"/>
      <c r="ES258" s="439"/>
      <c r="ET258" s="439"/>
      <c r="EU258" s="672"/>
      <c r="EX258" s="32"/>
      <c r="FH258" s="38"/>
      <c r="FI258" s="38"/>
      <c r="FJ258" s="38"/>
      <c r="FK258" s="38"/>
      <c r="FL258" s="38"/>
      <c r="FM258" s="38"/>
      <c r="FN258" s="38"/>
      <c r="FO258" s="38"/>
      <c r="HN258" s="38"/>
      <c r="HO258" s="38"/>
      <c r="HP258" s="38"/>
      <c r="HQ258" s="38"/>
      <c r="HR258" s="38"/>
      <c r="HS258" s="38"/>
      <c r="HT258" s="38"/>
      <c r="HU258" s="38"/>
    </row>
  </sheetData>
  <sheetProtection/>
  <mergeCells count="1">
    <mergeCell ref="B85:E85"/>
  </mergeCells>
  <printOptions/>
  <pageMargins left="0.34" right="0.17" top="0.17" bottom="0.17" header="0.17" footer="0.17"/>
  <pageSetup horizontalDpi="200" verticalDpi="200" orientation="portrait" scale="50" r:id="rId3"/>
  <legacyDrawing r:id="rId2"/>
</worksheet>
</file>

<file path=xl/worksheets/sheet2.xml><?xml version="1.0" encoding="utf-8"?>
<worksheet xmlns="http://schemas.openxmlformats.org/spreadsheetml/2006/main" xmlns:r="http://schemas.openxmlformats.org/officeDocument/2006/relationships">
  <dimension ref="A1:T300"/>
  <sheetViews>
    <sheetView zoomScale="71" zoomScaleNormal="71" zoomScalePageLayoutView="0" workbookViewId="0" topLeftCell="F8">
      <selection activeCell="G16" sqref="G16"/>
    </sheetView>
  </sheetViews>
  <sheetFormatPr defaultColWidth="9.140625" defaultRowHeight="12.75"/>
  <cols>
    <col min="1" max="1" width="44.57421875" style="347" bestFit="1" customWidth="1"/>
    <col min="2" max="2" width="33.421875" style="347" customWidth="1"/>
    <col min="3" max="3" width="77.421875" style="342" bestFit="1" customWidth="1"/>
    <col min="4" max="4" width="58.421875" style="342" bestFit="1" customWidth="1"/>
    <col min="5" max="5" width="148.7109375" style="342" bestFit="1" customWidth="1"/>
    <col min="6" max="6" width="64.8515625" style="342" bestFit="1" customWidth="1"/>
    <col min="7" max="7" width="23.00390625" style="342" bestFit="1" customWidth="1"/>
    <col min="8" max="8" width="124.57421875" style="342" bestFit="1" customWidth="1"/>
    <col min="9" max="9" width="21.00390625" style="342" bestFit="1" customWidth="1"/>
    <col min="10" max="10" width="29.00390625" style="343" bestFit="1" customWidth="1"/>
    <col min="11" max="11" width="37.140625" style="343" bestFit="1" customWidth="1"/>
    <col min="12" max="13" width="23.140625" style="343" bestFit="1" customWidth="1"/>
    <col min="14" max="14" width="25.28125" style="343" bestFit="1" customWidth="1"/>
    <col min="15" max="15" width="26.00390625" style="343" bestFit="1" customWidth="1"/>
    <col min="16" max="16" width="36.140625" style="343" bestFit="1" customWidth="1"/>
    <col min="17" max="17" width="19.28125" style="343" bestFit="1" customWidth="1"/>
    <col min="18" max="18" width="36.140625" style="343" bestFit="1" customWidth="1"/>
    <col min="19" max="19" width="24.00390625" style="343" bestFit="1" customWidth="1"/>
    <col min="20" max="20" width="27.57421875" style="343" bestFit="1" customWidth="1"/>
  </cols>
  <sheetData>
    <row r="1" spans="1:20" ht="31.5" customHeight="1">
      <c r="A1" s="328" t="s">
        <v>316</v>
      </c>
      <c r="B1" s="328" t="s">
        <v>317</v>
      </c>
      <c r="C1" s="328" t="s">
        <v>261</v>
      </c>
      <c r="D1" s="328" t="s">
        <v>262</v>
      </c>
      <c r="E1" s="334" t="s">
        <v>263</v>
      </c>
      <c r="F1" s="328" t="s">
        <v>264</v>
      </c>
      <c r="G1" s="328" t="s">
        <v>265</v>
      </c>
      <c r="H1" s="328" t="s">
        <v>266</v>
      </c>
      <c r="I1" s="328" t="s">
        <v>267</v>
      </c>
      <c r="J1" s="328" t="s">
        <v>192</v>
      </c>
      <c r="K1" s="328" t="s">
        <v>193</v>
      </c>
      <c r="L1" s="328" t="s">
        <v>194</v>
      </c>
      <c r="M1" s="328" t="s">
        <v>195</v>
      </c>
      <c r="N1" s="328" t="s">
        <v>196</v>
      </c>
      <c r="O1" s="328" t="s">
        <v>197</v>
      </c>
      <c r="P1" s="328" t="s">
        <v>198</v>
      </c>
      <c r="Q1" s="328" t="s">
        <v>199</v>
      </c>
      <c r="R1" s="328" t="s">
        <v>200</v>
      </c>
      <c r="S1" s="328" t="s">
        <v>201</v>
      </c>
      <c r="T1" s="328" t="s">
        <v>202</v>
      </c>
    </row>
    <row r="2" spans="1:20" ht="120.75" customHeight="1">
      <c r="A2" s="344" t="s">
        <v>327</v>
      </c>
      <c r="B2" s="344" t="s">
        <v>328</v>
      </c>
      <c r="C2" s="335" t="s">
        <v>268</v>
      </c>
      <c r="D2" s="329" t="s">
        <v>269</v>
      </c>
      <c r="E2" s="336" t="s">
        <v>270</v>
      </c>
      <c r="F2" s="329" t="s">
        <v>271</v>
      </c>
      <c r="G2" s="337" t="s">
        <v>272</v>
      </c>
      <c r="H2" s="329" t="s">
        <v>273</v>
      </c>
      <c r="I2" s="329" t="s">
        <v>274</v>
      </c>
      <c r="J2" s="329" t="s">
        <v>203</v>
      </c>
      <c r="K2" s="329" t="s">
        <v>204</v>
      </c>
      <c r="L2" s="329" t="s">
        <v>205</v>
      </c>
      <c r="M2" s="329" t="s">
        <v>206</v>
      </c>
      <c r="N2" s="329" t="s">
        <v>207</v>
      </c>
      <c r="O2" s="329" t="s">
        <v>208</v>
      </c>
      <c r="P2" s="329" t="s">
        <v>209</v>
      </c>
      <c r="Q2" s="330" t="s">
        <v>210</v>
      </c>
      <c r="R2" s="329" t="s">
        <v>211</v>
      </c>
      <c r="S2" s="329" t="s">
        <v>212</v>
      </c>
      <c r="T2" s="329" t="s">
        <v>213</v>
      </c>
    </row>
    <row r="3" spans="1:20" ht="58.5" customHeight="1">
      <c r="A3" s="345" t="s">
        <v>318</v>
      </c>
      <c r="B3" s="345" t="s">
        <v>319</v>
      </c>
      <c r="C3" s="338" t="s">
        <v>275</v>
      </c>
      <c r="D3" s="339" t="s">
        <v>276</v>
      </c>
      <c r="E3" s="340" t="s">
        <v>277</v>
      </c>
      <c r="F3" s="339" t="s">
        <v>278</v>
      </c>
      <c r="G3" s="332" t="s">
        <v>279</v>
      </c>
      <c r="H3" s="340" t="s">
        <v>280</v>
      </c>
      <c r="I3" s="331" t="s">
        <v>281</v>
      </c>
      <c r="J3" s="332" t="s">
        <v>214</v>
      </c>
      <c r="K3" s="332" t="s">
        <v>214</v>
      </c>
      <c r="L3" s="332" t="s">
        <v>215</v>
      </c>
      <c r="M3" s="332" t="s">
        <v>216</v>
      </c>
      <c r="N3" s="332" t="s">
        <v>217</v>
      </c>
      <c r="O3" s="332" t="s">
        <v>218</v>
      </c>
      <c r="P3" s="332" t="s">
        <v>219</v>
      </c>
      <c r="Q3" s="332" t="s">
        <v>220</v>
      </c>
      <c r="R3" s="333" t="s">
        <v>221</v>
      </c>
      <c r="S3" s="333" t="s">
        <v>222</v>
      </c>
      <c r="T3" s="333" t="s">
        <v>222</v>
      </c>
    </row>
    <row r="4" spans="1:20" ht="45.75" customHeight="1">
      <c r="A4" s="345" t="s">
        <v>320</v>
      </c>
      <c r="B4" s="345" t="s">
        <v>321</v>
      </c>
      <c r="C4" s="338" t="s">
        <v>282</v>
      </c>
      <c r="D4" s="339" t="s">
        <v>283</v>
      </c>
      <c r="E4" s="340" t="s">
        <v>284</v>
      </c>
      <c r="F4" s="339" t="s">
        <v>285</v>
      </c>
      <c r="G4" s="332" t="s">
        <v>286</v>
      </c>
      <c r="H4" s="340" t="s">
        <v>287</v>
      </c>
      <c r="I4" s="331" t="s">
        <v>288</v>
      </c>
      <c r="J4" s="333" t="s">
        <v>223</v>
      </c>
      <c r="K4" s="333" t="s">
        <v>224</v>
      </c>
      <c r="L4" s="332" t="s">
        <v>225</v>
      </c>
      <c r="M4" s="333" t="s">
        <v>226</v>
      </c>
      <c r="N4" s="333" t="s">
        <v>227</v>
      </c>
      <c r="O4" s="333" t="s">
        <v>228</v>
      </c>
      <c r="P4" s="333" t="s">
        <v>228</v>
      </c>
      <c r="Q4" s="332" t="s">
        <v>229</v>
      </c>
      <c r="R4" s="333" t="s">
        <v>230</v>
      </c>
      <c r="S4" s="333" t="s">
        <v>231</v>
      </c>
      <c r="T4" s="333" t="s">
        <v>231</v>
      </c>
    </row>
    <row r="5" spans="1:20" ht="52.5" customHeight="1">
      <c r="A5" s="345" t="s">
        <v>322</v>
      </c>
      <c r="B5" s="345" t="s">
        <v>329</v>
      </c>
      <c r="C5" s="338" t="s">
        <v>289</v>
      </c>
      <c r="D5" s="339" t="s">
        <v>290</v>
      </c>
      <c r="E5" s="340" t="s">
        <v>291</v>
      </c>
      <c r="F5" s="339" t="s">
        <v>292</v>
      </c>
      <c r="G5" s="332" t="s">
        <v>293</v>
      </c>
      <c r="H5" s="340" t="s">
        <v>294</v>
      </c>
      <c r="I5" s="331" t="s">
        <v>295</v>
      </c>
      <c r="J5" s="333" t="s">
        <v>232</v>
      </c>
      <c r="K5" s="333" t="s">
        <v>233</v>
      </c>
      <c r="L5" s="332" t="s">
        <v>234</v>
      </c>
      <c r="M5" s="333" t="s">
        <v>235</v>
      </c>
      <c r="N5" s="333" t="s">
        <v>236</v>
      </c>
      <c r="O5" s="333" t="s">
        <v>237</v>
      </c>
      <c r="P5" s="333" t="s">
        <v>236</v>
      </c>
      <c r="Q5" s="332" t="s">
        <v>238</v>
      </c>
      <c r="R5" s="333" t="s">
        <v>239</v>
      </c>
      <c r="S5" s="333" t="s">
        <v>240</v>
      </c>
      <c r="T5" s="333" t="s">
        <v>240</v>
      </c>
    </row>
    <row r="6" spans="1:20" ht="70.5" customHeight="1">
      <c r="A6" s="345" t="s">
        <v>323</v>
      </c>
      <c r="B6" s="345" t="s">
        <v>330</v>
      </c>
      <c r="C6" s="338" t="s">
        <v>296</v>
      </c>
      <c r="D6" s="339" t="s">
        <v>297</v>
      </c>
      <c r="E6" s="340" t="s">
        <v>298</v>
      </c>
      <c r="F6" s="339" t="s">
        <v>299</v>
      </c>
      <c r="G6" s="332" t="s">
        <v>300</v>
      </c>
      <c r="H6" s="340" t="s">
        <v>301</v>
      </c>
      <c r="I6" s="331" t="s">
        <v>302</v>
      </c>
      <c r="J6" s="333" t="s">
        <v>241</v>
      </c>
      <c r="K6" s="333" t="s">
        <v>242</v>
      </c>
      <c r="L6" s="332" t="s">
        <v>243</v>
      </c>
      <c r="M6" s="333" t="s">
        <v>244</v>
      </c>
      <c r="N6" s="333" t="s">
        <v>245</v>
      </c>
      <c r="O6" s="333" t="s">
        <v>245</v>
      </c>
      <c r="P6" s="333" t="s">
        <v>245</v>
      </c>
      <c r="Q6" s="332" t="s">
        <v>246</v>
      </c>
      <c r="R6" s="333" t="s">
        <v>247</v>
      </c>
      <c r="S6" s="333" t="s">
        <v>248</v>
      </c>
      <c r="T6" s="333" t="s">
        <v>248</v>
      </c>
    </row>
    <row r="7" spans="1:20" ht="57" customHeight="1">
      <c r="A7" s="345" t="s">
        <v>324</v>
      </c>
      <c r="B7" s="345" t="s">
        <v>331</v>
      </c>
      <c r="C7" s="338" t="s">
        <v>303</v>
      </c>
      <c r="D7" s="339" t="s">
        <v>304</v>
      </c>
      <c r="E7" s="340" t="s">
        <v>305</v>
      </c>
      <c r="F7" s="339" t="s">
        <v>306</v>
      </c>
      <c r="G7" s="332" t="s">
        <v>307</v>
      </c>
      <c r="H7" s="340" t="s">
        <v>308</v>
      </c>
      <c r="I7" s="331" t="s">
        <v>249</v>
      </c>
      <c r="J7" s="333" t="s">
        <v>250</v>
      </c>
      <c r="K7" s="333" t="s">
        <v>251</v>
      </c>
      <c r="L7" s="332" t="s">
        <v>252</v>
      </c>
      <c r="M7" s="333" t="s">
        <v>253</v>
      </c>
      <c r="N7" s="333" t="s">
        <v>253</v>
      </c>
      <c r="O7" s="333" t="s">
        <v>253</v>
      </c>
      <c r="P7" s="333" t="s">
        <v>253</v>
      </c>
      <c r="Q7" s="332" t="s">
        <v>254</v>
      </c>
      <c r="R7" s="333" t="s">
        <v>255</v>
      </c>
      <c r="S7" s="333" t="s">
        <v>256</v>
      </c>
      <c r="T7" s="333" t="s">
        <v>256</v>
      </c>
    </row>
    <row r="8" spans="1:20" ht="71.25" customHeight="1">
      <c r="A8" s="345" t="s">
        <v>325</v>
      </c>
      <c r="B8" s="345" t="s">
        <v>332</v>
      </c>
      <c r="C8" s="338" t="s">
        <v>309</v>
      </c>
      <c r="D8" s="339" t="s">
        <v>310</v>
      </c>
      <c r="E8" s="340" t="s">
        <v>311</v>
      </c>
      <c r="F8" s="339" t="s">
        <v>312</v>
      </c>
      <c r="G8" s="332" t="s">
        <v>313</v>
      </c>
      <c r="H8" s="333" t="s">
        <v>257</v>
      </c>
      <c r="I8" s="331"/>
      <c r="J8" s="333" t="s">
        <v>257</v>
      </c>
      <c r="K8" s="333" t="s">
        <v>258</v>
      </c>
      <c r="L8" s="332" t="s">
        <v>257</v>
      </c>
      <c r="M8" s="333" t="s">
        <v>257</v>
      </c>
      <c r="N8" s="333" t="s">
        <v>257</v>
      </c>
      <c r="O8" s="333" t="s">
        <v>257</v>
      </c>
      <c r="P8" s="333" t="s">
        <v>257</v>
      </c>
      <c r="Q8" s="332" t="s">
        <v>257</v>
      </c>
      <c r="R8" s="333" t="s">
        <v>259</v>
      </c>
      <c r="S8" s="333" t="s">
        <v>257</v>
      </c>
      <c r="T8" s="333" t="s">
        <v>257</v>
      </c>
    </row>
    <row r="9" spans="1:20" ht="12.75">
      <c r="A9" s="351"/>
      <c r="B9" s="351" t="s">
        <v>326</v>
      </c>
      <c r="C9" s="341" t="s">
        <v>260</v>
      </c>
      <c r="D9" s="333" t="s">
        <v>314</v>
      </c>
      <c r="E9" s="333" t="s">
        <v>260</v>
      </c>
      <c r="F9" s="332" t="s">
        <v>260</v>
      </c>
      <c r="G9" s="332" t="s">
        <v>315</v>
      </c>
      <c r="H9" s="332"/>
      <c r="I9" s="331"/>
      <c r="J9" s="333"/>
      <c r="K9" s="333"/>
      <c r="L9" s="333"/>
      <c r="M9" s="333"/>
      <c r="N9" s="333"/>
      <c r="O9" s="333"/>
      <c r="P9" s="333"/>
      <c r="Q9" s="333"/>
      <c r="R9" s="333" t="s">
        <v>260</v>
      </c>
      <c r="S9" s="333"/>
      <c r="T9" s="333"/>
    </row>
    <row r="10" spans="1:3" ht="12.75">
      <c r="A10" s="349"/>
      <c r="B10" s="349"/>
      <c r="C10" s="348"/>
    </row>
    <row r="11" spans="1:3" ht="12.75">
      <c r="A11" s="349"/>
      <c r="B11" s="349"/>
      <c r="C11" s="348"/>
    </row>
    <row r="12" spans="1:3" ht="12.75">
      <c r="A12" s="349"/>
      <c r="B12" s="349"/>
      <c r="C12" s="348"/>
    </row>
    <row r="13" spans="1:3" ht="12.75">
      <c r="A13" s="349"/>
      <c r="B13" s="349"/>
      <c r="C13" s="348"/>
    </row>
    <row r="14" spans="1:3" ht="12.75">
      <c r="A14" s="349"/>
      <c r="B14" s="349"/>
      <c r="C14" s="348"/>
    </row>
    <row r="15" spans="1:3" ht="12.75">
      <c r="A15" s="349"/>
      <c r="B15" s="349"/>
      <c r="C15" s="348"/>
    </row>
    <row r="16" spans="1:3" ht="12.75">
      <c r="A16" s="352"/>
      <c r="B16" s="352"/>
      <c r="C16" s="348"/>
    </row>
    <row r="17" spans="1:3" ht="12.75">
      <c r="A17" s="349"/>
      <c r="B17" s="349"/>
      <c r="C17" s="348"/>
    </row>
    <row r="18" spans="1:3" ht="12.75">
      <c r="A18" s="349"/>
      <c r="B18" s="349"/>
      <c r="C18" s="348"/>
    </row>
    <row r="19" spans="1:3" ht="12.75">
      <c r="A19" s="352"/>
      <c r="B19" s="352"/>
      <c r="C19" s="348"/>
    </row>
    <row r="20" spans="1:3" ht="12.75">
      <c r="A20" s="353"/>
      <c r="B20" s="353"/>
      <c r="C20" s="348"/>
    </row>
    <row r="21" spans="1:3" ht="12.75">
      <c r="A21" s="353"/>
      <c r="B21" s="353"/>
      <c r="C21" s="348"/>
    </row>
    <row r="22" spans="1:3" ht="12.75">
      <c r="A22" s="353"/>
      <c r="B22" s="353"/>
      <c r="C22" s="348"/>
    </row>
    <row r="23" spans="1:3" ht="12.75">
      <c r="A23" s="353"/>
      <c r="B23" s="353"/>
      <c r="C23" s="348"/>
    </row>
    <row r="24" spans="1:3" ht="12.75">
      <c r="A24" s="353"/>
      <c r="B24" s="353"/>
      <c r="C24" s="348"/>
    </row>
    <row r="25" spans="1:3" ht="12.75">
      <c r="A25" s="353"/>
      <c r="B25" s="353"/>
      <c r="C25" s="348"/>
    </row>
    <row r="26" spans="1:3" ht="12.75">
      <c r="A26" s="353"/>
      <c r="B26" s="353"/>
      <c r="C26" s="348"/>
    </row>
    <row r="27" spans="1:3" ht="12.75">
      <c r="A27" s="353"/>
      <c r="B27" s="353"/>
      <c r="C27" s="348"/>
    </row>
    <row r="28" spans="1:3" ht="12.75">
      <c r="A28" s="353"/>
      <c r="B28" s="353"/>
      <c r="C28" s="348"/>
    </row>
    <row r="29" spans="1:3" ht="12.75">
      <c r="A29" s="353"/>
      <c r="B29" s="353"/>
      <c r="C29" s="348"/>
    </row>
    <row r="30" spans="1:3" ht="12.75">
      <c r="A30" s="353"/>
      <c r="B30" s="353"/>
      <c r="C30" s="348"/>
    </row>
    <row r="31" spans="1:3" ht="12.75">
      <c r="A31" s="353"/>
      <c r="B31" s="353"/>
      <c r="C31" s="348"/>
    </row>
    <row r="32" spans="1:3" ht="12.75">
      <c r="A32" s="353"/>
      <c r="B32" s="353"/>
      <c r="C32" s="348"/>
    </row>
    <row r="33" spans="1:3" ht="12.75">
      <c r="A33" s="353"/>
      <c r="B33" s="353"/>
      <c r="C33" s="348"/>
    </row>
    <row r="34" spans="1:3" ht="12.75">
      <c r="A34" s="353"/>
      <c r="B34" s="353"/>
      <c r="C34" s="348"/>
    </row>
    <row r="35" spans="1:3" ht="12.75">
      <c r="A35" s="353"/>
      <c r="B35" s="353"/>
      <c r="C35" s="348"/>
    </row>
    <row r="36" spans="1:3" ht="12.75">
      <c r="A36" s="353"/>
      <c r="B36" s="353"/>
      <c r="C36" s="348"/>
    </row>
    <row r="37" spans="1:3" ht="12.75">
      <c r="A37" s="353"/>
      <c r="B37" s="353"/>
      <c r="C37" s="348"/>
    </row>
    <row r="38" spans="1:3" ht="12.75">
      <c r="A38" s="353"/>
      <c r="B38" s="353"/>
      <c r="C38" s="348"/>
    </row>
    <row r="39" spans="1:3" ht="12.75">
      <c r="A39" s="353"/>
      <c r="B39" s="353"/>
      <c r="C39" s="348"/>
    </row>
    <row r="40" spans="1:3" ht="12.75">
      <c r="A40" s="353"/>
      <c r="B40" s="353"/>
      <c r="C40" s="348"/>
    </row>
    <row r="41" spans="1:3" ht="12.75">
      <c r="A41" s="353"/>
      <c r="B41" s="353"/>
      <c r="C41" s="348"/>
    </row>
    <row r="42" spans="1:3" ht="12.75">
      <c r="A42" s="353"/>
      <c r="B42" s="353"/>
      <c r="C42" s="348"/>
    </row>
    <row r="43" spans="1:3" ht="12.75">
      <c r="A43" s="353"/>
      <c r="B43" s="353"/>
      <c r="C43" s="348"/>
    </row>
    <row r="44" spans="1:3" ht="12.75">
      <c r="A44" s="353"/>
      <c r="B44" s="353"/>
      <c r="C44" s="348"/>
    </row>
    <row r="45" spans="1:3" ht="12.75">
      <c r="A45" s="353"/>
      <c r="B45" s="353"/>
      <c r="C45" s="348"/>
    </row>
    <row r="46" spans="1:3" ht="12.75">
      <c r="A46" s="353"/>
      <c r="B46" s="353"/>
      <c r="C46" s="348"/>
    </row>
    <row r="47" spans="1:3" ht="12.75">
      <c r="A47" s="353"/>
      <c r="B47" s="353"/>
      <c r="C47" s="348"/>
    </row>
    <row r="48" spans="1:3" ht="12.75">
      <c r="A48" s="353"/>
      <c r="B48" s="353"/>
      <c r="C48" s="348"/>
    </row>
    <row r="49" spans="1:3" ht="12.75">
      <c r="A49" s="353"/>
      <c r="B49" s="353"/>
      <c r="C49" s="348"/>
    </row>
    <row r="50" spans="1:3" ht="12.75">
      <c r="A50" s="353"/>
      <c r="B50" s="353"/>
      <c r="C50" s="348"/>
    </row>
    <row r="51" spans="1:3" ht="12.75">
      <c r="A51" s="353"/>
      <c r="B51" s="353"/>
      <c r="C51" s="348"/>
    </row>
    <row r="52" spans="1:3" ht="12.75">
      <c r="A52" s="353"/>
      <c r="B52" s="353"/>
      <c r="C52" s="348"/>
    </row>
    <row r="53" spans="1:3" ht="12.75">
      <c r="A53" s="353"/>
      <c r="B53" s="353"/>
      <c r="C53" s="348"/>
    </row>
    <row r="54" spans="1:3" ht="12.75">
      <c r="A54" s="353"/>
      <c r="B54" s="353"/>
      <c r="C54" s="348"/>
    </row>
    <row r="55" spans="1:3" ht="12.75">
      <c r="A55" s="353"/>
      <c r="B55" s="353"/>
      <c r="C55" s="348"/>
    </row>
    <row r="56" spans="1:3" ht="12.75">
      <c r="A56" s="353"/>
      <c r="B56" s="353"/>
      <c r="C56" s="348"/>
    </row>
    <row r="57" spans="1:3" ht="12.75">
      <c r="A57" s="354"/>
      <c r="B57" s="354"/>
      <c r="C57" s="348"/>
    </row>
    <row r="58" spans="1:3" ht="12.75">
      <c r="A58" s="355"/>
      <c r="B58" s="355"/>
      <c r="C58" s="348"/>
    </row>
    <row r="59" spans="1:3" ht="12.75">
      <c r="A59" s="356"/>
      <c r="B59" s="356"/>
      <c r="C59" s="348"/>
    </row>
    <row r="60" spans="1:3" ht="12.75">
      <c r="A60" s="357"/>
      <c r="B60" s="357"/>
      <c r="C60" s="348"/>
    </row>
    <row r="61" spans="1:3" ht="12.75">
      <c r="A61" s="349"/>
      <c r="B61" s="349"/>
      <c r="C61" s="348"/>
    </row>
    <row r="62" spans="1:3" ht="12.75">
      <c r="A62" s="358"/>
      <c r="B62" s="358"/>
      <c r="C62" s="348"/>
    </row>
    <row r="63" spans="1:3" ht="12.75">
      <c r="A63" s="349"/>
      <c r="B63" s="349"/>
      <c r="C63" s="348"/>
    </row>
    <row r="64" spans="1:3" ht="12.75">
      <c r="A64" s="349"/>
      <c r="B64" s="349"/>
      <c r="C64" s="348"/>
    </row>
    <row r="65" spans="1:3" ht="12.75">
      <c r="A65" s="349"/>
      <c r="B65" s="349"/>
      <c r="C65" s="348"/>
    </row>
    <row r="66" spans="1:3" ht="12.75">
      <c r="A66" s="358"/>
      <c r="B66" s="358"/>
      <c r="C66" s="348"/>
    </row>
    <row r="67" spans="1:3" ht="12.75">
      <c r="A67" s="349"/>
      <c r="B67" s="349"/>
      <c r="C67" s="348"/>
    </row>
    <row r="68" spans="1:3" ht="12.75">
      <c r="A68" s="349"/>
      <c r="B68" s="349"/>
      <c r="C68" s="348"/>
    </row>
    <row r="69" spans="1:3" ht="12.75">
      <c r="A69" s="349"/>
      <c r="B69" s="349"/>
      <c r="C69" s="348"/>
    </row>
    <row r="70" spans="1:3" ht="12.75">
      <c r="A70" s="349"/>
      <c r="B70" s="349"/>
      <c r="C70" s="348"/>
    </row>
    <row r="71" spans="1:3" ht="12.75">
      <c r="A71" s="349"/>
      <c r="B71" s="349"/>
      <c r="C71" s="348"/>
    </row>
    <row r="72" spans="1:3" ht="12.75">
      <c r="A72" s="349"/>
      <c r="B72" s="349"/>
      <c r="C72" s="348"/>
    </row>
    <row r="73" spans="1:3" ht="12.75">
      <c r="A73" s="349"/>
      <c r="B73" s="349"/>
      <c r="C73" s="348"/>
    </row>
    <row r="74" spans="1:3" ht="12.75">
      <c r="A74" s="349"/>
      <c r="B74" s="349"/>
      <c r="C74" s="348"/>
    </row>
    <row r="75" spans="1:3" ht="12.75">
      <c r="A75" s="349"/>
      <c r="B75" s="349"/>
      <c r="C75" s="348"/>
    </row>
    <row r="76" spans="1:3" ht="12.75">
      <c r="A76" s="349"/>
      <c r="B76" s="349"/>
      <c r="C76" s="348"/>
    </row>
    <row r="77" spans="1:3" ht="12.75">
      <c r="A77" s="349"/>
      <c r="B77" s="349"/>
      <c r="C77" s="348"/>
    </row>
    <row r="78" spans="1:3" ht="12.75">
      <c r="A78" s="349"/>
      <c r="B78" s="349"/>
      <c r="C78" s="348"/>
    </row>
    <row r="79" spans="1:3" ht="12.75">
      <c r="A79" s="349"/>
      <c r="B79" s="349"/>
      <c r="C79" s="348"/>
    </row>
    <row r="80" spans="1:3" ht="12.75">
      <c r="A80" s="349"/>
      <c r="B80" s="349"/>
      <c r="C80" s="348"/>
    </row>
    <row r="81" spans="1:3" ht="12.75">
      <c r="A81" s="349"/>
      <c r="B81" s="349"/>
      <c r="C81" s="348"/>
    </row>
    <row r="82" spans="1:3" ht="12.75">
      <c r="A82" s="349"/>
      <c r="B82" s="349"/>
      <c r="C82" s="348"/>
    </row>
    <row r="83" spans="1:3" ht="12.75">
      <c r="A83" s="349"/>
      <c r="B83" s="349"/>
      <c r="C83" s="348"/>
    </row>
    <row r="84" spans="1:3" ht="12.75">
      <c r="A84" s="349"/>
      <c r="B84" s="349"/>
      <c r="C84" s="348"/>
    </row>
    <row r="85" spans="1:3" ht="12.75">
      <c r="A85" s="349"/>
      <c r="B85" s="349"/>
      <c r="C85" s="348"/>
    </row>
    <row r="86" spans="1:3" ht="12.75">
      <c r="A86" s="349"/>
      <c r="B86" s="349"/>
      <c r="C86" s="348"/>
    </row>
    <row r="87" spans="1:3" ht="12.75">
      <c r="A87" s="349"/>
      <c r="B87" s="349"/>
      <c r="C87" s="348"/>
    </row>
    <row r="88" spans="1:3" ht="12.75">
      <c r="A88" s="349"/>
      <c r="B88" s="349"/>
      <c r="C88" s="348"/>
    </row>
    <row r="89" spans="1:3" ht="12.75">
      <c r="A89" s="349"/>
      <c r="B89" s="349"/>
      <c r="C89" s="348"/>
    </row>
    <row r="90" spans="1:3" ht="12.75">
      <c r="A90" s="359"/>
      <c r="B90" s="359"/>
      <c r="C90" s="348"/>
    </row>
    <row r="91" spans="1:3" ht="12.75">
      <c r="A91" s="359"/>
      <c r="B91" s="359"/>
      <c r="C91" s="348"/>
    </row>
    <row r="92" spans="1:3" ht="12.75">
      <c r="A92" s="359"/>
      <c r="B92" s="359"/>
      <c r="C92" s="348"/>
    </row>
    <row r="93" spans="1:2" ht="12.75">
      <c r="A93" s="359"/>
      <c r="B93" s="359"/>
    </row>
    <row r="94" spans="1:2" ht="12.75">
      <c r="A94" s="359"/>
      <c r="B94" s="359"/>
    </row>
    <row r="95" spans="1:2" ht="12.75">
      <c r="A95" s="359"/>
      <c r="B95" s="359"/>
    </row>
    <row r="96" spans="1:2" ht="12.75">
      <c r="A96" s="359"/>
      <c r="B96" s="359"/>
    </row>
    <row r="97" spans="1:2" ht="12.75">
      <c r="A97" s="359"/>
      <c r="B97" s="359"/>
    </row>
    <row r="98" spans="1:2" ht="12.75">
      <c r="A98" s="359"/>
      <c r="B98" s="359"/>
    </row>
    <row r="99" spans="1:2" ht="12.75">
      <c r="A99" s="359"/>
      <c r="B99" s="359"/>
    </row>
    <row r="100" spans="1:2" ht="12.75">
      <c r="A100" s="359"/>
      <c r="B100" s="359"/>
    </row>
    <row r="101" spans="1:2" ht="12.75">
      <c r="A101" s="359"/>
      <c r="B101" s="359"/>
    </row>
    <row r="102" spans="1:2" ht="12.75">
      <c r="A102" s="359"/>
      <c r="B102" s="359"/>
    </row>
    <row r="103" spans="1:2" ht="12.75">
      <c r="A103" s="359"/>
      <c r="B103" s="359"/>
    </row>
    <row r="104" spans="1:2" ht="12.75">
      <c r="A104" s="359"/>
      <c r="B104" s="359"/>
    </row>
    <row r="105" spans="1:2" ht="12.75">
      <c r="A105" s="359"/>
      <c r="B105" s="359"/>
    </row>
    <row r="106" spans="1:2" ht="12.75">
      <c r="A106" s="359"/>
      <c r="B106" s="359"/>
    </row>
    <row r="107" spans="1:2" ht="12.75">
      <c r="A107" s="359"/>
      <c r="B107" s="359"/>
    </row>
    <row r="108" spans="1:2" ht="12.75">
      <c r="A108" s="359"/>
      <c r="B108" s="359"/>
    </row>
    <row r="109" spans="1:2" ht="12.75">
      <c r="A109" s="359"/>
      <c r="B109" s="359"/>
    </row>
    <row r="110" spans="1:2" ht="12.75">
      <c r="A110" s="359"/>
      <c r="B110" s="359"/>
    </row>
    <row r="111" spans="1:2" ht="12.75">
      <c r="A111" s="359"/>
      <c r="B111" s="359"/>
    </row>
    <row r="112" spans="1:2" ht="12.75">
      <c r="A112" s="359"/>
      <c r="B112" s="359"/>
    </row>
    <row r="113" spans="1:2" ht="12.75">
      <c r="A113" s="359"/>
      <c r="B113" s="359"/>
    </row>
    <row r="114" spans="1:2" ht="12.75">
      <c r="A114" s="359"/>
      <c r="B114" s="359"/>
    </row>
    <row r="115" spans="1:2" ht="12.75">
      <c r="A115" s="359"/>
      <c r="B115" s="359"/>
    </row>
    <row r="116" spans="1:2" ht="12.75">
      <c r="A116" s="359"/>
      <c r="B116" s="359"/>
    </row>
    <row r="117" spans="1:2" ht="12.75">
      <c r="A117" s="359"/>
      <c r="B117" s="359"/>
    </row>
    <row r="118" spans="1:2" ht="12.75">
      <c r="A118" s="359"/>
      <c r="B118" s="359"/>
    </row>
    <row r="119" spans="1:2" ht="12.75">
      <c r="A119" s="359"/>
      <c r="B119" s="359"/>
    </row>
    <row r="120" spans="1:2" ht="12.75">
      <c r="A120" s="359"/>
      <c r="B120" s="359"/>
    </row>
    <row r="121" spans="1:2" ht="12.75">
      <c r="A121" s="359"/>
      <c r="B121" s="359"/>
    </row>
    <row r="122" spans="1:2" ht="12.75">
      <c r="A122" s="359"/>
      <c r="B122" s="359"/>
    </row>
    <row r="123" spans="1:2" ht="12.75">
      <c r="A123" s="359"/>
      <c r="B123" s="359"/>
    </row>
    <row r="124" spans="1:2" ht="12.75">
      <c r="A124" s="359"/>
      <c r="B124" s="359"/>
    </row>
    <row r="125" spans="1:2" ht="12.75">
      <c r="A125" s="359"/>
      <c r="B125" s="359"/>
    </row>
    <row r="126" spans="1:2" ht="12.75">
      <c r="A126" s="359"/>
      <c r="B126" s="359"/>
    </row>
    <row r="127" spans="1:2" ht="12.75">
      <c r="A127" s="359"/>
      <c r="B127" s="359"/>
    </row>
    <row r="128" spans="1:2" ht="12.75">
      <c r="A128" s="359"/>
      <c r="B128" s="359"/>
    </row>
    <row r="129" spans="1:2" ht="12.75">
      <c r="A129" s="359"/>
      <c r="B129" s="359"/>
    </row>
    <row r="130" spans="1:2" ht="12.75">
      <c r="A130" s="359"/>
      <c r="B130" s="359"/>
    </row>
    <row r="131" spans="1:2" ht="12.75">
      <c r="A131" s="359"/>
      <c r="B131" s="359"/>
    </row>
    <row r="132" spans="1:2" ht="12.75">
      <c r="A132" s="359"/>
      <c r="B132" s="359"/>
    </row>
    <row r="133" spans="1:2" ht="12.75">
      <c r="A133" s="359"/>
      <c r="B133" s="359"/>
    </row>
    <row r="134" spans="1:2" ht="12.75">
      <c r="A134" s="359"/>
      <c r="B134" s="359"/>
    </row>
    <row r="135" spans="1:2" ht="12.75">
      <c r="A135" s="359"/>
      <c r="B135" s="359"/>
    </row>
    <row r="136" spans="1:2" ht="12.75">
      <c r="A136" s="359"/>
      <c r="B136" s="359"/>
    </row>
    <row r="137" spans="1:2" ht="12.75">
      <c r="A137" s="359"/>
      <c r="B137" s="359"/>
    </row>
    <row r="138" spans="1:2" ht="12.75">
      <c r="A138" s="359"/>
      <c r="B138" s="359"/>
    </row>
    <row r="139" spans="1:2" ht="12.75">
      <c r="A139" s="359"/>
      <c r="B139" s="359"/>
    </row>
    <row r="140" spans="1:2" ht="12.75">
      <c r="A140" s="359"/>
      <c r="B140" s="359"/>
    </row>
    <row r="141" spans="1:2" ht="12.75">
      <c r="A141" s="359"/>
      <c r="B141" s="359"/>
    </row>
    <row r="142" spans="1:2" ht="12.75">
      <c r="A142" s="359"/>
      <c r="B142" s="359"/>
    </row>
    <row r="143" spans="1:2" ht="12.75">
      <c r="A143" s="359"/>
      <c r="B143" s="359"/>
    </row>
    <row r="144" spans="1:2" ht="12.75">
      <c r="A144" s="359"/>
      <c r="B144" s="359"/>
    </row>
    <row r="145" spans="1:2" ht="12.75">
      <c r="A145" s="359"/>
      <c r="B145" s="359"/>
    </row>
    <row r="146" spans="1:2" ht="12.75">
      <c r="A146" s="359"/>
      <c r="B146" s="359"/>
    </row>
    <row r="147" spans="1:2" ht="12.75">
      <c r="A147" s="359"/>
      <c r="B147" s="359"/>
    </row>
    <row r="148" spans="1:2" ht="12.75">
      <c r="A148" s="359"/>
      <c r="B148" s="359"/>
    </row>
    <row r="149" spans="1:2" ht="12.75">
      <c r="A149" s="359"/>
      <c r="B149" s="359"/>
    </row>
    <row r="150" spans="1:2" ht="12.75">
      <c r="A150" s="359"/>
      <c r="B150" s="359"/>
    </row>
    <row r="151" spans="1:2" ht="12.75">
      <c r="A151" s="359"/>
      <c r="B151" s="359"/>
    </row>
    <row r="152" spans="1:2" ht="12.75">
      <c r="A152" s="359"/>
      <c r="B152" s="359"/>
    </row>
    <row r="153" spans="1:2" ht="12.75">
      <c r="A153" s="359"/>
      <c r="B153" s="359"/>
    </row>
    <row r="154" spans="1:2" ht="12.75">
      <c r="A154" s="359"/>
      <c r="B154" s="359"/>
    </row>
    <row r="155" spans="1:2" ht="12.75">
      <c r="A155" s="359"/>
      <c r="B155" s="359"/>
    </row>
    <row r="156" spans="1:2" ht="12.75">
      <c r="A156" s="359"/>
      <c r="B156" s="359"/>
    </row>
    <row r="157" spans="1:2" ht="12.75">
      <c r="A157" s="359"/>
      <c r="B157" s="359"/>
    </row>
    <row r="158" spans="1:2" ht="12.75">
      <c r="A158" s="359"/>
      <c r="B158" s="359"/>
    </row>
    <row r="159" spans="1:2" ht="12.75">
      <c r="A159" s="359"/>
      <c r="B159" s="359"/>
    </row>
    <row r="160" spans="1:2" ht="12.75">
      <c r="A160" s="359"/>
      <c r="B160" s="359"/>
    </row>
    <row r="161" spans="1:2" ht="12.75">
      <c r="A161" s="359"/>
      <c r="B161" s="359"/>
    </row>
    <row r="162" spans="1:2" ht="12.75">
      <c r="A162" s="359"/>
      <c r="B162" s="359"/>
    </row>
    <row r="163" spans="1:2" ht="12.75">
      <c r="A163" s="359"/>
      <c r="B163" s="359"/>
    </row>
    <row r="164" spans="1:2" ht="12.75">
      <c r="A164" s="359"/>
      <c r="B164" s="359"/>
    </row>
    <row r="165" spans="1:2" ht="12.75">
      <c r="A165" s="359"/>
      <c r="B165" s="359"/>
    </row>
    <row r="166" spans="1:2" ht="12.75">
      <c r="A166" s="359"/>
      <c r="B166" s="359"/>
    </row>
    <row r="167" spans="1:2" ht="12.75">
      <c r="A167" s="359"/>
      <c r="B167" s="359"/>
    </row>
    <row r="168" spans="1:2" ht="12.75">
      <c r="A168" s="359"/>
      <c r="B168" s="359"/>
    </row>
    <row r="169" spans="1:2" ht="12.75">
      <c r="A169" s="359"/>
      <c r="B169" s="359"/>
    </row>
    <row r="170" spans="1:2" ht="12.75">
      <c r="A170" s="359"/>
      <c r="B170" s="359"/>
    </row>
    <row r="171" spans="1:2" ht="12.75">
      <c r="A171" s="359"/>
      <c r="B171" s="359"/>
    </row>
    <row r="172" spans="1:2" ht="12.75">
      <c r="A172" s="359"/>
      <c r="B172" s="359"/>
    </row>
    <row r="173" spans="1:2" ht="12.75">
      <c r="A173" s="359"/>
      <c r="B173" s="359"/>
    </row>
    <row r="174" spans="1:2" ht="12.75">
      <c r="A174" s="359"/>
      <c r="B174" s="359"/>
    </row>
    <row r="175" spans="1:2" ht="12.75">
      <c r="A175" s="359"/>
      <c r="B175" s="359"/>
    </row>
    <row r="176" spans="1:2" ht="12.75">
      <c r="A176" s="359"/>
      <c r="B176" s="359"/>
    </row>
    <row r="177" spans="1:2" ht="12.75">
      <c r="A177" s="359"/>
      <c r="B177" s="359"/>
    </row>
    <row r="178" spans="1:2" ht="12.75">
      <c r="A178" s="359"/>
      <c r="B178" s="359"/>
    </row>
    <row r="179" spans="1:2" ht="12.75">
      <c r="A179" s="359"/>
      <c r="B179" s="359"/>
    </row>
    <row r="180" spans="1:2" ht="12.75">
      <c r="A180" s="359"/>
      <c r="B180" s="359"/>
    </row>
    <row r="181" spans="1:2" ht="12.75">
      <c r="A181" s="359"/>
      <c r="B181" s="359"/>
    </row>
    <row r="182" spans="1:2" ht="12.75">
      <c r="A182" s="359"/>
      <c r="B182" s="359"/>
    </row>
    <row r="183" spans="1:2" ht="12.75">
      <c r="A183" s="359"/>
      <c r="B183" s="359"/>
    </row>
    <row r="184" spans="1:2" ht="12.75">
      <c r="A184" s="359"/>
      <c r="B184" s="359"/>
    </row>
    <row r="185" spans="1:2" ht="12.75">
      <c r="A185" s="359"/>
      <c r="B185" s="359"/>
    </row>
    <row r="186" spans="1:2" ht="12.75">
      <c r="A186" s="359"/>
      <c r="B186" s="359"/>
    </row>
    <row r="187" spans="1:2" ht="12.75">
      <c r="A187" s="359"/>
      <c r="B187" s="359"/>
    </row>
    <row r="188" spans="1:2" ht="12.75">
      <c r="A188" s="359"/>
      <c r="B188" s="359"/>
    </row>
    <row r="189" spans="1:2" ht="12.75">
      <c r="A189" s="359"/>
      <c r="B189" s="359"/>
    </row>
    <row r="190" spans="1:2" ht="12.75">
      <c r="A190" s="359"/>
      <c r="B190" s="359"/>
    </row>
    <row r="191" spans="1:2" ht="12.75">
      <c r="A191" s="359"/>
      <c r="B191" s="359"/>
    </row>
    <row r="192" spans="1:2" ht="12.75">
      <c r="A192" s="359"/>
      <c r="B192" s="359"/>
    </row>
    <row r="193" spans="1:2" ht="12.75">
      <c r="A193" s="359"/>
      <c r="B193" s="359"/>
    </row>
    <row r="194" spans="1:2" ht="12.75">
      <c r="A194" s="359"/>
      <c r="B194" s="359"/>
    </row>
    <row r="195" spans="1:2" ht="12.75">
      <c r="A195" s="359"/>
      <c r="B195" s="359"/>
    </row>
    <row r="196" spans="1:2" ht="12.75">
      <c r="A196" s="359"/>
      <c r="B196" s="359"/>
    </row>
    <row r="197" spans="1:2" ht="12.75">
      <c r="A197" s="359"/>
      <c r="B197" s="359"/>
    </row>
    <row r="198" spans="1:2" ht="12.75">
      <c r="A198" s="359"/>
      <c r="B198" s="359"/>
    </row>
    <row r="199" spans="1:2" ht="12.75">
      <c r="A199" s="359"/>
      <c r="B199" s="359"/>
    </row>
    <row r="200" spans="1:2" ht="12.75">
      <c r="A200" s="359"/>
      <c r="B200" s="359"/>
    </row>
    <row r="201" spans="1:2" ht="12.75">
      <c r="A201" s="359"/>
      <c r="B201" s="359"/>
    </row>
    <row r="202" spans="1:2" ht="12.75">
      <c r="A202" s="359"/>
      <c r="B202" s="359"/>
    </row>
    <row r="203" spans="1:2" ht="12.75">
      <c r="A203" s="359"/>
      <c r="B203" s="359"/>
    </row>
    <row r="204" spans="1:2" ht="12.75">
      <c r="A204" s="359"/>
      <c r="B204" s="359"/>
    </row>
    <row r="205" spans="1:2" ht="12.75">
      <c r="A205" s="359"/>
      <c r="B205" s="359"/>
    </row>
    <row r="206" spans="1:2" ht="12.75">
      <c r="A206" s="359"/>
      <c r="B206" s="359"/>
    </row>
    <row r="207" spans="1:2" ht="12.75">
      <c r="A207" s="359"/>
      <c r="B207" s="359"/>
    </row>
    <row r="208" spans="1:2" ht="12.75">
      <c r="A208" s="359"/>
      <c r="B208" s="359"/>
    </row>
    <row r="209" spans="1:2" ht="12.75">
      <c r="A209" s="359"/>
      <c r="B209" s="359"/>
    </row>
    <row r="210" spans="1:2" ht="12.75">
      <c r="A210" s="359"/>
      <c r="B210" s="359"/>
    </row>
    <row r="211" spans="1:2" ht="12.75">
      <c r="A211" s="359"/>
      <c r="B211" s="359"/>
    </row>
    <row r="212" spans="1:2" ht="12.75">
      <c r="A212" s="359"/>
      <c r="B212" s="359"/>
    </row>
    <row r="213" spans="1:2" ht="12.75">
      <c r="A213" s="359"/>
      <c r="B213" s="359"/>
    </row>
    <row r="214" spans="1:2" ht="12.75">
      <c r="A214" s="359"/>
      <c r="B214" s="359"/>
    </row>
    <row r="215" spans="1:2" ht="12.75">
      <c r="A215" s="359"/>
      <c r="B215" s="359"/>
    </row>
    <row r="216" spans="1:2" ht="12.75">
      <c r="A216" s="359"/>
      <c r="B216" s="359"/>
    </row>
    <row r="217" spans="1:2" ht="12.75">
      <c r="A217" s="359"/>
      <c r="B217" s="359"/>
    </row>
    <row r="218" spans="1:2" ht="12.75">
      <c r="A218" s="359"/>
      <c r="B218" s="359"/>
    </row>
    <row r="219" spans="1:2" ht="12.75">
      <c r="A219" s="359"/>
      <c r="B219" s="359"/>
    </row>
    <row r="220" spans="1:2" ht="12.75">
      <c r="A220" s="359"/>
      <c r="B220" s="359"/>
    </row>
    <row r="221" spans="1:2" ht="12.75">
      <c r="A221" s="359"/>
      <c r="B221" s="359"/>
    </row>
    <row r="222" spans="1:2" ht="12.75">
      <c r="A222" s="359"/>
      <c r="B222" s="359"/>
    </row>
    <row r="223" spans="1:2" ht="12.75">
      <c r="A223" s="359"/>
      <c r="B223" s="359"/>
    </row>
    <row r="224" spans="1:2" ht="12.75">
      <c r="A224" s="359"/>
      <c r="B224" s="359"/>
    </row>
    <row r="225" spans="1:2" ht="12.75">
      <c r="A225" s="359"/>
      <c r="B225" s="359"/>
    </row>
    <row r="226" spans="1:2" ht="12.75">
      <c r="A226" s="359"/>
      <c r="B226" s="359"/>
    </row>
    <row r="227" spans="1:2" ht="12.75">
      <c r="A227" s="359"/>
      <c r="B227" s="359"/>
    </row>
    <row r="228" spans="1:2" ht="12.75">
      <c r="A228" s="359"/>
      <c r="B228" s="359"/>
    </row>
    <row r="229" spans="1:2" ht="12.75">
      <c r="A229" s="359"/>
      <c r="B229" s="359"/>
    </row>
    <row r="230" spans="1:2" ht="12.75">
      <c r="A230" s="359"/>
      <c r="B230" s="359"/>
    </row>
    <row r="231" spans="1:2" ht="12.75">
      <c r="A231" s="359"/>
      <c r="B231" s="359"/>
    </row>
    <row r="232" spans="1:2" ht="12.75">
      <c r="A232" s="359"/>
      <c r="B232" s="359"/>
    </row>
    <row r="233" spans="1:2" ht="12.75">
      <c r="A233" s="359"/>
      <c r="B233" s="359"/>
    </row>
    <row r="234" spans="1:2" ht="12.75">
      <c r="A234" s="359"/>
      <c r="B234" s="359"/>
    </row>
    <row r="235" spans="1:2" ht="12.75">
      <c r="A235" s="359"/>
      <c r="B235" s="359"/>
    </row>
    <row r="236" spans="1:2" ht="12.75">
      <c r="A236" s="359"/>
      <c r="B236" s="359"/>
    </row>
    <row r="237" spans="1:2" ht="12.75">
      <c r="A237" s="359"/>
      <c r="B237" s="359"/>
    </row>
    <row r="238" spans="1:2" ht="12.75">
      <c r="A238" s="359"/>
      <c r="B238" s="359"/>
    </row>
    <row r="239" spans="1:2" ht="12.75">
      <c r="A239" s="359"/>
      <c r="B239" s="359"/>
    </row>
    <row r="240" spans="1:2" ht="12.75">
      <c r="A240" s="359"/>
      <c r="B240" s="359"/>
    </row>
    <row r="241" spans="1:2" ht="12.75">
      <c r="A241" s="359"/>
      <c r="B241" s="359"/>
    </row>
    <row r="242" spans="1:2" ht="12.75">
      <c r="A242" s="359"/>
      <c r="B242" s="359"/>
    </row>
    <row r="243" spans="1:2" ht="12.75">
      <c r="A243" s="359"/>
      <c r="B243" s="359"/>
    </row>
    <row r="244" spans="1:2" ht="12.75">
      <c r="A244" s="359"/>
      <c r="B244" s="359"/>
    </row>
    <row r="245" spans="1:2" ht="12.75">
      <c r="A245" s="359"/>
      <c r="B245" s="359"/>
    </row>
    <row r="246" spans="1:2" ht="12.75">
      <c r="A246" s="359"/>
      <c r="B246" s="359"/>
    </row>
    <row r="247" spans="1:2" ht="12.75">
      <c r="A247" s="359"/>
      <c r="B247" s="359"/>
    </row>
    <row r="248" spans="1:2" ht="12.75">
      <c r="A248" s="359"/>
      <c r="B248" s="359"/>
    </row>
    <row r="249" spans="1:2" ht="12.75">
      <c r="A249" s="359"/>
      <c r="B249" s="359"/>
    </row>
    <row r="250" spans="1:2" ht="12.75">
      <c r="A250" s="359"/>
      <c r="B250" s="359"/>
    </row>
    <row r="251" spans="1:2" ht="12.75">
      <c r="A251" s="359"/>
      <c r="B251" s="359"/>
    </row>
    <row r="252" spans="1:2" ht="12.75">
      <c r="A252" s="359"/>
      <c r="B252" s="359"/>
    </row>
    <row r="253" spans="1:2" ht="12.75">
      <c r="A253" s="359"/>
      <c r="B253" s="359"/>
    </row>
    <row r="254" spans="1:2" ht="12.75">
      <c r="A254" s="359"/>
      <c r="B254" s="359"/>
    </row>
    <row r="255" spans="1:2" ht="12.75">
      <c r="A255" s="359"/>
      <c r="B255" s="359"/>
    </row>
    <row r="256" spans="1:2" ht="12.75">
      <c r="A256" s="359"/>
      <c r="B256" s="359"/>
    </row>
    <row r="257" spans="1:2" ht="12.75">
      <c r="A257" s="359"/>
      <c r="B257" s="359"/>
    </row>
    <row r="258" spans="1:2" ht="12.75">
      <c r="A258" s="359"/>
      <c r="B258" s="359"/>
    </row>
    <row r="259" spans="1:2" ht="12.75">
      <c r="A259" s="359"/>
      <c r="B259" s="359"/>
    </row>
    <row r="260" spans="1:2" ht="12.75">
      <c r="A260" s="359"/>
      <c r="B260" s="359"/>
    </row>
    <row r="261" spans="1:2" ht="12.75">
      <c r="A261" s="359"/>
      <c r="B261" s="359"/>
    </row>
    <row r="262" spans="1:2" ht="12.75">
      <c r="A262" s="359"/>
      <c r="B262" s="359"/>
    </row>
    <row r="263" spans="1:2" ht="12.75">
      <c r="A263" s="359"/>
      <c r="B263" s="359"/>
    </row>
    <row r="264" spans="1:2" ht="12.75">
      <c r="A264" s="359"/>
      <c r="B264" s="359"/>
    </row>
    <row r="265" spans="1:2" ht="12.75">
      <c r="A265" s="359"/>
      <c r="B265" s="359"/>
    </row>
    <row r="266" spans="1:2" ht="12.75">
      <c r="A266" s="359"/>
      <c r="B266" s="359"/>
    </row>
    <row r="267" spans="1:2" ht="12.75">
      <c r="A267" s="359"/>
      <c r="B267" s="359"/>
    </row>
    <row r="268" spans="1:2" ht="12.75">
      <c r="A268" s="359"/>
      <c r="B268" s="359"/>
    </row>
    <row r="269" spans="1:2" ht="12.75">
      <c r="A269" s="359"/>
      <c r="B269" s="359"/>
    </row>
    <row r="270" spans="1:2" ht="12.75">
      <c r="A270" s="359"/>
      <c r="B270" s="359"/>
    </row>
    <row r="271" spans="1:2" ht="12.75">
      <c r="A271" s="359"/>
      <c r="B271" s="359"/>
    </row>
    <row r="272" spans="1:2" ht="12.75">
      <c r="A272" s="359"/>
      <c r="B272" s="359"/>
    </row>
    <row r="273" spans="1:2" ht="12.75">
      <c r="A273" s="359"/>
      <c r="B273" s="359"/>
    </row>
    <row r="274" spans="1:2" ht="12.75">
      <c r="A274" s="359"/>
      <c r="B274" s="359"/>
    </row>
    <row r="275" spans="1:2" ht="12.75">
      <c r="A275" s="359"/>
      <c r="B275" s="359"/>
    </row>
    <row r="276" spans="1:2" ht="12.75">
      <c r="A276" s="359"/>
      <c r="B276" s="359"/>
    </row>
    <row r="277" spans="1:2" ht="12.75">
      <c r="A277" s="359"/>
      <c r="B277" s="359"/>
    </row>
    <row r="278" spans="1:2" ht="12.75">
      <c r="A278" s="359"/>
      <c r="B278" s="359"/>
    </row>
    <row r="279" spans="1:2" ht="12.75">
      <c r="A279" s="359"/>
      <c r="B279" s="359"/>
    </row>
    <row r="280" spans="1:2" ht="12.75">
      <c r="A280" s="359"/>
      <c r="B280" s="359"/>
    </row>
    <row r="281" spans="1:2" ht="12.75">
      <c r="A281" s="346"/>
      <c r="B281" s="346"/>
    </row>
    <row r="282" spans="1:2" ht="12.75">
      <c r="A282" s="346"/>
      <c r="B282" s="346"/>
    </row>
    <row r="283" spans="1:2" ht="12.75">
      <c r="A283" s="346"/>
      <c r="B283" s="346"/>
    </row>
    <row r="284" spans="1:2" ht="12.75">
      <c r="A284" s="346"/>
      <c r="B284" s="346"/>
    </row>
    <row r="285" spans="1:2" ht="12.75">
      <c r="A285" s="346"/>
      <c r="B285" s="346"/>
    </row>
    <row r="286" spans="1:2" ht="12.75">
      <c r="A286" s="346"/>
      <c r="B286" s="346"/>
    </row>
    <row r="287" spans="1:2" ht="12.75">
      <c r="A287" s="346"/>
      <c r="B287" s="346"/>
    </row>
    <row r="288" spans="1:2" ht="12.75">
      <c r="A288" s="346"/>
      <c r="B288" s="346"/>
    </row>
    <row r="289" spans="1:2" ht="12.75">
      <c r="A289" s="346"/>
      <c r="B289" s="346"/>
    </row>
    <row r="290" spans="1:2" ht="12.75">
      <c r="A290" s="346"/>
      <c r="B290" s="346"/>
    </row>
    <row r="291" spans="1:2" ht="12.75">
      <c r="A291" s="346"/>
      <c r="B291" s="346"/>
    </row>
    <row r="292" spans="1:2" ht="12.75">
      <c r="A292" s="346"/>
      <c r="B292" s="346"/>
    </row>
    <row r="293" spans="1:2" ht="12.75">
      <c r="A293" s="346"/>
      <c r="B293" s="346"/>
    </row>
    <row r="294" spans="1:2" ht="12.75">
      <c r="A294" s="346"/>
      <c r="B294" s="346"/>
    </row>
    <row r="295" spans="1:2" ht="12.75">
      <c r="A295" s="346"/>
      <c r="B295" s="346"/>
    </row>
    <row r="296" spans="1:2" ht="12.75">
      <c r="A296" s="346"/>
      <c r="B296" s="346"/>
    </row>
    <row r="297" spans="1:2" ht="12.75">
      <c r="A297" s="346"/>
      <c r="B297" s="346"/>
    </row>
    <row r="298" spans="1:2" ht="12.75">
      <c r="A298" s="346"/>
      <c r="B298" s="346"/>
    </row>
    <row r="299" spans="1:2" ht="12.75">
      <c r="A299" s="346"/>
      <c r="B299" s="346"/>
    </row>
    <row r="300" spans="1:2" ht="12.75">
      <c r="A300" s="346"/>
      <c r="B300" s="346"/>
    </row>
  </sheetData>
  <sheetProtection/>
  <hyperlinks>
    <hyperlink ref="G2" location="'PMAT Rating'!A1" display="'PMAT Rating'!A1"/>
  </hyperlink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3:J49"/>
  <sheetViews>
    <sheetView zoomScale="86" zoomScaleNormal="86" zoomScalePageLayoutView="0" workbookViewId="0" topLeftCell="A1">
      <selection activeCell="A3" sqref="A3"/>
    </sheetView>
  </sheetViews>
  <sheetFormatPr defaultColWidth="9.140625" defaultRowHeight="12.75"/>
  <cols>
    <col min="1" max="1" width="46.8515625" style="3" customWidth="1"/>
    <col min="2" max="2" width="56.7109375" style="3" bestFit="1" customWidth="1"/>
    <col min="3" max="3" width="14.7109375" style="3" customWidth="1"/>
    <col min="4" max="4" width="10.421875" style="3" customWidth="1"/>
    <col min="5" max="5" width="10.57421875" style="3" bestFit="1" customWidth="1"/>
    <col min="6" max="6" width="11.8515625" style="3" bestFit="1" customWidth="1"/>
    <col min="7" max="7" width="12.8515625" style="3" bestFit="1" customWidth="1"/>
    <col min="8" max="8" width="14.8515625" style="3" bestFit="1" customWidth="1"/>
    <col min="9" max="9" width="11.28125" style="3" bestFit="1" customWidth="1"/>
    <col min="10" max="16384" width="9.140625" style="3" customWidth="1"/>
  </cols>
  <sheetData>
    <row r="2" s="4" customFormat="1" ht="10.5"/>
    <row r="3" spans="1:2" s="5" customFormat="1" ht="10.5">
      <c r="A3" s="18"/>
      <c r="B3" s="18"/>
    </row>
    <row r="4" spans="1:10" ht="11.25" customHeight="1">
      <c r="A4" s="828" t="s">
        <v>12</v>
      </c>
      <c r="B4" s="20" t="s">
        <v>20</v>
      </c>
      <c r="C4" s="13" t="s">
        <v>1</v>
      </c>
      <c r="D4" s="6" t="s">
        <v>8</v>
      </c>
      <c r="E4" s="6" t="s">
        <v>9</v>
      </c>
      <c r="F4" s="6" t="s">
        <v>10</v>
      </c>
      <c r="G4" s="6" t="s">
        <v>11</v>
      </c>
      <c r="H4" s="6" t="s">
        <v>24</v>
      </c>
      <c r="I4" s="6" t="s">
        <v>6</v>
      </c>
      <c r="J4"/>
    </row>
    <row r="5" spans="1:9" ht="12" customHeight="1">
      <c r="A5" s="829"/>
      <c r="B5" s="21"/>
      <c r="C5" s="12" t="s">
        <v>2</v>
      </c>
      <c r="D5" s="7" t="s">
        <v>3</v>
      </c>
      <c r="E5" s="7" t="s">
        <v>4</v>
      </c>
      <c r="F5" s="7" t="s">
        <v>4</v>
      </c>
      <c r="G5" s="7" t="s">
        <v>4</v>
      </c>
      <c r="H5" s="7" t="s">
        <v>5</v>
      </c>
      <c r="I5" s="12" t="s">
        <v>4</v>
      </c>
    </row>
    <row r="6" spans="1:9" ht="21">
      <c r="A6" s="16" t="s">
        <v>431</v>
      </c>
      <c r="B6" s="17" t="s">
        <v>430</v>
      </c>
      <c r="C6" s="9" t="s">
        <v>34</v>
      </c>
      <c r="D6" s="9" t="s">
        <v>35</v>
      </c>
      <c r="E6" s="9" t="s">
        <v>36</v>
      </c>
      <c r="F6" s="9" t="s">
        <v>37</v>
      </c>
      <c r="G6" s="9" t="s">
        <v>38</v>
      </c>
      <c r="H6" s="10"/>
      <c r="I6" s="10"/>
    </row>
    <row r="7" spans="1:10" ht="12.75" customHeight="1">
      <c r="A7" s="23" t="s">
        <v>15</v>
      </c>
      <c r="B7" s="24" t="s">
        <v>16</v>
      </c>
      <c r="C7" s="25"/>
      <c r="D7" s="25"/>
      <c r="E7" s="25"/>
      <c r="F7" s="25"/>
      <c r="G7" s="25"/>
      <c r="H7" s="17"/>
      <c r="I7" s="17"/>
      <c r="J7" s="19"/>
    </row>
    <row r="8" spans="1:9" ht="10.5">
      <c r="A8" s="118" t="s">
        <v>150</v>
      </c>
      <c r="B8" s="118" t="s">
        <v>155</v>
      </c>
      <c r="C8" s="11"/>
      <c r="D8" s="11"/>
      <c r="E8" s="11"/>
      <c r="F8" s="11"/>
      <c r="G8" s="11"/>
      <c r="H8" s="11"/>
      <c r="I8" s="11"/>
    </row>
    <row r="9" spans="1:9" ht="10.5">
      <c r="A9" s="126" t="s">
        <v>151</v>
      </c>
      <c r="B9" s="126" t="s">
        <v>156</v>
      </c>
      <c r="C9" s="11"/>
      <c r="D9" s="11"/>
      <c r="E9" s="11"/>
      <c r="F9" s="11"/>
      <c r="G9" s="11"/>
      <c r="H9" s="11"/>
      <c r="I9" s="11"/>
    </row>
    <row r="10" spans="1:9" ht="10.5">
      <c r="A10" s="127" t="s">
        <v>152</v>
      </c>
      <c r="B10" s="127" t="s">
        <v>157</v>
      </c>
      <c r="C10" s="11"/>
      <c r="D10" s="11"/>
      <c r="E10" s="11"/>
      <c r="F10" s="11"/>
      <c r="G10" s="11"/>
      <c r="H10" s="11"/>
      <c r="I10" s="11"/>
    </row>
    <row r="11" spans="1:9" ht="10.5" customHeight="1">
      <c r="A11" s="116" t="s">
        <v>142</v>
      </c>
      <c r="B11" s="128" t="s">
        <v>158</v>
      </c>
      <c r="C11" s="11"/>
      <c r="D11" s="11"/>
      <c r="E11" s="11"/>
      <c r="F11" s="11"/>
      <c r="G11" s="11"/>
      <c r="H11" s="11"/>
      <c r="I11" s="11"/>
    </row>
    <row r="12" spans="1:9" ht="11.25" customHeight="1">
      <c r="A12" s="8" t="s">
        <v>87</v>
      </c>
      <c r="B12" s="116" t="s">
        <v>159</v>
      </c>
      <c r="C12" s="11"/>
      <c r="D12" s="11"/>
      <c r="E12" s="11"/>
      <c r="F12" s="11"/>
      <c r="G12" s="11"/>
      <c r="H12" s="11"/>
      <c r="I12" s="11"/>
    </row>
    <row r="13" spans="1:9" ht="10.5" customHeight="1">
      <c r="A13" s="122" t="s">
        <v>153</v>
      </c>
      <c r="B13" s="129" t="s">
        <v>160</v>
      </c>
      <c r="C13" s="11"/>
      <c r="D13" s="11"/>
      <c r="E13" s="11"/>
      <c r="F13" s="11"/>
      <c r="G13" s="11"/>
      <c r="H13" s="11"/>
      <c r="I13" s="11"/>
    </row>
    <row r="14" spans="1:9" ht="30.75" customHeight="1">
      <c r="A14" s="128" t="s">
        <v>154</v>
      </c>
      <c r="B14" s="8"/>
      <c r="C14" s="11"/>
      <c r="D14" s="11"/>
      <c r="E14" s="11"/>
      <c r="F14" s="11"/>
      <c r="G14" s="11"/>
      <c r="H14" s="11"/>
      <c r="I14" s="11"/>
    </row>
    <row r="15" spans="1:9" ht="13.5" customHeight="1">
      <c r="A15" s="23" t="s">
        <v>91</v>
      </c>
      <c r="B15" s="24" t="s">
        <v>17</v>
      </c>
      <c r="C15" s="11"/>
      <c r="D15" s="11"/>
      <c r="E15" s="11"/>
      <c r="F15" s="11"/>
      <c r="G15" s="11"/>
      <c r="H15" s="11"/>
      <c r="I15" s="11"/>
    </row>
    <row r="16" spans="1:9" ht="10.5" customHeight="1">
      <c r="A16" s="58" t="s">
        <v>23</v>
      </c>
      <c r="B16" s="22"/>
      <c r="C16" s="17"/>
      <c r="D16" s="17"/>
      <c r="E16" s="17"/>
      <c r="F16" s="17"/>
      <c r="G16" s="17"/>
      <c r="H16" s="17"/>
      <c r="I16" s="17"/>
    </row>
    <row r="17" spans="1:10" ht="12.75">
      <c r="A17" s="8" t="s">
        <v>82</v>
      </c>
      <c r="B17" s="130" t="s">
        <v>161</v>
      </c>
      <c r="C17" s="11"/>
      <c r="D17" s="11"/>
      <c r="E17" s="11"/>
      <c r="F17" s="11"/>
      <c r="G17" s="11"/>
      <c r="H17" s="11"/>
      <c r="I17" s="11"/>
      <c r="J17" s="14"/>
    </row>
    <row r="18" spans="1:9" ht="11.25" customHeight="1">
      <c r="A18" s="8" t="s">
        <v>83</v>
      </c>
      <c r="B18" s="123" t="s">
        <v>162</v>
      </c>
      <c r="C18" s="11"/>
      <c r="D18" s="11"/>
      <c r="E18" s="11"/>
      <c r="F18" s="11"/>
      <c r="G18" s="11"/>
      <c r="H18" s="11"/>
      <c r="I18" s="11"/>
    </row>
    <row r="19" spans="1:9" ht="12" customHeight="1">
      <c r="A19" s="117" t="s">
        <v>143</v>
      </c>
      <c r="B19" s="124" t="s">
        <v>163</v>
      </c>
      <c r="C19" s="11"/>
      <c r="D19" s="11"/>
      <c r="E19" s="11"/>
      <c r="F19" s="11"/>
      <c r="G19" s="11"/>
      <c r="H19" s="11"/>
      <c r="I19" s="11"/>
    </row>
    <row r="20" spans="1:9" ht="12" customHeight="1">
      <c r="A20" s="131" t="s">
        <v>164</v>
      </c>
      <c r="B20" s="125" t="s">
        <v>165</v>
      </c>
      <c r="C20" s="11"/>
      <c r="D20" s="11"/>
      <c r="E20" s="11"/>
      <c r="F20" s="11"/>
      <c r="G20" s="11"/>
      <c r="H20" s="11"/>
      <c r="I20" s="11"/>
    </row>
    <row r="21" spans="1:9" ht="10.5">
      <c r="A21" s="116" t="s">
        <v>144</v>
      </c>
      <c r="B21" s="125" t="s">
        <v>166</v>
      </c>
      <c r="C21" s="11"/>
      <c r="D21" s="11"/>
      <c r="E21" s="11"/>
      <c r="F21" s="11"/>
      <c r="G21" s="11"/>
      <c r="H21" s="11"/>
      <c r="I21" s="11"/>
    </row>
    <row r="22" spans="1:9" ht="23.25" customHeight="1">
      <c r="A22" s="119" t="s">
        <v>145</v>
      </c>
      <c r="B22" s="125" t="s">
        <v>167</v>
      </c>
      <c r="C22" s="11"/>
      <c r="D22" s="11"/>
      <c r="E22" s="11"/>
      <c r="F22" s="11"/>
      <c r="G22" s="11"/>
      <c r="H22" s="11"/>
      <c r="I22" s="11"/>
    </row>
    <row r="23" spans="1:9" ht="24" customHeight="1">
      <c r="A23" s="120" t="s">
        <v>146</v>
      </c>
      <c r="B23" s="132" t="s">
        <v>168</v>
      </c>
      <c r="C23" s="11"/>
      <c r="D23" s="11"/>
      <c r="E23" s="11"/>
      <c r="F23" s="11"/>
      <c r="G23" s="11"/>
      <c r="H23" s="11"/>
      <c r="I23" s="11"/>
    </row>
    <row r="24" spans="1:9" ht="21">
      <c r="A24" s="58" t="s">
        <v>22</v>
      </c>
      <c r="B24" s="24" t="s">
        <v>39</v>
      </c>
      <c r="C24" s="11"/>
      <c r="D24" s="11"/>
      <c r="E24" s="11"/>
      <c r="F24" s="11"/>
      <c r="G24" s="11"/>
      <c r="H24" s="11"/>
      <c r="I24" s="11"/>
    </row>
    <row r="25" spans="1:9" ht="10.5">
      <c r="A25" s="121" t="s">
        <v>147</v>
      </c>
      <c r="B25" s="22"/>
      <c r="C25" s="17"/>
      <c r="D25" s="17"/>
      <c r="E25" s="17"/>
      <c r="F25" s="17"/>
      <c r="G25" s="17"/>
      <c r="H25" s="17"/>
      <c r="I25" s="17"/>
    </row>
    <row r="26" spans="1:9" ht="31.5">
      <c r="A26" s="117" t="s">
        <v>148</v>
      </c>
      <c r="B26" s="133" t="s">
        <v>169</v>
      </c>
      <c r="C26" s="11"/>
      <c r="D26" s="11"/>
      <c r="E26" s="11"/>
      <c r="F26" s="11"/>
      <c r="G26" s="11"/>
      <c r="H26" s="11"/>
      <c r="I26" s="11"/>
    </row>
    <row r="27" spans="1:9" ht="10.5">
      <c r="A27" s="8" t="s">
        <v>85</v>
      </c>
      <c r="B27" s="134" t="s">
        <v>170</v>
      </c>
      <c r="C27" s="11"/>
      <c r="D27" s="11"/>
      <c r="E27" s="11"/>
      <c r="F27" s="11"/>
      <c r="G27" s="11"/>
      <c r="H27" s="11"/>
      <c r="I27" s="11"/>
    </row>
    <row r="28" spans="1:9" ht="10.5">
      <c r="A28" s="122" t="s">
        <v>32</v>
      </c>
      <c r="B28" s="22"/>
      <c r="C28" s="11"/>
      <c r="D28" s="11"/>
      <c r="E28" s="11"/>
      <c r="F28" s="11"/>
      <c r="G28" s="11"/>
      <c r="H28" s="11"/>
      <c r="I28" s="11"/>
    </row>
    <row r="29" spans="1:9" ht="12.75" customHeight="1">
      <c r="A29" s="8" t="s">
        <v>33</v>
      </c>
      <c r="B29" s="22"/>
      <c r="C29" s="11"/>
      <c r="D29" s="11"/>
      <c r="E29" s="11"/>
      <c r="F29" s="11"/>
      <c r="G29" s="11"/>
      <c r="H29" s="11"/>
      <c r="I29" s="11"/>
    </row>
    <row r="30" spans="1:9" ht="12.75" customHeight="1">
      <c r="A30" s="8" t="s">
        <v>149</v>
      </c>
      <c r="B30" s="22"/>
      <c r="C30" s="11"/>
      <c r="D30" s="11"/>
      <c r="E30" s="11"/>
      <c r="F30" s="11"/>
      <c r="G30" s="11"/>
      <c r="H30" s="11"/>
      <c r="I30" s="11"/>
    </row>
    <row r="31" spans="1:9" ht="21">
      <c r="A31" s="8" t="s">
        <v>21</v>
      </c>
      <c r="B31" s="22"/>
      <c r="C31" s="11"/>
      <c r="D31" s="11"/>
      <c r="E31" s="11"/>
      <c r="F31" s="11"/>
      <c r="G31" s="11"/>
      <c r="H31" s="11"/>
      <c r="I31" s="11"/>
    </row>
    <row r="32" spans="1:9" ht="15" customHeight="1">
      <c r="A32" s="23" t="s">
        <v>90</v>
      </c>
      <c r="B32" s="24" t="s">
        <v>18</v>
      </c>
      <c r="C32" s="11"/>
      <c r="D32" s="11"/>
      <c r="E32" s="11"/>
      <c r="F32" s="11"/>
      <c r="G32" s="11"/>
      <c r="H32" s="11"/>
      <c r="I32" s="11"/>
    </row>
    <row r="33" spans="1:9" ht="10.5" customHeight="1">
      <c r="A33" s="58" t="s">
        <v>14</v>
      </c>
      <c r="B33" s="22"/>
      <c r="C33" s="17"/>
      <c r="D33" s="17"/>
      <c r="E33" s="17"/>
      <c r="F33" s="17"/>
      <c r="G33" s="17"/>
      <c r="H33" s="17"/>
      <c r="I33" s="17"/>
    </row>
    <row r="34" spans="1:9" ht="12.75" customHeight="1">
      <c r="A34" s="135" t="s">
        <v>86</v>
      </c>
      <c r="B34" s="136" t="s">
        <v>171</v>
      </c>
      <c r="C34" s="11"/>
      <c r="D34" s="11"/>
      <c r="E34" s="11"/>
      <c r="F34" s="11"/>
      <c r="G34" s="11"/>
      <c r="H34" s="11"/>
      <c r="I34" s="11"/>
    </row>
    <row r="35" spans="1:9" ht="10.5">
      <c r="A35" s="137" t="s">
        <v>84</v>
      </c>
      <c r="B35" s="136" t="s">
        <v>172</v>
      </c>
      <c r="C35" s="11"/>
      <c r="D35" s="11"/>
      <c r="E35" s="11"/>
      <c r="F35" s="11"/>
      <c r="G35" s="11"/>
      <c r="H35" s="11"/>
      <c r="I35" s="11"/>
    </row>
    <row r="36" spans="2:9" ht="10.5">
      <c r="B36" s="138" t="s">
        <v>173</v>
      </c>
      <c r="C36" s="11"/>
      <c r="D36" s="11"/>
      <c r="E36" s="11"/>
      <c r="F36" s="11"/>
      <c r="G36" s="11"/>
      <c r="H36" s="11"/>
      <c r="I36" s="11"/>
    </row>
    <row r="37" spans="1:9" ht="10.5">
      <c r="A37" s="23" t="s">
        <v>88</v>
      </c>
      <c r="B37" s="24" t="s">
        <v>19</v>
      </c>
      <c r="C37" s="11"/>
      <c r="D37" s="11"/>
      <c r="E37" s="11"/>
      <c r="F37" s="11"/>
      <c r="G37" s="11"/>
      <c r="H37" s="11"/>
      <c r="I37" s="11"/>
    </row>
    <row r="38" spans="1:9" ht="10.5" customHeight="1">
      <c r="A38" s="58" t="s">
        <v>13</v>
      </c>
      <c r="B38" s="22"/>
      <c r="C38" s="17"/>
      <c r="D38" s="17"/>
      <c r="E38" s="17"/>
      <c r="F38" s="17"/>
      <c r="G38" s="17"/>
      <c r="H38" s="17"/>
      <c r="I38" s="17"/>
    </row>
    <row r="39" spans="1:9" ht="21">
      <c r="A39" s="139" t="s">
        <v>174</v>
      </c>
      <c r="B39" s="22"/>
      <c r="C39" s="11"/>
      <c r="D39" s="11"/>
      <c r="E39" s="11"/>
      <c r="F39" s="11"/>
      <c r="G39" s="11"/>
      <c r="H39" s="11"/>
      <c r="I39" s="11"/>
    </row>
    <row r="40" spans="1:9" ht="15.75" customHeight="1">
      <c r="A40" s="140" t="s">
        <v>175</v>
      </c>
      <c r="B40" s="22"/>
      <c r="C40" s="11"/>
      <c r="D40" s="11"/>
      <c r="E40" s="11"/>
      <c r="F40" s="11"/>
      <c r="G40" s="11"/>
      <c r="H40" s="11"/>
      <c r="I40" s="11"/>
    </row>
    <row r="41" ht="10.5">
      <c r="A41" s="59" t="s">
        <v>89</v>
      </c>
    </row>
    <row r="43" ht="12.75">
      <c r="A43" s="15" t="s">
        <v>25</v>
      </c>
    </row>
    <row r="44" ht="12.75">
      <c r="A44" s="15" t="s">
        <v>26</v>
      </c>
    </row>
    <row r="45" ht="12.75">
      <c r="A45" s="15" t="s">
        <v>27</v>
      </c>
    </row>
    <row r="46" ht="12.75">
      <c r="A46" s="15" t="s">
        <v>28</v>
      </c>
    </row>
    <row r="47" ht="12.75">
      <c r="A47" s="15" t="s">
        <v>29</v>
      </c>
    </row>
    <row r="48" ht="12.75">
      <c r="A48" s="15" t="s">
        <v>30</v>
      </c>
    </row>
    <row r="49" ht="12.75">
      <c r="A49" s="15" t="s">
        <v>31</v>
      </c>
    </row>
  </sheetData>
  <sheetProtection/>
  <mergeCells count="1">
    <mergeCell ref="A4:A5"/>
  </mergeCell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umema</dc:creator>
  <cp:keywords/>
  <dc:description/>
  <cp:lastModifiedBy>Umema Hani</cp:lastModifiedBy>
  <cp:lastPrinted>2021-12-12T12:04:29Z</cp:lastPrinted>
  <dcterms:created xsi:type="dcterms:W3CDTF">2011-03-19T09:26:34Z</dcterms:created>
  <dcterms:modified xsi:type="dcterms:W3CDTF">2021-12-12T12:05:06Z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