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GM Shah sb\PeerJ submission_2021\Submission\"/>
    </mc:Choice>
  </mc:AlternateContent>
  <xr:revisionPtr revIDLastSave="0" documentId="13_ncr:1_{66B65123-29EE-432A-B99D-A67C37AF6C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lumn data" sheetId="3" r:id="rId1"/>
    <sheet name="kinetic and Eq modeling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2" i="4" l="1"/>
  <c r="AJ22" i="4" s="1"/>
  <c r="AH21" i="4"/>
  <c r="AJ21" i="4" s="1"/>
  <c r="AD22" i="4"/>
  <c r="AD21" i="4"/>
  <c r="AB22" i="4"/>
  <c r="AB21" i="4"/>
  <c r="V11" i="4"/>
  <c r="X11" i="4" s="1"/>
  <c r="V15" i="4"/>
  <c r="W15" i="4" s="1"/>
  <c r="T15" i="4"/>
  <c r="V14" i="4"/>
  <c r="W14" i="4" s="1"/>
  <c r="T14" i="4"/>
  <c r="V13" i="4"/>
  <c r="W13" i="4" s="1"/>
  <c r="T13" i="4"/>
  <c r="V12" i="4"/>
  <c r="W12" i="4" s="1"/>
  <c r="T12" i="4"/>
  <c r="T11" i="4"/>
  <c r="T4" i="4"/>
  <c r="T5" i="4"/>
  <c r="T6" i="4"/>
  <c r="T7" i="4"/>
  <c r="T3" i="4"/>
  <c r="AE7" i="4"/>
  <c r="AD7" i="4"/>
  <c r="AB7" i="4"/>
  <c r="V7" i="4"/>
  <c r="W7" i="4" s="1"/>
  <c r="AE6" i="4"/>
  <c r="AD6" i="4"/>
  <c r="AB6" i="4"/>
  <c r="V6" i="4"/>
  <c r="X6" i="4" s="1"/>
  <c r="AE5" i="4"/>
  <c r="AD5" i="4"/>
  <c r="AB5" i="4"/>
  <c r="V5" i="4"/>
  <c r="X5" i="4" s="1"/>
  <c r="AE4" i="4"/>
  <c r="AD4" i="4"/>
  <c r="AB4" i="4"/>
  <c r="V4" i="4"/>
  <c r="W4" i="4" s="1"/>
  <c r="AE3" i="4"/>
  <c r="AD3" i="4"/>
  <c r="AB3" i="4"/>
  <c r="V3" i="4"/>
  <c r="W3" i="4" s="1"/>
  <c r="F21" i="4"/>
  <c r="O5" i="4"/>
  <c r="O6" i="4"/>
  <c r="O7" i="4"/>
  <c r="O4" i="4"/>
  <c r="D22" i="4"/>
  <c r="D21" i="4"/>
  <c r="F22" i="4"/>
  <c r="M5" i="4"/>
  <c r="M6" i="4"/>
  <c r="M7" i="4"/>
  <c r="M4" i="4"/>
  <c r="E6" i="4"/>
  <c r="E7" i="4"/>
  <c r="E8" i="4"/>
  <c r="E5" i="4"/>
  <c r="L5" i="4"/>
  <c r="L6" i="4"/>
  <c r="L7" i="4"/>
  <c r="L4" i="4"/>
  <c r="F6" i="4"/>
  <c r="F7" i="4"/>
  <c r="F8" i="4"/>
  <c r="F5" i="4"/>
  <c r="D17" i="4"/>
  <c r="F17" i="4" s="1"/>
  <c r="D16" i="4"/>
  <c r="F16" i="4" s="1"/>
  <c r="J5" i="4"/>
  <c r="N5" i="4" s="1"/>
  <c r="J6" i="4"/>
  <c r="K6" i="4" s="1"/>
  <c r="J7" i="4"/>
  <c r="N7" i="4" s="1"/>
  <c r="J4" i="4"/>
  <c r="N4" i="4" s="1"/>
  <c r="C5" i="4"/>
  <c r="G5" i="4" s="1"/>
  <c r="C6" i="4"/>
  <c r="G6" i="4" s="1"/>
  <c r="C7" i="4"/>
  <c r="D7" i="4" s="1"/>
  <c r="C8" i="4"/>
  <c r="G8" i="4" s="1"/>
  <c r="J9" i="4"/>
  <c r="J11" i="4" s="1"/>
  <c r="W11" i="4" l="1"/>
  <c r="X4" i="4"/>
  <c r="D5" i="4"/>
  <c r="D8" i="4"/>
  <c r="K7" i="4"/>
  <c r="G7" i="4"/>
  <c r="N6" i="4"/>
  <c r="W6" i="4"/>
  <c r="X3" i="4"/>
  <c r="X14" i="4"/>
  <c r="D6" i="4"/>
  <c r="K5" i="4"/>
  <c r="W5" i="4"/>
  <c r="X13" i="4"/>
  <c r="K4" i="4"/>
  <c r="X12" i="4"/>
  <c r="I15" i="3"/>
  <c r="I5" i="3"/>
  <c r="I6" i="3"/>
  <c r="I7" i="3"/>
  <c r="I8" i="3"/>
  <c r="I9" i="3"/>
  <c r="I10" i="3"/>
  <c r="I11" i="3"/>
  <c r="I12" i="3"/>
  <c r="I13" i="3"/>
  <c r="I14" i="3"/>
  <c r="I4" i="3"/>
  <c r="H15" i="3"/>
  <c r="H14" i="3"/>
  <c r="H13" i="3"/>
  <c r="H12" i="3"/>
  <c r="H11" i="3"/>
  <c r="H10" i="3"/>
  <c r="H9" i="3"/>
  <c r="H8" i="3"/>
  <c r="H7" i="3"/>
  <c r="H6" i="3"/>
  <c r="H5" i="3"/>
  <c r="H4" i="3"/>
  <c r="I20" i="3"/>
  <c r="I21" i="3"/>
  <c r="I22" i="3"/>
  <c r="I23" i="3"/>
  <c r="I24" i="3"/>
  <c r="I25" i="3"/>
  <c r="I26" i="3"/>
  <c r="I27" i="3"/>
  <c r="I28" i="3"/>
  <c r="I29" i="3"/>
  <c r="I30" i="3"/>
  <c r="H20" i="3"/>
  <c r="H21" i="3"/>
  <c r="H22" i="3"/>
  <c r="H23" i="3"/>
  <c r="H24" i="3"/>
  <c r="H25" i="3"/>
  <c r="H26" i="3"/>
  <c r="H27" i="3"/>
  <c r="H28" i="3"/>
  <c r="H29" i="3"/>
  <c r="H30" i="3"/>
  <c r="I19" i="3"/>
  <c r="H19" i="3"/>
  <c r="H36" i="3"/>
  <c r="H37" i="3"/>
  <c r="H38" i="3"/>
  <c r="H39" i="3"/>
  <c r="H40" i="3"/>
  <c r="H41" i="3"/>
  <c r="H42" i="3"/>
  <c r="H43" i="3"/>
  <c r="H44" i="3"/>
  <c r="H45" i="3"/>
  <c r="H46" i="3"/>
  <c r="H35" i="3"/>
  <c r="I46" i="3"/>
  <c r="I45" i="3"/>
  <c r="I44" i="3"/>
  <c r="I43" i="3"/>
  <c r="I42" i="3"/>
  <c r="I41" i="3"/>
  <c r="I40" i="3"/>
  <c r="I39" i="3"/>
  <c r="I38" i="3"/>
  <c r="I37" i="3"/>
  <c r="I36" i="3"/>
  <c r="I35" i="3"/>
  <c r="E5" i="3" l="1"/>
  <c r="E6" i="3"/>
  <c r="E7" i="3"/>
  <c r="E8" i="3"/>
  <c r="E9" i="3"/>
  <c r="E10" i="3"/>
  <c r="E11" i="3"/>
  <c r="E12" i="3"/>
  <c r="E13" i="3"/>
  <c r="E14" i="3"/>
  <c r="E15" i="3"/>
  <c r="E4" i="3"/>
  <c r="D5" i="3"/>
  <c r="D6" i="3"/>
  <c r="D7" i="3"/>
  <c r="D8" i="3"/>
  <c r="D9" i="3"/>
  <c r="D10" i="3"/>
  <c r="D11" i="3"/>
  <c r="D12" i="3"/>
  <c r="D13" i="3"/>
  <c r="D14" i="3"/>
  <c r="D15" i="3"/>
  <c r="D4" i="3"/>
  <c r="E36" i="3"/>
  <c r="E37" i="3"/>
  <c r="E38" i="3"/>
  <c r="E39" i="3"/>
  <c r="E40" i="3"/>
  <c r="E41" i="3"/>
  <c r="E42" i="3"/>
  <c r="E43" i="3"/>
  <c r="E44" i="3"/>
  <c r="E45" i="3"/>
  <c r="E46" i="3"/>
  <c r="D36" i="3"/>
  <c r="D37" i="3"/>
  <c r="D38" i="3"/>
  <c r="D39" i="3"/>
  <c r="D40" i="3"/>
  <c r="D41" i="3"/>
  <c r="D42" i="3"/>
  <c r="D43" i="3"/>
  <c r="D44" i="3"/>
  <c r="D45" i="3"/>
  <c r="D46" i="3"/>
  <c r="E35" i="3"/>
  <c r="D35" i="3"/>
  <c r="E20" i="3"/>
  <c r="E21" i="3"/>
  <c r="E22" i="3"/>
  <c r="E23" i="3"/>
  <c r="E24" i="3"/>
  <c r="E25" i="3"/>
  <c r="E26" i="3"/>
  <c r="E27" i="3"/>
  <c r="E28" i="3"/>
  <c r="E29" i="3"/>
  <c r="E30" i="3"/>
  <c r="E19" i="3"/>
  <c r="D20" i="3"/>
  <c r="D21" i="3"/>
  <c r="D22" i="3"/>
  <c r="D23" i="3"/>
  <c r="D24" i="3"/>
  <c r="D25" i="3"/>
  <c r="D26" i="3"/>
  <c r="D27" i="3"/>
  <c r="D28" i="3"/>
  <c r="D29" i="3"/>
  <c r="D30" i="3"/>
  <c r="D19" i="3"/>
  <c r="O23" i="3" l="1"/>
  <c r="O22" i="3"/>
  <c r="N23" i="3"/>
  <c r="N22" i="3"/>
</calcChain>
</file>

<file path=xl/sharedStrings.xml><?xml version="1.0" encoding="utf-8"?>
<sst xmlns="http://schemas.openxmlformats.org/spreadsheetml/2006/main" count="136" uniqueCount="77">
  <si>
    <t>Time</t>
  </si>
  <si>
    <t>C0=25 mg/L</t>
  </si>
  <si>
    <t>C0=50 mg/L</t>
  </si>
  <si>
    <t>R%</t>
  </si>
  <si>
    <t>t (min)</t>
  </si>
  <si>
    <t>Q( ml/min)</t>
  </si>
  <si>
    <t>mtotal (mg)=(C0Q* total time)/1000</t>
  </si>
  <si>
    <t>Veff=Q*ttoal</t>
  </si>
  <si>
    <t>CO</t>
  </si>
  <si>
    <t>3 g/column</t>
  </si>
  <si>
    <t>6 g/column</t>
  </si>
  <si>
    <t>Peanut shells</t>
  </si>
  <si>
    <t>CCB</t>
  </si>
  <si>
    <t>PSB</t>
  </si>
  <si>
    <t>initial</t>
  </si>
  <si>
    <t>Ceq/q</t>
  </si>
  <si>
    <t>Qcalculated</t>
  </si>
  <si>
    <t>slope=1/Qmax</t>
  </si>
  <si>
    <t>Qmax</t>
  </si>
  <si>
    <t>1/slop</t>
  </si>
  <si>
    <t>1/KL*Qmax=intercept</t>
  </si>
  <si>
    <t>KL=1/INTERCEPT*Qmax</t>
  </si>
  <si>
    <t>ceq/q(g/l)</t>
  </si>
  <si>
    <t xml:space="preserve">q calculated </t>
  </si>
  <si>
    <t>CCB at 2.5 g/L</t>
  </si>
  <si>
    <t>Qmax=1/slope</t>
  </si>
  <si>
    <t>R2</t>
  </si>
  <si>
    <t>Langmuir</t>
  </si>
  <si>
    <t>ln Ce</t>
  </si>
  <si>
    <t>lnqe</t>
  </si>
  <si>
    <t>Pea nut shells at 2.5 g/L</t>
  </si>
  <si>
    <t>slope=1/n</t>
  </si>
  <si>
    <t>n=1/slope</t>
  </si>
  <si>
    <t>intercept=lnkf</t>
  </si>
  <si>
    <t>kf=exp(intercept)</t>
  </si>
  <si>
    <t>qecal=Kf*Ceq^1/n</t>
  </si>
  <si>
    <t>Freundlich</t>
  </si>
  <si>
    <t>t</t>
  </si>
  <si>
    <t>qt</t>
  </si>
  <si>
    <t>t/qt</t>
  </si>
  <si>
    <t>LN(qe-qt)</t>
  </si>
  <si>
    <t>t0.5</t>
  </si>
  <si>
    <t>Ct</t>
  </si>
  <si>
    <t>PFO</t>
  </si>
  <si>
    <t>qe=exp(intercept)</t>
  </si>
  <si>
    <t>slope=kt/2.303</t>
  </si>
  <si>
    <t>kt=slope*2.303</t>
  </si>
  <si>
    <t>INTE=lnqe</t>
  </si>
  <si>
    <t>PSO</t>
  </si>
  <si>
    <t>Slope=1/qe</t>
  </si>
  <si>
    <t>intercept=1/k2*qe^2</t>
  </si>
  <si>
    <t>k2=1/(intercept*qe^2)</t>
  </si>
  <si>
    <t>qe=1/slope</t>
  </si>
  <si>
    <t>Intra-particle diffusion</t>
  </si>
  <si>
    <t>slope=kp</t>
  </si>
  <si>
    <t>intercept=c</t>
  </si>
  <si>
    <t>CeMean</t>
  </si>
  <si>
    <t>qe (mg/g)</t>
  </si>
  <si>
    <t>qe</t>
  </si>
  <si>
    <t>qcalcu=(Kl*Ceq*Qmax)/(1+Kl*Ceq)</t>
  </si>
  <si>
    <t>CtMean</t>
  </si>
  <si>
    <t>CCB at 3 ml/min</t>
  </si>
  <si>
    <t xml:space="preserve">Peanut shells at 3 ml/min </t>
  </si>
  <si>
    <t>R at 3 g</t>
  </si>
  <si>
    <t>R at 6 g</t>
  </si>
  <si>
    <t>Bed height )0.6 cm=3 g/columnn and 1.2 cm=6g/column at C0=25 mg/L</t>
  </si>
  <si>
    <t>BCC</t>
  </si>
  <si>
    <t>R% at 3g</t>
  </si>
  <si>
    <t>R% at 6 g</t>
  </si>
  <si>
    <t xml:space="preserve">2.5 ml/min </t>
  </si>
  <si>
    <t xml:space="preserve">5 ml/min </t>
  </si>
  <si>
    <t>Peanut shells biosorbent at C0=25 mg/L</t>
  </si>
  <si>
    <t>CCB at C0=25 mg/L</t>
  </si>
  <si>
    <t>R% at 2.5 ml/min</t>
  </si>
  <si>
    <t>R% at 5 ml/min</t>
  </si>
  <si>
    <t>R% at 25 mg/L</t>
  </si>
  <si>
    <t>R% at 50 mg/L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</si>
</sst>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applyFill="1" applyBorder="1"/>
    <xf numFmtId="0" fontId="0" fillId="3" borderId="1" xfId="0" applyFill="1" applyBorder="1"/>
    <xf numFmtId="165" fontId="0" fillId="3" borderId="1" xfId="0" applyNumberFormat="1" applyFill="1" applyBorder="1"/>
    <xf numFmtId="164" fontId="0" fillId="3" borderId="1" xfId="0" applyNumberFormat="1" applyFill="1" applyBorder="1"/>
    <xf numFmtId="1" fontId="0" fillId="2" borderId="0" xfId="0" applyNumberFormat="1" applyFill="1" applyBorder="1"/>
    <xf numFmtId="164" fontId="0" fillId="2" borderId="3" xfId="0" applyNumberFormat="1" applyFill="1" applyBorder="1"/>
    <xf numFmtId="164" fontId="0" fillId="3" borderId="3" xfId="0" applyNumberFormat="1" applyFill="1" applyBorder="1"/>
    <xf numFmtId="2" fontId="0" fillId="3" borderId="1" xfId="0" applyNumberFormat="1" applyFill="1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0" fontId="0" fillId="6" borderId="0" xfId="0" applyFill="1"/>
    <xf numFmtId="0" fontId="0" fillId="6" borderId="1" xfId="0" applyFill="1" applyBorder="1"/>
    <xf numFmtId="2" fontId="0" fillId="0" borderId="0" xfId="0" applyNumberFormat="1" applyFill="1"/>
    <xf numFmtId="2" fontId="0" fillId="0" borderId="1" xfId="0" applyNumberFormat="1" applyBorder="1"/>
    <xf numFmtId="166" fontId="0" fillId="0" borderId="1" xfId="0" applyNumberForma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Border="1"/>
    <xf numFmtId="0" fontId="2" fillId="0" borderId="0" xfId="0" applyFont="1" applyFill="1" applyBorder="1"/>
    <xf numFmtId="0" fontId="0" fillId="0" borderId="7" xfId="0" applyBorder="1"/>
    <xf numFmtId="2" fontId="0" fillId="6" borderId="1" xfId="0" applyNumberFormat="1" applyFill="1" applyBorder="1"/>
    <xf numFmtId="0" fontId="0" fillId="6" borderId="3" xfId="0" applyFill="1" applyBorder="1"/>
    <xf numFmtId="0" fontId="0" fillId="6" borderId="6" xfId="0" applyFill="1" applyBorder="1"/>
    <xf numFmtId="165" fontId="0" fillId="0" borderId="1" xfId="0" applyNumberFormat="1" applyFill="1" applyBorder="1"/>
    <xf numFmtId="166" fontId="0" fillId="6" borderId="0" xfId="0" applyNumberFormat="1" applyFill="1" applyBorder="1"/>
    <xf numFmtId="0" fontId="0" fillId="6" borderId="0" xfId="0" applyFill="1" applyBorder="1"/>
    <xf numFmtId="166" fontId="0" fillId="2" borderId="1" xfId="0" applyNumberFormat="1" applyFill="1" applyBorder="1"/>
    <xf numFmtId="2" fontId="0" fillId="2" borderId="1" xfId="0" applyNumberFormat="1" applyFill="1" applyBorder="1"/>
    <xf numFmtId="0" fontId="6" fillId="3" borderId="1" xfId="1" applyFont="1" applyFill="1" applyBorder="1" applyAlignment="1">
      <alignment horizontal="right" wrapText="1"/>
    </xf>
    <xf numFmtId="2" fontId="6" fillId="3" borderId="1" xfId="1" applyNumberFormat="1" applyFont="1" applyFill="1" applyBorder="1" applyAlignment="1">
      <alignment horizontal="right" wrapText="1"/>
    </xf>
    <xf numFmtId="0" fontId="0" fillId="3" borderId="1" xfId="0" applyFont="1" applyFill="1" applyBorder="1"/>
    <xf numFmtId="0" fontId="3" fillId="0" borderId="8" xfId="0" applyFont="1" applyFill="1" applyBorder="1" applyAlignment="1"/>
    <xf numFmtId="0" fontId="0" fillId="0" borderId="7" xfId="0" applyBorder="1" applyAlignment="1"/>
    <xf numFmtId="0" fontId="4" fillId="0" borderId="6" xfId="0" applyFont="1" applyBorder="1"/>
    <xf numFmtId="164" fontId="0" fillId="2" borderId="5" xfId="0" applyNumberFormat="1" applyFill="1" applyBorder="1"/>
    <xf numFmtId="2" fontId="0" fillId="3" borderId="5" xfId="0" applyNumberFormat="1" applyFill="1" applyBorder="1"/>
    <xf numFmtId="0" fontId="0" fillId="4" borderId="1" xfId="0" applyFill="1" applyBorder="1" applyAlignment="1">
      <alignment horizontal="center"/>
    </xf>
    <xf numFmtId="0" fontId="1" fillId="2" borderId="5" xfId="0" applyFont="1" applyFill="1" applyBorder="1" applyAlignment="1"/>
    <xf numFmtId="0" fontId="1" fillId="2" borderId="11" xfId="0" applyFont="1" applyFill="1" applyBorder="1" applyAlignment="1"/>
    <xf numFmtId="0" fontId="3" fillId="2" borderId="1" xfId="0" applyFont="1" applyFill="1" applyBorder="1"/>
    <xf numFmtId="0" fontId="3" fillId="3" borderId="1" xfId="0" applyFont="1" applyFill="1" applyBorder="1"/>
    <xf numFmtId="2" fontId="0" fillId="7" borderId="1" xfId="0" applyNumberFormat="1" applyFill="1" applyBorder="1"/>
    <xf numFmtId="164" fontId="0" fillId="7" borderId="1" xfId="0" applyNumberFormat="1" applyFill="1" applyBorder="1"/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2">
    <cellStyle name="Normal" xfId="0" builtinId="0"/>
    <cellStyle name="Normal_Sheet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7569585879158"/>
          <c:y val="4.4745588357651259E-2"/>
          <c:w val="0.84111337406653086"/>
          <c:h val="0.82952914747328066"/>
        </c:manualLayout>
      </c:layout>
      <c:scatterChart>
        <c:scatterStyle val="smoothMarker"/>
        <c:varyColors val="0"/>
        <c:ser>
          <c:idx val="0"/>
          <c:order val="0"/>
          <c:tx>
            <c:v>Ci=25 mg/L (PSB)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'Column data'!$A$4:$A$15</c:f>
              <c:numCache>
                <c:formatCode>General</c:formatCode>
                <c:ptCount val="12"/>
                <c:pt idx="0">
                  <c:v>15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  <c:pt idx="7">
                  <c:v>360</c:v>
                </c:pt>
                <c:pt idx="8">
                  <c:v>420</c:v>
                </c:pt>
                <c:pt idx="9">
                  <c:v>480</c:v>
                </c:pt>
                <c:pt idx="10">
                  <c:v>540</c:v>
                </c:pt>
                <c:pt idx="11">
                  <c:v>600</c:v>
                </c:pt>
              </c:numCache>
            </c:numRef>
          </c:xVal>
          <c:yVal>
            <c:numRef>
              <c:f>'Column data'!$D$4:$D$15</c:f>
              <c:numCache>
                <c:formatCode>0.000</c:formatCode>
                <c:ptCount val="12"/>
                <c:pt idx="0">
                  <c:v>100</c:v>
                </c:pt>
                <c:pt idx="1">
                  <c:v>99.96</c:v>
                </c:pt>
                <c:pt idx="2">
                  <c:v>99.8</c:v>
                </c:pt>
                <c:pt idx="3">
                  <c:v>87.92</c:v>
                </c:pt>
                <c:pt idx="4">
                  <c:v>73.88</c:v>
                </c:pt>
                <c:pt idx="5">
                  <c:v>63.4</c:v>
                </c:pt>
                <c:pt idx="6">
                  <c:v>46.64</c:v>
                </c:pt>
                <c:pt idx="7">
                  <c:v>30.64</c:v>
                </c:pt>
                <c:pt idx="8">
                  <c:v>10</c:v>
                </c:pt>
                <c:pt idx="9">
                  <c:v>4.7999999999999972</c:v>
                </c:pt>
                <c:pt idx="10">
                  <c:v>3.5999999999999943</c:v>
                </c:pt>
                <c:pt idx="11">
                  <c:v>0.79999999999999727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53-4F7B-ABC4-3580F99B79B9}"/>
            </c:ext>
          </c:extLst>
        </c:ser>
        <c:ser>
          <c:idx val="1"/>
          <c:order val="1"/>
          <c:tx>
            <c:v>Ci=50 mg/L (PSB)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'Column data'!$A$4:$A$15</c:f>
              <c:numCache>
                <c:formatCode>General</c:formatCode>
                <c:ptCount val="12"/>
                <c:pt idx="0">
                  <c:v>15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  <c:pt idx="7">
                  <c:v>360</c:v>
                </c:pt>
                <c:pt idx="8">
                  <c:v>420</c:v>
                </c:pt>
                <c:pt idx="9">
                  <c:v>480</c:v>
                </c:pt>
                <c:pt idx="10">
                  <c:v>540</c:v>
                </c:pt>
                <c:pt idx="11">
                  <c:v>600</c:v>
                </c:pt>
              </c:numCache>
            </c:numRef>
          </c:xVal>
          <c:yVal>
            <c:numRef>
              <c:f>'Column data'!$E$4:$E$15</c:f>
              <c:numCache>
                <c:formatCode>0.000</c:formatCode>
                <c:ptCount val="12"/>
                <c:pt idx="0">
                  <c:v>100</c:v>
                </c:pt>
                <c:pt idx="1">
                  <c:v>99.8</c:v>
                </c:pt>
                <c:pt idx="2">
                  <c:v>97.6</c:v>
                </c:pt>
                <c:pt idx="3">
                  <c:v>85.2</c:v>
                </c:pt>
                <c:pt idx="4">
                  <c:v>69</c:v>
                </c:pt>
                <c:pt idx="5">
                  <c:v>54.79999999999999</c:v>
                </c:pt>
                <c:pt idx="6">
                  <c:v>41.4</c:v>
                </c:pt>
                <c:pt idx="7">
                  <c:v>22.400000000000006</c:v>
                </c:pt>
                <c:pt idx="8">
                  <c:v>5.5999999999999943</c:v>
                </c:pt>
                <c:pt idx="9">
                  <c:v>1.5999999999999945</c:v>
                </c:pt>
                <c:pt idx="10">
                  <c:v>0.40000000000000563</c:v>
                </c:pt>
                <c:pt idx="11">
                  <c:v>0.20000000000000281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53-4F7B-ABC4-3580F99B79B9}"/>
            </c:ext>
          </c:extLst>
        </c:ser>
        <c:ser>
          <c:idx val="2"/>
          <c:order val="2"/>
          <c:tx>
            <c:v>Ci=25 mg/L (CCB)</c:v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'Column data'!$A$4:$A$15</c:f>
              <c:numCache>
                <c:formatCode>General</c:formatCode>
                <c:ptCount val="12"/>
                <c:pt idx="0">
                  <c:v>15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  <c:pt idx="7">
                  <c:v>360</c:v>
                </c:pt>
                <c:pt idx="8">
                  <c:v>420</c:v>
                </c:pt>
                <c:pt idx="9">
                  <c:v>480</c:v>
                </c:pt>
                <c:pt idx="10">
                  <c:v>540</c:v>
                </c:pt>
                <c:pt idx="11">
                  <c:v>600</c:v>
                </c:pt>
              </c:numCache>
            </c:numRef>
          </c:xVal>
          <c:yVal>
            <c:numRef>
              <c:f>'Column data'!$H$4:$H$15</c:f>
              <c:numCache>
                <c:formatCode>0.00</c:formatCode>
                <c:ptCount val="12"/>
                <c:pt idx="0">
                  <c:v>99.96</c:v>
                </c:pt>
                <c:pt idx="1">
                  <c:v>98</c:v>
                </c:pt>
                <c:pt idx="2">
                  <c:v>90.4</c:v>
                </c:pt>
                <c:pt idx="3">
                  <c:v>77.2</c:v>
                </c:pt>
                <c:pt idx="4">
                  <c:v>63.6</c:v>
                </c:pt>
                <c:pt idx="5">
                  <c:v>50.8</c:v>
                </c:pt>
                <c:pt idx="6">
                  <c:v>32.400000000000006</c:v>
                </c:pt>
                <c:pt idx="7">
                  <c:v>14.400000000000004</c:v>
                </c:pt>
                <c:pt idx="8">
                  <c:v>2</c:v>
                </c:pt>
                <c:pt idx="9">
                  <c:v>0.40000000000000563</c:v>
                </c:pt>
                <c:pt idx="10">
                  <c:v>7.9999999999998295E-2</c:v>
                </c:pt>
                <c:pt idx="11">
                  <c:v>4.0000000000006253E-2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B55-4D8B-88D5-49AB29305914}"/>
            </c:ext>
          </c:extLst>
        </c:ser>
        <c:ser>
          <c:idx val="3"/>
          <c:order val="3"/>
          <c:tx>
            <c:v>Ci=50 mg/L (CCB)</c:v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'Column data'!$A$4:$A$15</c:f>
              <c:numCache>
                <c:formatCode>General</c:formatCode>
                <c:ptCount val="12"/>
                <c:pt idx="0">
                  <c:v>15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  <c:pt idx="7">
                  <c:v>360</c:v>
                </c:pt>
                <c:pt idx="8">
                  <c:v>420</c:v>
                </c:pt>
                <c:pt idx="9">
                  <c:v>480</c:v>
                </c:pt>
                <c:pt idx="10">
                  <c:v>540</c:v>
                </c:pt>
                <c:pt idx="11">
                  <c:v>600</c:v>
                </c:pt>
              </c:numCache>
            </c:numRef>
          </c:xVal>
          <c:yVal>
            <c:numRef>
              <c:f>'Column data'!$I$4:$I$15</c:f>
              <c:numCache>
                <c:formatCode>0.000</c:formatCode>
                <c:ptCount val="12"/>
                <c:pt idx="0">
                  <c:v>99.5</c:v>
                </c:pt>
                <c:pt idx="1">
                  <c:v>97</c:v>
                </c:pt>
                <c:pt idx="2">
                  <c:v>88.2</c:v>
                </c:pt>
                <c:pt idx="3">
                  <c:v>75</c:v>
                </c:pt>
                <c:pt idx="4">
                  <c:v>59.20000000000001</c:v>
                </c:pt>
                <c:pt idx="5">
                  <c:v>43.2</c:v>
                </c:pt>
                <c:pt idx="6">
                  <c:v>26</c:v>
                </c:pt>
                <c:pt idx="7">
                  <c:v>11.400000000000006</c:v>
                </c:pt>
                <c:pt idx="8">
                  <c:v>3</c:v>
                </c:pt>
                <c:pt idx="9">
                  <c:v>0.79999999999999727</c:v>
                </c:pt>
                <c:pt idx="10">
                  <c:v>0.20000000000000281</c:v>
                </c:pt>
                <c:pt idx="11">
                  <c:v>9.9999999999994316E-2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B55-4D8B-88D5-49AB29305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417680"/>
        <c:axId val="984423504"/>
      </c:scatterChart>
      <c:valAx>
        <c:axId val="984417680"/>
        <c:scaling>
          <c:orientation val="minMax"/>
          <c:max val="61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Contact 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84423504"/>
        <c:crosses val="autoZero"/>
        <c:crossBetween val="midCat"/>
        <c:majorUnit val="60"/>
      </c:valAx>
      <c:valAx>
        <c:axId val="984423504"/>
        <c:scaling>
          <c:orientation val="minMax"/>
          <c:max val="11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Pb removal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8441768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798987404147726"/>
          <c:y val="8.2132082100938364E-2"/>
          <c:w val="0.34884827360784088"/>
          <c:h val="0.26425007392857985"/>
        </c:manualLayout>
      </c:layout>
      <c:overlay val="1"/>
      <c:spPr>
        <a:noFill/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4336043360434"/>
          <c:y val="4.7265484677995656E-2"/>
          <c:w val="0.81975609756097556"/>
          <c:h val="0.79557578802440676"/>
        </c:manualLayout>
      </c:layout>
      <c:scatterChart>
        <c:scatterStyle val="smoothMarker"/>
        <c:varyColors val="0"/>
        <c:ser>
          <c:idx val="0"/>
          <c:order val="0"/>
          <c:tx>
            <c:v>Q=2.5 ml/min (PSB)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'Column data'!$A$19:$A$30</c:f>
              <c:numCache>
                <c:formatCode>General</c:formatCode>
                <c:ptCount val="12"/>
                <c:pt idx="0">
                  <c:v>15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  <c:pt idx="7">
                  <c:v>360</c:v>
                </c:pt>
                <c:pt idx="8">
                  <c:v>420</c:v>
                </c:pt>
                <c:pt idx="9">
                  <c:v>480</c:v>
                </c:pt>
                <c:pt idx="10">
                  <c:v>540</c:v>
                </c:pt>
                <c:pt idx="11">
                  <c:v>600</c:v>
                </c:pt>
              </c:numCache>
            </c:numRef>
          </c:xVal>
          <c:yVal>
            <c:numRef>
              <c:f>'Column data'!$D$19:$D$30</c:f>
              <c:numCache>
                <c:formatCode>0.000</c:formatCode>
                <c:ptCount val="12"/>
                <c:pt idx="0">
                  <c:v>100</c:v>
                </c:pt>
                <c:pt idx="1">
                  <c:v>99.96</c:v>
                </c:pt>
                <c:pt idx="2">
                  <c:v>99.8</c:v>
                </c:pt>
                <c:pt idx="3">
                  <c:v>87.92</c:v>
                </c:pt>
                <c:pt idx="4">
                  <c:v>73.88</c:v>
                </c:pt>
                <c:pt idx="5">
                  <c:v>63.4</c:v>
                </c:pt>
                <c:pt idx="6">
                  <c:v>46.64</c:v>
                </c:pt>
                <c:pt idx="7">
                  <c:v>30.64</c:v>
                </c:pt>
                <c:pt idx="8">
                  <c:v>10</c:v>
                </c:pt>
                <c:pt idx="9">
                  <c:v>4.7999999999999972</c:v>
                </c:pt>
                <c:pt idx="10">
                  <c:v>3.5999999999999943</c:v>
                </c:pt>
                <c:pt idx="11">
                  <c:v>0.79999999999999727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FA-4256-B353-B07BF699A579}"/>
            </c:ext>
          </c:extLst>
        </c:ser>
        <c:ser>
          <c:idx val="1"/>
          <c:order val="1"/>
          <c:tx>
            <c:v>Q=5.0 ml/min (PSB)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5"/>
            <c:spPr>
              <a:noFill/>
              <a:ln w="19050">
                <a:solidFill>
                  <a:schemeClr val="tx1"/>
                </a:solidFill>
              </a:ln>
              <a:effectLst/>
            </c:spPr>
          </c:marker>
          <c:xVal>
            <c:numRef>
              <c:f>'Column data'!$A$19:$A$30</c:f>
              <c:numCache>
                <c:formatCode>General</c:formatCode>
                <c:ptCount val="12"/>
                <c:pt idx="0">
                  <c:v>15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  <c:pt idx="7">
                  <c:v>360</c:v>
                </c:pt>
                <c:pt idx="8">
                  <c:v>420</c:v>
                </c:pt>
                <c:pt idx="9">
                  <c:v>480</c:v>
                </c:pt>
                <c:pt idx="10">
                  <c:v>540</c:v>
                </c:pt>
                <c:pt idx="11">
                  <c:v>600</c:v>
                </c:pt>
              </c:numCache>
            </c:numRef>
          </c:xVal>
          <c:yVal>
            <c:numRef>
              <c:f>'Column data'!$E$19:$E$30</c:f>
              <c:numCache>
                <c:formatCode>0.000</c:formatCode>
                <c:ptCount val="12"/>
                <c:pt idx="0">
                  <c:v>100</c:v>
                </c:pt>
                <c:pt idx="1">
                  <c:v>99.88</c:v>
                </c:pt>
                <c:pt idx="2">
                  <c:v>95.2</c:v>
                </c:pt>
                <c:pt idx="3">
                  <c:v>80</c:v>
                </c:pt>
                <c:pt idx="4">
                  <c:v>62.4</c:v>
                </c:pt>
                <c:pt idx="5">
                  <c:v>46</c:v>
                </c:pt>
                <c:pt idx="6">
                  <c:v>23.200000000000003</c:v>
                </c:pt>
                <c:pt idx="7">
                  <c:v>10.400000000000006</c:v>
                </c:pt>
                <c:pt idx="8">
                  <c:v>1.5999999999999945</c:v>
                </c:pt>
                <c:pt idx="9">
                  <c:v>0.20000000000000281</c:v>
                </c:pt>
                <c:pt idx="10">
                  <c:v>0.12000000000000455</c:v>
                </c:pt>
                <c:pt idx="11">
                  <c:v>4.0000000000006253E-2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3FA-4256-B353-B07BF699A579}"/>
            </c:ext>
          </c:extLst>
        </c:ser>
        <c:ser>
          <c:idx val="2"/>
          <c:order val="2"/>
          <c:tx>
            <c:v>Q= 2.5 ml/min (CCB)</c:v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'Column data'!$A$19:$A$30</c:f>
              <c:numCache>
                <c:formatCode>General</c:formatCode>
                <c:ptCount val="12"/>
                <c:pt idx="0">
                  <c:v>15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  <c:pt idx="7">
                  <c:v>360</c:v>
                </c:pt>
                <c:pt idx="8">
                  <c:v>420</c:v>
                </c:pt>
                <c:pt idx="9">
                  <c:v>480</c:v>
                </c:pt>
                <c:pt idx="10">
                  <c:v>540</c:v>
                </c:pt>
                <c:pt idx="11">
                  <c:v>600</c:v>
                </c:pt>
              </c:numCache>
            </c:numRef>
          </c:xVal>
          <c:yVal>
            <c:numRef>
              <c:f>'Column data'!$H$19:$H$30</c:f>
              <c:numCache>
                <c:formatCode>0.00</c:formatCode>
                <c:ptCount val="12"/>
                <c:pt idx="0">
                  <c:v>99.96</c:v>
                </c:pt>
                <c:pt idx="1">
                  <c:v>98</c:v>
                </c:pt>
                <c:pt idx="2">
                  <c:v>90.4</c:v>
                </c:pt>
                <c:pt idx="3">
                  <c:v>77.2</c:v>
                </c:pt>
                <c:pt idx="4">
                  <c:v>63.6</c:v>
                </c:pt>
                <c:pt idx="5">
                  <c:v>50.8</c:v>
                </c:pt>
                <c:pt idx="6">
                  <c:v>32.400000000000006</c:v>
                </c:pt>
                <c:pt idx="7">
                  <c:v>14.400000000000004</c:v>
                </c:pt>
                <c:pt idx="8">
                  <c:v>2</c:v>
                </c:pt>
                <c:pt idx="9">
                  <c:v>0.40000000000000563</c:v>
                </c:pt>
                <c:pt idx="10">
                  <c:v>7.9999999999998295E-2</c:v>
                </c:pt>
                <c:pt idx="11">
                  <c:v>4.0000000000006253E-2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B9-450F-8D96-4C90A9AE19DC}"/>
            </c:ext>
          </c:extLst>
        </c:ser>
        <c:ser>
          <c:idx val="3"/>
          <c:order val="3"/>
          <c:tx>
            <c:v>Q= 5.0 ml/min (CCB)</c:v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'Column data'!$A$19:$A$30</c:f>
              <c:numCache>
                <c:formatCode>General</c:formatCode>
                <c:ptCount val="12"/>
                <c:pt idx="0">
                  <c:v>15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  <c:pt idx="7">
                  <c:v>360</c:v>
                </c:pt>
                <c:pt idx="8">
                  <c:v>420</c:v>
                </c:pt>
                <c:pt idx="9">
                  <c:v>480</c:v>
                </c:pt>
                <c:pt idx="10">
                  <c:v>540</c:v>
                </c:pt>
                <c:pt idx="11">
                  <c:v>600</c:v>
                </c:pt>
              </c:numCache>
            </c:numRef>
          </c:xVal>
          <c:yVal>
            <c:numRef>
              <c:f>'Column data'!$I$19:$I$30</c:f>
              <c:numCache>
                <c:formatCode>0.00</c:formatCode>
                <c:ptCount val="12"/>
                <c:pt idx="0">
                  <c:v>99.4</c:v>
                </c:pt>
                <c:pt idx="1">
                  <c:v>94.6</c:v>
                </c:pt>
                <c:pt idx="2">
                  <c:v>83.2</c:v>
                </c:pt>
                <c:pt idx="3">
                  <c:v>64.400000000000006</c:v>
                </c:pt>
                <c:pt idx="4">
                  <c:v>33.599999999999994</c:v>
                </c:pt>
                <c:pt idx="5">
                  <c:v>15.200000000000003</c:v>
                </c:pt>
                <c:pt idx="6">
                  <c:v>2</c:v>
                </c:pt>
                <c:pt idx="7">
                  <c:v>0.79999999999999727</c:v>
                </c:pt>
                <c:pt idx="8">
                  <c:v>0.40000000000000563</c:v>
                </c:pt>
                <c:pt idx="9">
                  <c:v>0.20000000000000281</c:v>
                </c:pt>
                <c:pt idx="10">
                  <c:v>0.15999999999999659</c:v>
                </c:pt>
                <c:pt idx="11">
                  <c:v>0.20000000000000281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7B9-450F-8D96-4C90A9AE1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685216"/>
        <c:axId val="1105682720"/>
      </c:scatterChart>
      <c:valAx>
        <c:axId val="1105685216"/>
        <c:scaling>
          <c:orientation val="minMax"/>
          <c:max val="61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Contact 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05682720"/>
        <c:crosses val="autoZero"/>
        <c:crossBetween val="midCat"/>
        <c:majorUnit val="60"/>
      </c:valAx>
      <c:valAx>
        <c:axId val="1105682720"/>
        <c:scaling>
          <c:orientation val="minMax"/>
          <c:max val="11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Pb removal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0568521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8130794321172704"/>
          <c:y val="6.2919547811991439E-2"/>
          <c:w val="0.43515367921093268"/>
          <c:h val="0.28742420814045799"/>
        </c:manualLayout>
      </c:layout>
      <c:overlay val="1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69991365302114"/>
          <c:y val="4.3206633249855221E-2"/>
          <c:w val="0.8578249399990483"/>
          <c:h val="0.81181119373696842"/>
        </c:manualLayout>
      </c:layout>
      <c:scatterChart>
        <c:scatterStyle val="smoothMarker"/>
        <c:varyColors val="0"/>
        <c:ser>
          <c:idx val="0"/>
          <c:order val="0"/>
          <c:tx>
            <c:v>PSB=3.0 g/column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'Column data'!$A$35:$A$46</c:f>
              <c:numCache>
                <c:formatCode>General</c:formatCode>
                <c:ptCount val="12"/>
                <c:pt idx="0">
                  <c:v>15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  <c:pt idx="7">
                  <c:v>360</c:v>
                </c:pt>
                <c:pt idx="8">
                  <c:v>420</c:v>
                </c:pt>
                <c:pt idx="9">
                  <c:v>480</c:v>
                </c:pt>
                <c:pt idx="10">
                  <c:v>540</c:v>
                </c:pt>
                <c:pt idx="11">
                  <c:v>600</c:v>
                </c:pt>
              </c:numCache>
            </c:numRef>
          </c:xVal>
          <c:yVal>
            <c:numRef>
              <c:f>'Column data'!$D$35:$D$46</c:f>
              <c:numCache>
                <c:formatCode>0.000</c:formatCode>
                <c:ptCount val="12"/>
                <c:pt idx="0">
                  <c:v>100</c:v>
                </c:pt>
                <c:pt idx="1">
                  <c:v>99.96</c:v>
                </c:pt>
                <c:pt idx="2">
                  <c:v>99.8</c:v>
                </c:pt>
                <c:pt idx="3">
                  <c:v>87.92</c:v>
                </c:pt>
                <c:pt idx="4">
                  <c:v>73.88</c:v>
                </c:pt>
                <c:pt idx="5">
                  <c:v>63.4</c:v>
                </c:pt>
                <c:pt idx="6">
                  <c:v>46.64</c:v>
                </c:pt>
                <c:pt idx="7">
                  <c:v>30.64</c:v>
                </c:pt>
                <c:pt idx="8">
                  <c:v>10</c:v>
                </c:pt>
                <c:pt idx="9">
                  <c:v>4.7999999999999972</c:v>
                </c:pt>
                <c:pt idx="10">
                  <c:v>3.5999999999999943</c:v>
                </c:pt>
                <c:pt idx="11">
                  <c:v>0.79999999999999727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D1-4F1C-AD7A-9F692B034E5C}"/>
            </c:ext>
          </c:extLst>
        </c:ser>
        <c:ser>
          <c:idx val="1"/>
          <c:order val="1"/>
          <c:tx>
            <c:v>PSB=6.0 g/column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noFill/>
              <a:ln w="19050">
                <a:solidFill>
                  <a:schemeClr val="tx1"/>
                </a:solidFill>
              </a:ln>
              <a:effectLst/>
            </c:spPr>
          </c:marker>
          <c:xVal>
            <c:numRef>
              <c:f>'Column data'!$A$35:$A$46</c:f>
              <c:numCache>
                <c:formatCode>General</c:formatCode>
                <c:ptCount val="12"/>
                <c:pt idx="0">
                  <c:v>15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  <c:pt idx="7">
                  <c:v>360</c:v>
                </c:pt>
                <c:pt idx="8">
                  <c:v>420</c:v>
                </c:pt>
                <c:pt idx="9">
                  <c:v>480</c:v>
                </c:pt>
                <c:pt idx="10">
                  <c:v>540</c:v>
                </c:pt>
                <c:pt idx="11">
                  <c:v>600</c:v>
                </c:pt>
              </c:numCache>
            </c:numRef>
          </c:xVal>
          <c:yVal>
            <c:numRef>
              <c:f>'Column data'!$E$35:$E$46</c:f>
              <c:numCache>
                <c:formatCode>0.000</c:formatCode>
                <c:ptCount val="12"/>
                <c:pt idx="0">
                  <c:v>100</c:v>
                </c:pt>
                <c:pt idx="1">
                  <c:v>99.971999999999994</c:v>
                </c:pt>
                <c:pt idx="2">
                  <c:v>99.88</c:v>
                </c:pt>
                <c:pt idx="3">
                  <c:v>96</c:v>
                </c:pt>
                <c:pt idx="4">
                  <c:v>83.6</c:v>
                </c:pt>
                <c:pt idx="5">
                  <c:v>73.2</c:v>
                </c:pt>
                <c:pt idx="6">
                  <c:v>63.2</c:v>
                </c:pt>
                <c:pt idx="7">
                  <c:v>43.08</c:v>
                </c:pt>
                <c:pt idx="8">
                  <c:v>26.400000000000006</c:v>
                </c:pt>
                <c:pt idx="9">
                  <c:v>11.599999999999994</c:v>
                </c:pt>
                <c:pt idx="10">
                  <c:v>6.4000000000000057</c:v>
                </c:pt>
                <c:pt idx="11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ED1-4F1C-AD7A-9F692B034E5C}"/>
            </c:ext>
          </c:extLst>
        </c:ser>
        <c:ser>
          <c:idx val="2"/>
          <c:order val="2"/>
          <c:tx>
            <c:v>CCB= 3.0 g/column</c:v>
          </c:tx>
          <c:spPr>
            <a:ln w="1905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'Column data'!$A$35:$A$46</c:f>
              <c:numCache>
                <c:formatCode>General</c:formatCode>
                <c:ptCount val="12"/>
                <c:pt idx="0">
                  <c:v>15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  <c:pt idx="7">
                  <c:v>360</c:v>
                </c:pt>
                <c:pt idx="8">
                  <c:v>420</c:v>
                </c:pt>
                <c:pt idx="9">
                  <c:v>480</c:v>
                </c:pt>
                <c:pt idx="10">
                  <c:v>540</c:v>
                </c:pt>
                <c:pt idx="11">
                  <c:v>600</c:v>
                </c:pt>
              </c:numCache>
            </c:numRef>
          </c:xVal>
          <c:yVal>
            <c:numRef>
              <c:f>'Column data'!$H$35:$H$46</c:f>
              <c:numCache>
                <c:formatCode>0.000</c:formatCode>
                <c:ptCount val="12"/>
                <c:pt idx="0">
                  <c:v>99.96</c:v>
                </c:pt>
                <c:pt idx="1">
                  <c:v>98</c:v>
                </c:pt>
                <c:pt idx="2">
                  <c:v>90.4</c:v>
                </c:pt>
                <c:pt idx="3">
                  <c:v>77.2</c:v>
                </c:pt>
                <c:pt idx="4">
                  <c:v>63.6</c:v>
                </c:pt>
                <c:pt idx="5">
                  <c:v>50.8</c:v>
                </c:pt>
                <c:pt idx="6">
                  <c:v>32.400000000000006</c:v>
                </c:pt>
                <c:pt idx="7">
                  <c:v>14.400000000000004</c:v>
                </c:pt>
                <c:pt idx="8">
                  <c:v>2</c:v>
                </c:pt>
                <c:pt idx="9">
                  <c:v>0.40000000000000563</c:v>
                </c:pt>
                <c:pt idx="10">
                  <c:v>7.9999999999998295E-2</c:v>
                </c:pt>
                <c:pt idx="11">
                  <c:v>4.0000000000006253E-2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F3-4E61-878F-F43726812E24}"/>
            </c:ext>
          </c:extLst>
        </c:ser>
        <c:ser>
          <c:idx val="3"/>
          <c:order val="3"/>
          <c:tx>
            <c:v>CCB= 6.0 g/column</c:v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'Column data'!$A$35:$A$46</c:f>
              <c:numCache>
                <c:formatCode>General</c:formatCode>
                <c:ptCount val="12"/>
                <c:pt idx="0">
                  <c:v>15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  <c:pt idx="7">
                  <c:v>360</c:v>
                </c:pt>
                <c:pt idx="8">
                  <c:v>420</c:v>
                </c:pt>
                <c:pt idx="9">
                  <c:v>480</c:v>
                </c:pt>
                <c:pt idx="10">
                  <c:v>540</c:v>
                </c:pt>
                <c:pt idx="11">
                  <c:v>600</c:v>
                </c:pt>
              </c:numCache>
            </c:numRef>
          </c:xVal>
          <c:yVal>
            <c:numRef>
              <c:f>'Column data'!$I$35:$I$46</c:f>
              <c:numCache>
                <c:formatCode>0.000</c:formatCode>
                <c:ptCount val="12"/>
                <c:pt idx="0">
                  <c:v>100</c:v>
                </c:pt>
                <c:pt idx="1">
                  <c:v>99.6</c:v>
                </c:pt>
                <c:pt idx="2">
                  <c:v>91.6</c:v>
                </c:pt>
                <c:pt idx="3">
                  <c:v>84.8</c:v>
                </c:pt>
                <c:pt idx="4">
                  <c:v>72.400000000000006</c:v>
                </c:pt>
                <c:pt idx="5">
                  <c:v>59.20000000000001</c:v>
                </c:pt>
                <c:pt idx="6">
                  <c:v>47.2</c:v>
                </c:pt>
                <c:pt idx="7">
                  <c:v>34.400000000000006</c:v>
                </c:pt>
                <c:pt idx="8">
                  <c:v>18.799999999999997</c:v>
                </c:pt>
                <c:pt idx="9">
                  <c:v>8.7999999999999972</c:v>
                </c:pt>
                <c:pt idx="10">
                  <c:v>0.79999999999999727</c:v>
                </c:pt>
                <c:pt idx="11">
                  <c:v>0.23999999999999491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F3-4E61-878F-F43726812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685216"/>
        <c:axId val="1105682720"/>
      </c:scatterChart>
      <c:valAx>
        <c:axId val="1105685216"/>
        <c:scaling>
          <c:orientation val="minMax"/>
          <c:max val="61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Contact 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05682720"/>
        <c:crosses val="autoZero"/>
        <c:crossBetween val="midCat"/>
        <c:majorUnit val="60"/>
      </c:valAx>
      <c:valAx>
        <c:axId val="1105682720"/>
        <c:scaling>
          <c:orientation val="minMax"/>
          <c:max val="11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Pb removal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0568521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1635790822743921"/>
          <c:y val="6.2919547811991439E-2"/>
          <c:w val="0.37301002508821662"/>
          <c:h val="0.28336535671231761"/>
        </c:manualLayout>
      </c:layout>
      <c:overlay val="1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52228858716604"/>
          <c:y val="2.5428331875182269E-2"/>
          <c:w val="0.84221211785146577"/>
          <c:h val="0.8416746864975212"/>
        </c:manualLayout>
      </c:layout>
      <c:scatterChart>
        <c:scatterStyle val="lineMarker"/>
        <c:varyColors val="0"/>
        <c:ser>
          <c:idx val="0"/>
          <c:order val="0"/>
          <c:tx>
            <c:v>CCB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5971292320854261"/>
                  <c:y val="4.397010883193740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y = 0.04x + 0.49</a:t>
                    </a:r>
                    <a:br>
                      <a:rPr lang="en-US"/>
                    </a:br>
                    <a:r>
                      <a:rPr lang="en-US"/>
                      <a:t>R² = 0.99</a:t>
                    </a:r>
                  </a:p>
                </c:rich>
              </c:tx>
              <c:numFmt formatCode="#,##0.00" sourceLinked="0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'kinetic and Eq modeling'!$B$5:$B$8</c:f>
              <c:numCache>
                <c:formatCode>0.0</c:formatCode>
                <c:ptCount val="4"/>
                <c:pt idx="0">
                  <c:v>5.2</c:v>
                </c:pt>
                <c:pt idx="1">
                  <c:v>15.1</c:v>
                </c:pt>
                <c:pt idx="2">
                  <c:v>30.2</c:v>
                </c:pt>
                <c:pt idx="3">
                  <c:v>47.5</c:v>
                </c:pt>
              </c:numCache>
            </c:numRef>
          </c:xVal>
          <c:yVal>
            <c:numRef>
              <c:f>'kinetic and Eq modeling'!$D$5:$D$8</c:f>
              <c:numCache>
                <c:formatCode>0.00</c:formatCode>
                <c:ptCount val="4"/>
                <c:pt idx="0">
                  <c:v>0.65656565656565657</c:v>
                </c:pt>
                <c:pt idx="1">
                  <c:v>1.0816618911174785</c:v>
                </c:pt>
                <c:pt idx="2">
                  <c:v>1.6852678571428572</c:v>
                </c:pt>
                <c:pt idx="3">
                  <c:v>2.2619047619047619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BB-422F-9DB6-04856B91FC47}"/>
            </c:ext>
          </c:extLst>
        </c:ser>
        <c:ser>
          <c:idx val="1"/>
          <c:order val="1"/>
          <c:tx>
            <c:v>PSB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lg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378380519336491"/>
                  <c:y val="0.12928832940468438"/>
                </c:manualLayout>
              </c:layout>
              <c:numFmt formatCode="#,##0.00" sourceLinked="0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'kinetic and Eq modeling'!$I$4:$I$7</c:f>
              <c:numCache>
                <c:formatCode>General</c:formatCode>
                <c:ptCount val="4"/>
                <c:pt idx="0">
                  <c:v>2.5</c:v>
                </c:pt>
                <c:pt idx="1">
                  <c:v>10.1</c:v>
                </c:pt>
                <c:pt idx="2">
                  <c:v>16.3</c:v>
                </c:pt>
                <c:pt idx="3">
                  <c:v>25.1</c:v>
                </c:pt>
              </c:numCache>
            </c:numRef>
          </c:xVal>
          <c:yVal>
            <c:numRef>
              <c:f>'kinetic and Eq modeling'!$K$4:$K$7</c:f>
              <c:numCache>
                <c:formatCode>0.00</c:formatCode>
                <c:ptCount val="4"/>
                <c:pt idx="0">
                  <c:v>0.27777777777777779</c:v>
                </c:pt>
                <c:pt idx="1">
                  <c:v>0.63283208020050119</c:v>
                </c:pt>
                <c:pt idx="2">
                  <c:v>0.6942078364565587</c:v>
                </c:pt>
                <c:pt idx="3">
                  <c:v>0.83778371161548726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BB-422F-9DB6-04856B91F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287120"/>
        <c:axId val="1178280464"/>
      </c:scatterChart>
      <c:valAx>
        <c:axId val="1178287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78280464"/>
        <c:crosses val="autoZero"/>
        <c:crossBetween val="midCat"/>
      </c:valAx>
      <c:valAx>
        <c:axId val="11782804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Ce/qe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7828712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4143105351267724"/>
          <c:y val="0.31369376598625814"/>
          <c:w val="0.13943968271571688"/>
          <c:h val="0.16269287995051573"/>
        </c:manualLayout>
      </c:layout>
      <c:overlay val="1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08743169398907"/>
          <c:y val="5.1498230370765528E-2"/>
          <c:w val="0.8218306010928963"/>
          <c:h val="0.79849626783035521"/>
        </c:manualLayout>
      </c:layout>
      <c:scatterChart>
        <c:scatterStyle val="lineMarker"/>
        <c:varyColors val="0"/>
        <c:ser>
          <c:idx val="0"/>
          <c:order val="0"/>
          <c:tx>
            <c:v>CCB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lg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629017684264876E-2"/>
                  <c:y val="0.17737381728734847"/>
                </c:manualLayout>
              </c:layout>
              <c:numFmt formatCode="#,##0.00" sourceLinked="0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'kinetic and Eq modeling'!$E$5:$E$8</c:f>
              <c:numCache>
                <c:formatCode>0.00</c:formatCode>
                <c:ptCount val="4"/>
                <c:pt idx="0">
                  <c:v>1.6486586255873816</c:v>
                </c:pt>
                <c:pt idx="1">
                  <c:v>2.7146947438208788</c:v>
                </c:pt>
                <c:pt idx="2">
                  <c:v>3.4078419243808238</c:v>
                </c:pt>
                <c:pt idx="3">
                  <c:v>3.8607297110405954</c:v>
                </c:pt>
              </c:numCache>
            </c:numRef>
          </c:xVal>
          <c:yVal>
            <c:numRef>
              <c:f>'kinetic and Eq modeling'!$G$5:$G$8</c:f>
              <c:numCache>
                <c:formatCode>0.00</c:formatCode>
                <c:ptCount val="4"/>
                <c:pt idx="0">
                  <c:v>2.0693912058263346</c:v>
                </c:pt>
                <c:pt idx="1">
                  <c:v>2.6361960973342264</c:v>
                </c:pt>
                <c:pt idx="2">
                  <c:v>2.8859174075467844</c:v>
                </c:pt>
                <c:pt idx="3">
                  <c:v>3.044522437723423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FE-4778-8129-9912CB4B94D5}"/>
            </c:ext>
          </c:extLst>
        </c:ser>
        <c:ser>
          <c:idx val="1"/>
          <c:order val="1"/>
          <c:tx>
            <c:v>PSB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855535476098276"/>
                  <c:y val="2.8645568544753305E-2"/>
                </c:manualLayout>
              </c:layout>
              <c:numFmt formatCode="#,##0.00" sourceLinked="0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'kinetic and Eq modeling'!$M$4:$M$7</c:f>
              <c:numCache>
                <c:formatCode>0.00</c:formatCode>
                <c:ptCount val="4"/>
                <c:pt idx="0">
                  <c:v>0.91629073187415511</c:v>
                </c:pt>
                <c:pt idx="1">
                  <c:v>2.3125354238472138</c:v>
                </c:pt>
                <c:pt idx="2">
                  <c:v>2.7911651078127169</c:v>
                </c:pt>
                <c:pt idx="3">
                  <c:v>3.2228678461377385</c:v>
                </c:pt>
              </c:numCache>
            </c:numRef>
          </c:xVal>
          <c:yVal>
            <c:numRef>
              <c:f>'kinetic and Eq modeling'!$N$4:$N$7</c:f>
              <c:numCache>
                <c:formatCode>0.00</c:formatCode>
                <c:ptCount val="4"/>
                <c:pt idx="0">
                  <c:v>2.1972245773362196</c:v>
                </c:pt>
                <c:pt idx="1">
                  <c:v>2.7700855920216627</c:v>
                </c:pt>
                <c:pt idx="2">
                  <c:v>3.1561489949598958</c:v>
                </c:pt>
                <c:pt idx="3">
                  <c:v>3.3998631586490187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FE-4778-8129-9912CB4B9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3417872"/>
        <c:axId val="1303413296"/>
      </c:scatterChart>
      <c:valAx>
        <c:axId val="1303417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ln 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03413296"/>
        <c:crosses val="autoZero"/>
        <c:crossBetween val="midCat"/>
      </c:valAx>
      <c:valAx>
        <c:axId val="13034132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ln qe</a:t>
                </a:r>
              </a:p>
            </c:rich>
          </c:tx>
          <c:layout>
            <c:manualLayout>
              <c:xMode val="edge"/>
              <c:yMode val="edge"/>
              <c:x val="5.4644808743169453E-4"/>
              <c:y val="0.38516318056903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0341787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3605309582203871"/>
          <c:y val="8.4501362913975531E-2"/>
          <c:w val="0.18299492276580182"/>
          <c:h val="0.12521467462082855"/>
        </c:manualLayout>
      </c:layout>
      <c:overlay val="1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PSB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lg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1253937007874019E-2"/>
                  <c:y val="-1.4132035578885973E-2"/>
                </c:manualLayout>
              </c:layout>
              <c:numFmt formatCode="#,##0.00" sourceLinked="0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'kinetic and Eq modeling'!$S$3:$S$6</c:f>
              <c:numCache>
                <c:formatCode>General</c:formatCode>
                <c:ptCount val="4"/>
                <c:pt idx="0">
                  <c:v>15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</c:numCache>
            </c:numRef>
          </c:xVal>
          <c:yVal>
            <c:numRef>
              <c:f>'kinetic and Eq modeling'!$X$3:$X$6</c:f>
              <c:numCache>
                <c:formatCode>0.00</c:formatCode>
                <c:ptCount val="4"/>
                <c:pt idx="0">
                  <c:v>1.8050046959780757</c:v>
                </c:pt>
                <c:pt idx="1">
                  <c:v>0.47000362924573647</c:v>
                </c:pt>
                <c:pt idx="2">
                  <c:v>0.30748469974796022</c:v>
                </c:pt>
                <c:pt idx="3">
                  <c:v>-1.021651247531983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9B-47F4-8D99-A1F1A9074118}"/>
            </c:ext>
          </c:extLst>
        </c:ser>
        <c:ser>
          <c:idx val="1"/>
          <c:order val="1"/>
          <c:tx>
            <c:v>CCB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9236504811898514"/>
                  <c:y val="-0.49222841936424616"/>
                </c:manualLayout>
              </c:layout>
              <c:numFmt formatCode="#,##0.00" sourceLinked="0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'kinetic and Eq modeling'!$S$11:$S$14</c:f>
              <c:numCache>
                <c:formatCode>General</c:formatCode>
                <c:ptCount val="4"/>
                <c:pt idx="0">
                  <c:v>15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</c:numCache>
            </c:numRef>
          </c:xVal>
          <c:yVal>
            <c:numRef>
              <c:f>'kinetic and Eq modeling'!$X$11:$X$14</c:f>
              <c:numCache>
                <c:formatCode>0.00</c:formatCode>
                <c:ptCount val="4"/>
                <c:pt idx="0">
                  <c:v>2.1882959465919178</c:v>
                </c:pt>
                <c:pt idx="1">
                  <c:v>1.435084525289323</c:v>
                </c:pt>
                <c:pt idx="2">
                  <c:v>0.27763173659827972</c:v>
                </c:pt>
                <c:pt idx="3">
                  <c:v>-0.57981849525294127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9B-47F4-8D99-A1F1A9074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9856048"/>
        <c:axId val="1299860624"/>
      </c:scatterChart>
      <c:valAx>
        <c:axId val="1299856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9860624"/>
        <c:crosses val="autoZero"/>
        <c:crossBetween val="midCat"/>
      </c:valAx>
      <c:valAx>
        <c:axId val="12998606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ln (qe-qt)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98560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8782895888013993"/>
          <c:y val="0.20891149023038788"/>
          <c:w val="0.10560035655920369"/>
          <c:h val="0.15181443190252727"/>
        </c:manualLayout>
      </c:layout>
      <c:overlay val="1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52777777777778"/>
          <c:y val="5.3912219305920092E-2"/>
          <c:w val="0.80691666666666673"/>
          <c:h val="0.77608778069407991"/>
        </c:manualLayout>
      </c:layout>
      <c:scatterChart>
        <c:scatterStyle val="lineMarker"/>
        <c:varyColors val="0"/>
        <c:ser>
          <c:idx val="0"/>
          <c:order val="0"/>
          <c:tx>
            <c:v>PSB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lg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008617672790901"/>
                  <c:y val="0.375785214348206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/>
                      <a:t>y = 0.06x + 0.48</a:t>
                    </a:r>
                    <a:br>
                      <a:rPr lang="en-US"/>
                    </a:br>
                    <a:r>
                      <a:rPr lang="en-US"/>
                      <a:t>R² = 0.99</a:t>
                    </a:r>
                  </a:p>
                </c:rich>
              </c:tx>
              <c:numFmt formatCode="#,##0.00" sourceLinked="0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'kinetic and Eq modeling'!$S$3:$S$7</c:f>
              <c:numCache>
                <c:formatCode>General</c:formatCode>
                <c:ptCount val="5"/>
                <c:pt idx="0">
                  <c:v>15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</c:numCache>
            </c:numRef>
          </c:xVal>
          <c:yVal>
            <c:numRef>
              <c:f>'kinetic and Eq modeling'!$W$3:$W$7</c:f>
              <c:numCache>
                <c:formatCode>0.00</c:formatCode>
                <c:ptCount val="5"/>
                <c:pt idx="0">
                  <c:v>1.5182186234817812</c:v>
                </c:pt>
                <c:pt idx="1">
                  <c:v>2.0891364902506964</c:v>
                </c:pt>
                <c:pt idx="2">
                  <c:v>4.10958904109589</c:v>
                </c:pt>
                <c:pt idx="3">
                  <c:v>7.6923076923076916</c:v>
                </c:pt>
                <c:pt idx="4">
                  <c:v>11.278195488721805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0D-4820-A157-EDD6CBF4081A}"/>
            </c:ext>
          </c:extLst>
        </c:ser>
        <c:ser>
          <c:idx val="1"/>
          <c:order val="1"/>
          <c:tx>
            <c:v>CCB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5947506561679787"/>
                  <c:y val="0.22849518810148731"/>
                </c:manualLayout>
              </c:layout>
              <c:numFmt formatCode="#,##0.00" sourceLinked="0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'kinetic and Eq modeling'!$S$11:$S$15</c:f>
              <c:numCache>
                <c:formatCode>General</c:formatCode>
                <c:ptCount val="5"/>
                <c:pt idx="0">
                  <c:v>15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</c:numCache>
            </c:numRef>
          </c:xVal>
          <c:yVal>
            <c:numRef>
              <c:f>'kinetic and Eq modeling'!$W$11:$W$15</c:f>
              <c:numCache>
                <c:formatCode>0.00</c:formatCode>
                <c:ptCount val="5"/>
                <c:pt idx="0">
                  <c:v>2.9761904761904758</c:v>
                </c:pt>
                <c:pt idx="1">
                  <c:v>3.0737704918032787</c:v>
                </c:pt>
                <c:pt idx="2">
                  <c:v>4.7468354430379742</c:v>
                </c:pt>
                <c:pt idx="3">
                  <c:v>8.9552238805970141</c:v>
                </c:pt>
                <c:pt idx="4">
                  <c:v>12.893982808022923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0D-4820-A157-EDD6CBF40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4807200"/>
        <c:axId val="1174809280"/>
      </c:scatterChart>
      <c:valAx>
        <c:axId val="1174807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74809280"/>
        <c:crosses val="autoZero"/>
        <c:crossBetween val="midCat"/>
      </c:valAx>
      <c:valAx>
        <c:axId val="11748092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t/qt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379444444444444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748072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3895516185476811"/>
          <c:y val="0.11501348789734618"/>
          <c:w val="0.10660607424071991"/>
          <c:h val="0.15989219377518288"/>
        </c:manualLayout>
      </c:layout>
      <c:overlay val="1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60683667026712"/>
          <c:y val="3.0764071157771945E-2"/>
          <c:w val="0.82948834805882299"/>
          <c:h val="0.8109226067021007"/>
        </c:manualLayout>
      </c:layout>
      <c:scatterChart>
        <c:scatterStyle val="lineMarker"/>
        <c:varyColors val="0"/>
        <c:ser>
          <c:idx val="0"/>
          <c:order val="0"/>
          <c:tx>
            <c:v>PSB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6576924759405075"/>
                  <c:y val="0.10349518810148732"/>
                </c:manualLayout>
              </c:layout>
              <c:numFmt formatCode="#,##0.00" sourceLinked="0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'kinetic and Eq modeling'!$T$3:$T$7</c:f>
              <c:numCache>
                <c:formatCode>0.00</c:formatCode>
                <c:ptCount val="5"/>
                <c:pt idx="0">
                  <c:v>3.872983346207417</c:v>
                </c:pt>
                <c:pt idx="1">
                  <c:v>5.4772255750516612</c:v>
                </c:pt>
                <c:pt idx="2">
                  <c:v>7.745966692414834</c:v>
                </c:pt>
                <c:pt idx="3">
                  <c:v>10.954451150103322</c:v>
                </c:pt>
                <c:pt idx="4">
                  <c:v>13.416407864998739</c:v>
                </c:pt>
              </c:numCache>
            </c:numRef>
          </c:xVal>
          <c:yVal>
            <c:numRef>
              <c:f>'kinetic and Eq modeling'!$V$3:$V$7</c:f>
              <c:numCache>
                <c:formatCode>0.00</c:formatCode>
                <c:ptCount val="5"/>
                <c:pt idx="0">
                  <c:v>9.8800000000000008</c:v>
                </c:pt>
                <c:pt idx="1">
                  <c:v>14.36</c:v>
                </c:pt>
                <c:pt idx="2">
                  <c:v>14.600000000000001</c:v>
                </c:pt>
                <c:pt idx="3">
                  <c:v>15.600000000000001</c:v>
                </c:pt>
                <c:pt idx="4">
                  <c:v>15.96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21-45CD-AEDA-F995587CC21B}"/>
            </c:ext>
          </c:extLst>
        </c:ser>
        <c:ser>
          <c:idx val="1"/>
          <c:order val="1"/>
          <c:tx>
            <c:v>CCB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2225" cap="rnd">
                <a:solidFill>
                  <a:schemeClr val="tx1"/>
                </a:solidFill>
                <a:prstDash val="lg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9756102362204719"/>
                  <c:y val="0.38698235637212014"/>
                </c:manualLayout>
              </c:layout>
              <c:numFmt formatCode="#,##0.00" sourceLinked="0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'kinetic and Eq modeling'!$T$11:$T$15</c:f>
              <c:numCache>
                <c:formatCode>0.00</c:formatCode>
                <c:ptCount val="5"/>
                <c:pt idx="0">
                  <c:v>3.872983346207417</c:v>
                </c:pt>
                <c:pt idx="1">
                  <c:v>5.4772255750516612</c:v>
                </c:pt>
                <c:pt idx="2">
                  <c:v>7.745966692414834</c:v>
                </c:pt>
                <c:pt idx="3">
                  <c:v>10.954451150103322</c:v>
                </c:pt>
                <c:pt idx="4">
                  <c:v>13.416407864998739</c:v>
                </c:pt>
              </c:numCache>
            </c:numRef>
          </c:xVal>
          <c:yVal>
            <c:numRef>
              <c:f>'kinetic and Eq modeling'!$V$11:$V$15</c:f>
              <c:numCache>
                <c:formatCode>0.00</c:formatCode>
                <c:ptCount val="5"/>
                <c:pt idx="0">
                  <c:v>5.0400000000000009</c:v>
                </c:pt>
                <c:pt idx="1">
                  <c:v>9.76</c:v>
                </c:pt>
                <c:pt idx="2">
                  <c:v>12.64</c:v>
                </c:pt>
                <c:pt idx="3">
                  <c:v>13.4</c:v>
                </c:pt>
                <c:pt idx="4">
                  <c:v>13.96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21-45CD-AEDA-F995587CC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3405808"/>
        <c:axId val="1303409552"/>
      </c:scatterChart>
      <c:valAx>
        <c:axId val="13034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t^0.5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03409552"/>
        <c:crosses val="autoZero"/>
        <c:crossBetween val="midCat"/>
      </c:valAx>
      <c:valAx>
        <c:axId val="13034095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qt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0340580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162401574803147"/>
          <c:y val="0.43908756197142035"/>
          <c:w val="0.10660605292217415"/>
          <c:h val="0.16399857366167875"/>
        </c:manualLayout>
      </c:layout>
      <c:overlay val="1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257176</xdr:colOff>
      <xdr:row>2</xdr:row>
      <xdr:rowOff>99391</xdr:rowOff>
    </xdr:from>
    <xdr:to>
      <xdr:col>19</xdr:col>
      <xdr:colOff>343729</xdr:colOff>
      <xdr:row>19</xdr:row>
      <xdr:rowOff>168137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428210</xdr:colOff>
      <xdr:row>17</xdr:row>
      <xdr:rowOff>62739</xdr:rowOff>
    </xdr:from>
    <xdr:to>
      <xdr:col>18</xdr:col>
      <xdr:colOff>237710</xdr:colOff>
      <xdr:row>34</xdr:row>
      <xdr:rowOff>143703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222388</xdr:colOff>
      <xdr:row>36</xdr:row>
      <xdr:rowOff>41412</xdr:rowOff>
    </xdr:from>
    <xdr:to>
      <xdr:col>18</xdr:col>
      <xdr:colOff>25676</xdr:colOff>
      <xdr:row>52</xdr:row>
      <xdr:rowOff>122376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23</xdr:row>
      <xdr:rowOff>157162</xdr:rowOff>
    </xdr:from>
    <xdr:to>
      <xdr:col>7</xdr:col>
      <xdr:colOff>590550</xdr:colOff>
      <xdr:row>39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323850</xdr:colOff>
      <xdr:row>11</xdr:row>
      <xdr:rowOff>90487</xdr:rowOff>
    </xdr:from>
    <xdr:to>
      <xdr:col>16</xdr:col>
      <xdr:colOff>285750</xdr:colOff>
      <xdr:row>25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219075</xdr:colOff>
      <xdr:row>0</xdr:row>
      <xdr:rowOff>176211</xdr:rowOff>
    </xdr:from>
    <xdr:to>
      <xdr:col>24</xdr:col>
      <xdr:colOff>390525</xdr:colOff>
      <xdr:row>16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447674</xdr:colOff>
      <xdr:row>2</xdr:row>
      <xdr:rowOff>33337</xdr:rowOff>
    </xdr:from>
    <xdr:to>
      <xdr:col>32</xdr:col>
      <xdr:colOff>571499</xdr:colOff>
      <xdr:row>17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238124</xdr:colOff>
      <xdr:row>18</xdr:row>
      <xdr:rowOff>23811</xdr:rowOff>
    </xdr:from>
    <xdr:to>
      <xdr:col>24</xdr:col>
      <xdr:colOff>361950</xdr:colOff>
      <xdr:row>32</xdr:row>
      <xdr:rowOff>171449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topLeftCell="H37" zoomScale="130" zoomScaleNormal="130" workbookViewId="0">
      <selection activeCell="K12" sqref="K11:K12"/>
    </sheetView>
  </sheetViews>
  <sheetFormatPr defaultRowHeight="15" x14ac:dyDescent="0.25"/>
  <cols>
    <col min="2" max="2" width="18.7109375" customWidth="1"/>
    <col min="3" max="3" width="11" customWidth="1"/>
    <col min="4" max="4" width="14.140625" customWidth="1"/>
    <col min="5" max="5" width="13.7109375" customWidth="1"/>
    <col min="6" max="6" width="15.85546875" customWidth="1"/>
    <col min="7" max="7" width="13.28515625" customWidth="1"/>
    <col min="8" max="8" width="13.5703125" customWidth="1"/>
    <col min="9" max="9" width="11.7109375" customWidth="1"/>
    <col min="10" max="10" width="11.140625" customWidth="1"/>
  </cols>
  <sheetData>
    <row r="1" spans="1:10" ht="18.75" x14ac:dyDescent="0.3">
      <c r="C1" s="43" t="s">
        <v>62</v>
      </c>
      <c r="D1" s="44"/>
      <c r="F1" s="55" t="s">
        <v>61</v>
      </c>
      <c r="G1" s="56"/>
      <c r="H1" s="56"/>
      <c r="I1" s="56"/>
    </row>
    <row r="2" spans="1:10" x14ac:dyDescent="0.25">
      <c r="B2" s="2" t="s">
        <v>1</v>
      </c>
      <c r="C2" s="2" t="s">
        <v>2</v>
      </c>
      <c r="D2" s="49" t="s">
        <v>3</v>
      </c>
      <c r="E2" s="50"/>
      <c r="F2" s="5" t="s">
        <v>1</v>
      </c>
      <c r="G2" s="5" t="s">
        <v>2</v>
      </c>
      <c r="H2" s="51" t="s">
        <v>3</v>
      </c>
      <c r="I2" s="52"/>
      <c r="J2" s="37"/>
    </row>
    <row r="3" spans="1:10" x14ac:dyDescent="0.25">
      <c r="A3" s="1" t="s">
        <v>0</v>
      </c>
      <c r="B3" s="2" t="s">
        <v>60</v>
      </c>
      <c r="C3" s="2" t="s">
        <v>60</v>
      </c>
      <c r="D3" s="2" t="s">
        <v>75</v>
      </c>
      <c r="E3" s="2" t="s">
        <v>76</v>
      </c>
      <c r="F3" s="5" t="s">
        <v>60</v>
      </c>
      <c r="G3" s="5" t="s">
        <v>60</v>
      </c>
      <c r="H3" s="5" t="s">
        <v>75</v>
      </c>
      <c r="I3" s="5" t="s">
        <v>76</v>
      </c>
      <c r="J3" s="38"/>
    </row>
    <row r="4" spans="1:10" x14ac:dyDescent="0.25">
      <c r="A4" s="1">
        <v>15</v>
      </c>
      <c r="B4" s="3">
        <v>0</v>
      </c>
      <c r="C4" s="3">
        <v>0</v>
      </c>
      <c r="D4" s="3">
        <f>((25-B4)/25)*100</f>
        <v>100</v>
      </c>
      <c r="E4" s="3">
        <f>((50-C4)/50)*100</f>
        <v>100</v>
      </c>
      <c r="F4" s="7">
        <v>0.01</v>
      </c>
      <c r="G4" s="5">
        <v>0.25</v>
      </c>
      <c r="H4" s="11">
        <f>((25-F4)/25)*100</f>
        <v>99.96</v>
      </c>
      <c r="I4" s="7">
        <f>((50-G4)/50)*100</f>
        <v>99.5</v>
      </c>
    </row>
    <row r="5" spans="1:10" x14ac:dyDescent="0.25">
      <c r="A5" s="1">
        <v>30</v>
      </c>
      <c r="B5" s="3">
        <v>0.01</v>
      </c>
      <c r="C5" s="3">
        <v>0.1</v>
      </c>
      <c r="D5" s="3">
        <f t="shared" ref="D5:D15" si="0">((25-B5)/25)*100</f>
        <v>99.96</v>
      </c>
      <c r="E5" s="3">
        <f t="shared" ref="E5:E15" si="1">((50-C5)/50)*100</f>
        <v>99.8</v>
      </c>
      <c r="F5" s="7">
        <v>0.5</v>
      </c>
      <c r="G5" s="5">
        <v>1.5</v>
      </c>
      <c r="H5" s="11">
        <f t="shared" ref="H5:H15" si="2">((25-F5)/25)*100</f>
        <v>98</v>
      </c>
      <c r="I5" s="7">
        <f t="shared" ref="I5:I14" si="3">((50-G5)/50)*100</f>
        <v>97</v>
      </c>
    </row>
    <row r="6" spans="1:10" x14ac:dyDescent="0.25">
      <c r="A6" s="1">
        <v>60</v>
      </c>
      <c r="B6" s="3">
        <v>0.05</v>
      </c>
      <c r="C6" s="3">
        <v>1.2</v>
      </c>
      <c r="D6" s="3">
        <f t="shared" si="0"/>
        <v>99.8</v>
      </c>
      <c r="E6" s="3">
        <f t="shared" si="1"/>
        <v>97.6</v>
      </c>
      <c r="F6" s="7">
        <v>2.4</v>
      </c>
      <c r="G6" s="5">
        <v>5.9</v>
      </c>
      <c r="H6" s="11">
        <f t="shared" si="2"/>
        <v>90.4</v>
      </c>
      <c r="I6" s="7">
        <f t="shared" si="3"/>
        <v>88.2</v>
      </c>
    </row>
    <row r="7" spans="1:10" x14ac:dyDescent="0.25">
      <c r="A7" s="1">
        <v>120</v>
      </c>
      <c r="B7" s="3">
        <v>3.02</v>
      </c>
      <c r="C7" s="3">
        <v>7.4</v>
      </c>
      <c r="D7" s="3">
        <f t="shared" si="0"/>
        <v>87.92</v>
      </c>
      <c r="E7" s="3">
        <f t="shared" si="1"/>
        <v>85.2</v>
      </c>
      <c r="F7" s="7">
        <v>5.7</v>
      </c>
      <c r="G7" s="5">
        <v>12.5</v>
      </c>
      <c r="H7" s="11">
        <f t="shared" si="2"/>
        <v>77.2</v>
      </c>
      <c r="I7" s="7">
        <f t="shared" si="3"/>
        <v>75</v>
      </c>
    </row>
    <row r="8" spans="1:10" x14ac:dyDescent="0.25">
      <c r="A8" s="1">
        <v>180</v>
      </c>
      <c r="B8" s="3">
        <v>6.53</v>
      </c>
      <c r="C8" s="3">
        <v>15.5</v>
      </c>
      <c r="D8" s="3">
        <f t="shared" si="0"/>
        <v>73.88</v>
      </c>
      <c r="E8" s="3">
        <f t="shared" si="1"/>
        <v>69</v>
      </c>
      <c r="F8" s="7">
        <v>9.1</v>
      </c>
      <c r="G8" s="5">
        <v>20.399999999999999</v>
      </c>
      <c r="H8" s="11">
        <f t="shared" si="2"/>
        <v>63.6</v>
      </c>
      <c r="I8" s="7">
        <f t="shared" si="3"/>
        <v>59.20000000000001</v>
      </c>
    </row>
    <row r="9" spans="1:10" x14ac:dyDescent="0.25">
      <c r="A9" s="1">
        <v>240</v>
      </c>
      <c r="B9" s="3">
        <v>9.15</v>
      </c>
      <c r="C9" s="3">
        <v>22.6</v>
      </c>
      <c r="D9" s="7">
        <f t="shared" si="0"/>
        <v>63.4</v>
      </c>
      <c r="E9" s="48">
        <f t="shared" si="1"/>
        <v>54.79999999999999</v>
      </c>
      <c r="F9" s="7">
        <v>12.3</v>
      </c>
      <c r="G9" s="5">
        <v>28.4</v>
      </c>
      <c r="H9" s="47">
        <f t="shared" si="2"/>
        <v>50.8</v>
      </c>
      <c r="I9" s="48">
        <f t="shared" si="3"/>
        <v>43.2</v>
      </c>
    </row>
    <row r="10" spans="1:10" x14ac:dyDescent="0.25">
      <c r="A10" s="1">
        <v>300</v>
      </c>
      <c r="B10" s="3">
        <v>13.34</v>
      </c>
      <c r="C10" s="3">
        <v>29.3</v>
      </c>
      <c r="D10" s="3">
        <f t="shared" si="0"/>
        <v>46.64</v>
      </c>
      <c r="E10" s="3">
        <f t="shared" si="1"/>
        <v>41.4</v>
      </c>
      <c r="F10" s="7">
        <v>16.899999999999999</v>
      </c>
      <c r="G10" s="5">
        <v>37</v>
      </c>
      <c r="H10" s="11">
        <f t="shared" si="2"/>
        <v>32.400000000000006</v>
      </c>
      <c r="I10" s="7">
        <f t="shared" si="3"/>
        <v>26</v>
      </c>
    </row>
    <row r="11" spans="1:10" x14ac:dyDescent="0.25">
      <c r="A11" s="4">
        <v>360</v>
      </c>
      <c r="B11" s="9">
        <v>17.34</v>
      </c>
      <c r="C11" s="9">
        <v>38.799999999999997</v>
      </c>
      <c r="D11" s="3">
        <f t="shared" si="0"/>
        <v>30.64</v>
      </c>
      <c r="E11" s="3">
        <f t="shared" si="1"/>
        <v>22.400000000000006</v>
      </c>
      <c r="F11" s="7">
        <v>21.4</v>
      </c>
      <c r="G11" s="5">
        <v>44.3</v>
      </c>
      <c r="H11" s="11">
        <f t="shared" si="2"/>
        <v>14.400000000000004</v>
      </c>
      <c r="I11" s="7">
        <f t="shared" si="3"/>
        <v>11.400000000000006</v>
      </c>
    </row>
    <row r="12" spans="1:10" x14ac:dyDescent="0.25">
      <c r="A12" s="1">
        <v>420</v>
      </c>
      <c r="B12" s="3">
        <v>22.5</v>
      </c>
      <c r="C12" s="3">
        <v>47.2</v>
      </c>
      <c r="D12" s="3">
        <f t="shared" si="0"/>
        <v>10</v>
      </c>
      <c r="E12" s="3">
        <f t="shared" si="1"/>
        <v>5.5999999999999943</v>
      </c>
      <c r="F12" s="7">
        <v>24.5</v>
      </c>
      <c r="G12" s="5">
        <v>48.5</v>
      </c>
      <c r="H12" s="11">
        <f t="shared" si="2"/>
        <v>2</v>
      </c>
      <c r="I12" s="7">
        <f t="shared" si="3"/>
        <v>3</v>
      </c>
    </row>
    <row r="13" spans="1:10" x14ac:dyDescent="0.25">
      <c r="A13" s="4">
        <v>480</v>
      </c>
      <c r="B13" s="3">
        <v>23.8</v>
      </c>
      <c r="C13" s="3">
        <v>49.2</v>
      </c>
      <c r="D13" s="3">
        <f t="shared" si="0"/>
        <v>4.7999999999999972</v>
      </c>
      <c r="E13" s="3">
        <f t="shared" si="1"/>
        <v>1.5999999999999945</v>
      </c>
      <c r="F13" s="7">
        <v>24.9</v>
      </c>
      <c r="G13" s="5">
        <v>49.6</v>
      </c>
      <c r="H13" s="11">
        <f t="shared" si="2"/>
        <v>0.40000000000000563</v>
      </c>
      <c r="I13" s="7">
        <f t="shared" si="3"/>
        <v>0.79999999999999727</v>
      </c>
    </row>
    <row r="14" spans="1:10" x14ac:dyDescent="0.25">
      <c r="A14" s="1">
        <v>540</v>
      </c>
      <c r="B14" s="3">
        <v>24.1</v>
      </c>
      <c r="C14" s="3">
        <v>49.8</v>
      </c>
      <c r="D14" s="3">
        <f t="shared" si="0"/>
        <v>3.5999999999999943</v>
      </c>
      <c r="E14" s="3">
        <f t="shared" si="1"/>
        <v>0.40000000000000563</v>
      </c>
      <c r="F14" s="7">
        <v>24.98</v>
      </c>
      <c r="G14" s="5">
        <v>49.9</v>
      </c>
      <c r="H14" s="11">
        <f t="shared" si="2"/>
        <v>7.9999999999998295E-2</v>
      </c>
      <c r="I14" s="7">
        <f t="shared" si="3"/>
        <v>0.20000000000000281</v>
      </c>
    </row>
    <row r="15" spans="1:10" x14ac:dyDescent="0.25">
      <c r="A15" s="4">
        <v>600</v>
      </c>
      <c r="B15" s="3">
        <v>24.8</v>
      </c>
      <c r="C15" s="3">
        <v>49.9</v>
      </c>
      <c r="D15" s="3">
        <f t="shared" si="0"/>
        <v>0.79999999999999727</v>
      </c>
      <c r="E15" s="3">
        <f t="shared" si="1"/>
        <v>0.20000000000000281</v>
      </c>
      <c r="F15" s="7">
        <v>24.99</v>
      </c>
      <c r="G15" s="5">
        <v>49.95</v>
      </c>
      <c r="H15" s="11">
        <f t="shared" si="2"/>
        <v>4.0000000000006253E-2</v>
      </c>
      <c r="I15" s="7">
        <f>((50-G15)/50)*100</f>
        <v>9.9999999999994316E-2</v>
      </c>
    </row>
    <row r="16" spans="1:10" x14ac:dyDescent="0.25">
      <c r="B16" s="57" t="s">
        <v>71</v>
      </c>
      <c r="C16" s="57"/>
      <c r="D16" s="57"/>
      <c r="E16" s="57"/>
      <c r="F16" s="57" t="s">
        <v>72</v>
      </c>
      <c r="G16" s="57"/>
      <c r="H16" s="57"/>
      <c r="I16" s="57"/>
    </row>
    <row r="17" spans="1:15" x14ac:dyDescent="0.25">
      <c r="B17" s="39" t="s">
        <v>69</v>
      </c>
      <c r="C17" s="39" t="s">
        <v>70</v>
      </c>
      <c r="D17" s="49" t="s">
        <v>3</v>
      </c>
      <c r="E17" s="50"/>
      <c r="F17" s="39" t="s">
        <v>69</v>
      </c>
      <c r="G17" s="39" t="s">
        <v>70</v>
      </c>
      <c r="H17" s="51" t="s">
        <v>3</v>
      </c>
      <c r="I17" s="52"/>
    </row>
    <row r="18" spans="1:15" x14ac:dyDescent="0.25">
      <c r="A18" s="1" t="s">
        <v>0</v>
      </c>
      <c r="B18" s="2" t="s">
        <v>60</v>
      </c>
      <c r="C18" s="2" t="s">
        <v>60</v>
      </c>
      <c r="D18" s="2" t="s">
        <v>73</v>
      </c>
      <c r="E18" s="2" t="s">
        <v>74</v>
      </c>
      <c r="F18" s="5" t="s">
        <v>60</v>
      </c>
      <c r="G18" s="5" t="s">
        <v>60</v>
      </c>
      <c r="H18" s="5" t="s">
        <v>73</v>
      </c>
      <c r="I18" s="5" t="s">
        <v>74</v>
      </c>
    </row>
    <row r="19" spans="1:15" x14ac:dyDescent="0.25">
      <c r="A19" s="1">
        <v>15</v>
      </c>
      <c r="B19" s="3">
        <v>0</v>
      </c>
      <c r="C19" s="2">
        <v>0</v>
      </c>
      <c r="D19" s="3">
        <f>((25-B19)/25)*100</f>
        <v>100</v>
      </c>
      <c r="E19" s="40">
        <f>((25-C19)/25)*100</f>
        <v>100</v>
      </c>
      <c r="F19" s="7">
        <v>0.01</v>
      </c>
      <c r="G19" s="5">
        <v>0.15</v>
      </c>
      <c r="H19" s="11">
        <f>((25-F19)/25)*100</f>
        <v>99.96</v>
      </c>
      <c r="I19" s="41">
        <f>((25-G19)/25)*100</f>
        <v>99.4</v>
      </c>
    </row>
    <row r="20" spans="1:15" x14ac:dyDescent="0.25">
      <c r="A20" s="1">
        <v>30</v>
      </c>
      <c r="B20" s="3">
        <v>0.01</v>
      </c>
      <c r="C20" s="2">
        <v>0.03</v>
      </c>
      <c r="D20" s="3">
        <f t="shared" ref="D20:D30" si="4">((25-B20)/25)*100</f>
        <v>99.96</v>
      </c>
      <c r="E20" s="40">
        <f t="shared" ref="E20:E30" si="5">((25-C20)/25)*100</f>
        <v>99.88</v>
      </c>
      <c r="F20" s="7">
        <v>0.5</v>
      </c>
      <c r="G20" s="5">
        <v>1.35</v>
      </c>
      <c r="H20" s="11">
        <f t="shared" ref="H20:H30" si="6">((25-F20)/25)*100</f>
        <v>98</v>
      </c>
      <c r="I20" s="41">
        <f t="shared" ref="I20:I30" si="7">((25-G20)/25)*100</f>
        <v>94.6</v>
      </c>
    </row>
    <row r="21" spans="1:15" x14ac:dyDescent="0.25">
      <c r="A21" s="1">
        <v>60</v>
      </c>
      <c r="B21" s="3">
        <v>0.05</v>
      </c>
      <c r="C21" s="2">
        <v>1.2</v>
      </c>
      <c r="D21" s="3">
        <f t="shared" si="4"/>
        <v>99.8</v>
      </c>
      <c r="E21" s="40">
        <f t="shared" si="5"/>
        <v>95.2</v>
      </c>
      <c r="F21" s="7">
        <v>2.4</v>
      </c>
      <c r="G21" s="5">
        <v>4.2</v>
      </c>
      <c r="H21" s="11">
        <f t="shared" si="6"/>
        <v>90.4</v>
      </c>
      <c r="I21" s="41">
        <f t="shared" si="7"/>
        <v>83.2</v>
      </c>
      <c r="K21" t="s">
        <v>8</v>
      </c>
      <c r="L21" s="1" t="s">
        <v>5</v>
      </c>
      <c r="M21" s="1" t="s">
        <v>4</v>
      </c>
      <c r="N21" t="s">
        <v>7</v>
      </c>
      <c r="O21" s="1" t="s">
        <v>6</v>
      </c>
    </row>
    <row r="22" spans="1:15" x14ac:dyDescent="0.25">
      <c r="A22" s="1">
        <v>120</v>
      </c>
      <c r="B22" s="3">
        <v>3.02</v>
      </c>
      <c r="C22" s="2">
        <v>5</v>
      </c>
      <c r="D22" s="3">
        <f t="shared" si="4"/>
        <v>87.92</v>
      </c>
      <c r="E22" s="40">
        <f t="shared" si="5"/>
        <v>80</v>
      </c>
      <c r="F22" s="7">
        <v>5.7</v>
      </c>
      <c r="G22" s="5">
        <v>8.9</v>
      </c>
      <c r="H22" s="11">
        <f t="shared" si="6"/>
        <v>77.2</v>
      </c>
      <c r="I22" s="41">
        <f t="shared" si="7"/>
        <v>64.400000000000006</v>
      </c>
      <c r="K22">
        <v>30</v>
      </c>
      <c r="L22" s="8">
        <v>3</v>
      </c>
      <c r="M22" s="8">
        <v>600</v>
      </c>
      <c r="N22">
        <f>L22*M22</f>
        <v>1800</v>
      </c>
      <c r="O22">
        <f>(K22*L22*M22)/1000</f>
        <v>54</v>
      </c>
    </row>
    <row r="23" spans="1:15" x14ac:dyDescent="0.25">
      <c r="A23" s="1">
        <v>180</v>
      </c>
      <c r="B23" s="3">
        <v>6.53</v>
      </c>
      <c r="C23" s="2">
        <v>9.4</v>
      </c>
      <c r="D23" s="3">
        <f t="shared" si="4"/>
        <v>73.88</v>
      </c>
      <c r="E23" s="40">
        <f t="shared" si="5"/>
        <v>62.4</v>
      </c>
      <c r="F23" s="7">
        <v>9.1</v>
      </c>
      <c r="G23" s="5">
        <v>16.600000000000001</v>
      </c>
      <c r="H23" s="11">
        <f t="shared" si="6"/>
        <v>63.6</v>
      </c>
      <c r="I23" s="41">
        <f t="shared" si="7"/>
        <v>33.599999999999994</v>
      </c>
      <c r="K23">
        <v>60</v>
      </c>
      <c r="L23">
        <v>3</v>
      </c>
      <c r="M23">
        <v>420</v>
      </c>
      <c r="N23">
        <f>L23*M23</f>
        <v>1260</v>
      </c>
      <c r="O23">
        <f>(K23*L23*M23)/1000</f>
        <v>75.599999999999994</v>
      </c>
    </row>
    <row r="24" spans="1:15" x14ac:dyDescent="0.25">
      <c r="A24" s="1">
        <v>240</v>
      </c>
      <c r="B24" s="3">
        <v>9.15</v>
      </c>
      <c r="C24" s="2">
        <v>13.5</v>
      </c>
      <c r="D24" s="3">
        <f t="shared" si="4"/>
        <v>63.4</v>
      </c>
      <c r="E24" s="40">
        <f t="shared" si="5"/>
        <v>46</v>
      </c>
      <c r="F24" s="7">
        <v>12.3</v>
      </c>
      <c r="G24" s="5">
        <v>21.2</v>
      </c>
      <c r="H24" s="11">
        <f t="shared" si="6"/>
        <v>50.8</v>
      </c>
      <c r="I24" s="41">
        <f t="shared" si="7"/>
        <v>15.200000000000003</v>
      </c>
    </row>
    <row r="25" spans="1:15" x14ac:dyDescent="0.25">
      <c r="A25" s="1">
        <v>300</v>
      </c>
      <c r="B25" s="7">
        <v>13.34</v>
      </c>
      <c r="C25" s="5">
        <v>19.2</v>
      </c>
      <c r="D25" s="3">
        <f t="shared" si="4"/>
        <v>46.64</v>
      </c>
      <c r="E25" s="40">
        <f t="shared" si="5"/>
        <v>23.200000000000003</v>
      </c>
      <c r="F25" s="7">
        <v>16.899999999999999</v>
      </c>
      <c r="G25" s="5">
        <v>24.5</v>
      </c>
      <c r="H25" s="11">
        <f t="shared" si="6"/>
        <v>32.400000000000006</v>
      </c>
      <c r="I25" s="41">
        <f t="shared" si="7"/>
        <v>2</v>
      </c>
    </row>
    <row r="26" spans="1:15" x14ac:dyDescent="0.25">
      <c r="A26" s="4">
        <v>360</v>
      </c>
      <c r="B26" s="9">
        <v>17.34</v>
      </c>
      <c r="C26" s="2">
        <v>22.4</v>
      </c>
      <c r="D26" s="3">
        <f t="shared" si="4"/>
        <v>30.64</v>
      </c>
      <c r="E26" s="40">
        <f t="shared" si="5"/>
        <v>10.400000000000006</v>
      </c>
      <c r="F26" s="10">
        <v>21.4</v>
      </c>
      <c r="G26" s="5">
        <v>24.8</v>
      </c>
      <c r="H26" s="11">
        <f t="shared" si="6"/>
        <v>14.400000000000004</v>
      </c>
      <c r="I26" s="41">
        <f t="shared" si="7"/>
        <v>0.79999999999999727</v>
      </c>
    </row>
    <row r="27" spans="1:15" x14ac:dyDescent="0.25">
      <c r="A27" s="1">
        <v>420</v>
      </c>
      <c r="B27" s="3">
        <v>22.5</v>
      </c>
      <c r="C27" s="2">
        <v>24.6</v>
      </c>
      <c r="D27" s="3">
        <f t="shared" si="4"/>
        <v>10</v>
      </c>
      <c r="E27" s="40">
        <f t="shared" si="5"/>
        <v>1.5999999999999945</v>
      </c>
      <c r="F27" s="7">
        <v>24.5</v>
      </c>
      <c r="G27" s="5">
        <v>24.9</v>
      </c>
      <c r="H27" s="11">
        <f t="shared" si="6"/>
        <v>2</v>
      </c>
      <c r="I27" s="41">
        <f t="shared" si="7"/>
        <v>0.40000000000000563</v>
      </c>
    </row>
    <row r="28" spans="1:15" x14ac:dyDescent="0.25">
      <c r="A28" s="4">
        <v>480</v>
      </c>
      <c r="B28" s="3">
        <v>23.8</v>
      </c>
      <c r="C28" s="2">
        <v>24.95</v>
      </c>
      <c r="D28" s="3">
        <f t="shared" si="4"/>
        <v>4.7999999999999972</v>
      </c>
      <c r="E28" s="40">
        <f t="shared" si="5"/>
        <v>0.20000000000000281</v>
      </c>
      <c r="F28" s="7">
        <v>24.9</v>
      </c>
      <c r="G28" s="5">
        <v>24.95</v>
      </c>
      <c r="H28" s="11">
        <f t="shared" si="6"/>
        <v>0.40000000000000563</v>
      </c>
      <c r="I28" s="41">
        <f t="shared" si="7"/>
        <v>0.20000000000000281</v>
      </c>
    </row>
    <row r="29" spans="1:15" x14ac:dyDescent="0.25">
      <c r="A29" s="1">
        <v>540</v>
      </c>
      <c r="B29" s="3">
        <v>24.1</v>
      </c>
      <c r="C29" s="2">
        <v>24.97</v>
      </c>
      <c r="D29" s="3">
        <f t="shared" si="4"/>
        <v>3.5999999999999943</v>
      </c>
      <c r="E29" s="40">
        <f t="shared" si="5"/>
        <v>0.12000000000000455</v>
      </c>
      <c r="F29" s="7">
        <v>24.98</v>
      </c>
      <c r="G29" s="5">
        <v>24.96</v>
      </c>
      <c r="H29" s="11">
        <f t="shared" si="6"/>
        <v>7.9999999999998295E-2</v>
      </c>
      <c r="I29" s="41">
        <f t="shared" si="7"/>
        <v>0.15999999999999659</v>
      </c>
    </row>
    <row r="30" spans="1:15" x14ac:dyDescent="0.25">
      <c r="A30" s="4">
        <v>600</v>
      </c>
      <c r="B30" s="3">
        <v>24.8</v>
      </c>
      <c r="C30" s="2">
        <v>24.99</v>
      </c>
      <c r="D30" s="3">
        <f t="shared" si="4"/>
        <v>0.79999999999999727</v>
      </c>
      <c r="E30" s="40">
        <f t="shared" si="5"/>
        <v>4.0000000000006253E-2</v>
      </c>
      <c r="F30" s="7">
        <v>24.99</v>
      </c>
      <c r="G30" s="5">
        <v>24.95</v>
      </c>
      <c r="H30" s="11">
        <f t="shared" si="6"/>
        <v>4.0000000000006253E-2</v>
      </c>
      <c r="I30" s="41">
        <f t="shared" si="7"/>
        <v>0.20000000000000281</v>
      </c>
    </row>
    <row r="31" spans="1:15" x14ac:dyDescent="0.25">
      <c r="A31" s="53" t="s">
        <v>65</v>
      </c>
      <c r="B31" s="54"/>
      <c r="C31" s="54"/>
      <c r="D31" s="54"/>
      <c r="E31" s="54"/>
      <c r="F31" s="54"/>
      <c r="G31" s="54"/>
      <c r="H31" s="54"/>
      <c r="I31" s="54"/>
    </row>
    <row r="32" spans="1:15" x14ac:dyDescent="0.25">
      <c r="A32" s="42"/>
      <c r="B32" s="53" t="s">
        <v>11</v>
      </c>
      <c r="C32" s="54"/>
      <c r="D32" s="54"/>
      <c r="E32" s="58"/>
      <c r="F32" s="59" t="s">
        <v>66</v>
      </c>
      <c r="G32" s="59"/>
      <c r="H32" s="59"/>
      <c r="I32" s="59"/>
    </row>
    <row r="33" spans="1:9" x14ac:dyDescent="0.25">
      <c r="A33" s="12"/>
      <c r="B33" s="45" t="s">
        <v>9</v>
      </c>
      <c r="C33" s="45" t="s">
        <v>10</v>
      </c>
      <c r="D33" s="49" t="s">
        <v>3</v>
      </c>
      <c r="E33" s="50"/>
      <c r="F33" s="46" t="s">
        <v>9</v>
      </c>
      <c r="G33" s="46" t="s">
        <v>10</v>
      </c>
      <c r="H33" s="51" t="s">
        <v>3</v>
      </c>
      <c r="I33" s="52"/>
    </row>
    <row r="34" spans="1:9" x14ac:dyDescent="0.25">
      <c r="A34" s="1" t="s">
        <v>0</v>
      </c>
      <c r="B34" s="2" t="s">
        <v>60</v>
      </c>
      <c r="C34" s="2" t="s">
        <v>60</v>
      </c>
      <c r="D34" s="2" t="s">
        <v>67</v>
      </c>
      <c r="E34" s="2" t="s">
        <v>68</v>
      </c>
      <c r="F34" s="5" t="s">
        <v>60</v>
      </c>
      <c r="G34" s="5" t="s">
        <v>60</v>
      </c>
      <c r="H34" s="5" t="s">
        <v>63</v>
      </c>
      <c r="I34" s="5" t="s">
        <v>64</v>
      </c>
    </row>
    <row r="35" spans="1:9" x14ac:dyDescent="0.25">
      <c r="A35" s="1">
        <v>15</v>
      </c>
      <c r="B35" s="3">
        <v>0</v>
      </c>
      <c r="C35" s="2">
        <v>0</v>
      </c>
      <c r="D35" s="3">
        <f>((25-B35)/25)*100</f>
        <v>100</v>
      </c>
      <c r="E35" s="3">
        <f>((25-C35)/25)*100</f>
        <v>100</v>
      </c>
      <c r="F35" s="7">
        <v>0.01</v>
      </c>
      <c r="G35" s="5">
        <v>0</v>
      </c>
      <c r="H35" s="7">
        <f>((25-F35)/25)*100</f>
        <v>99.96</v>
      </c>
      <c r="I35" s="7">
        <f>((25-G35)/25)*100</f>
        <v>100</v>
      </c>
    </row>
    <row r="36" spans="1:9" x14ac:dyDescent="0.25">
      <c r="A36" s="1">
        <v>30</v>
      </c>
      <c r="B36" s="3">
        <v>0.01</v>
      </c>
      <c r="C36" s="2">
        <v>7.0000000000000001E-3</v>
      </c>
      <c r="D36" s="3">
        <f t="shared" ref="D36:D46" si="8">((25-B36)/25)*100</f>
        <v>99.96</v>
      </c>
      <c r="E36" s="3">
        <f t="shared" ref="E36:E46" si="9">((25-C36)/25)*100</f>
        <v>99.971999999999994</v>
      </c>
      <c r="F36" s="7">
        <v>0.5</v>
      </c>
      <c r="G36" s="5">
        <v>0.1</v>
      </c>
      <c r="H36" s="7">
        <f t="shared" ref="H36:H46" si="10">((25-F36)/25)*100</f>
        <v>98</v>
      </c>
      <c r="I36" s="7">
        <f t="shared" ref="I36:I46" si="11">((25-G36)/25)*100</f>
        <v>99.6</v>
      </c>
    </row>
    <row r="37" spans="1:9" x14ac:dyDescent="0.25">
      <c r="A37" s="1">
        <v>60</v>
      </c>
      <c r="B37" s="3">
        <v>0.05</v>
      </c>
      <c r="C37" s="2">
        <v>0.03</v>
      </c>
      <c r="D37" s="3">
        <f t="shared" si="8"/>
        <v>99.8</v>
      </c>
      <c r="E37" s="3">
        <f t="shared" si="9"/>
        <v>99.88</v>
      </c>
      <c r="F37" s="7">
        <v>2.4</v>
      </c>
      <c r="G37" s="5">
        <v>2.1</v>
      </c>
      <c r="H37" s="7">
        <f t="shared" si="10"/>
        <v>90.4</v>
      </c>
      <c r="I37" s="7">
        <f t="shared" si="11"/>
        <v>91.6</v>
      </c>
    </row>
    <row r="38" spans="1:9" x14ac:dyDescent="0.25">
      <c r="A38" s="1">
        <v>120</v>
      </c>
      <c r="B38" s="3">
        <v>3.02</v>
      </c>
      <c r="C38" s="2">
        <v>1</v>
      </c>
      <c r="D38" s="3">
        <f t="shared" si="8"/>
        <v>87.92</v>
      </c>
      <c r="E38" s="3">
        <f t="shared" si="9"/>
        <v>96</v>
      </c>
      <c r="F38" s="7">
        <v>5.7</v>
      </c>
      <c r="G38" s="5">
        <v>3.8</v>
      </c>
      <c r="H38" s="7">
        <f t="shared" si="10"/>
        <v>77.2</v>
      </c>
      <c r="I38" s="7">
        <f t="shared" si="11"/>
        <v>84.8</v>
      </c>
    </row>
    <row r="39" spans="1:9" x14ac:dyDescent="0.25">
      <c r="A39" s="1">
        <v>180</v>
      </c>
      <c r="B39" s="3">
        <v>6.53</v>
      </c>
      <c r="C39" s="2">
        <v>4.0999999999999996</v>
      </c>
      <c r="D39" s="3">
        <f t="shared" si="8"/>
        <v>73.88</v>
      </c>
      <c r="E39" s="3">
        <f t="shared" si="9"/>
        <v>83.6</v>
      </c>
      <c r="F39" s="7">
        <v>9.1</v>
      </c>
      <c r="G39" s="5">
        <v>6.9</v>
      </c>
      <c r="H39" s="7">
        <f t="shared" si="10"/>
        <v>63.6</v>
      </c>
      <c r="I39" s="7">
        <f t="shared" si="11"/>
        <v>72.400000000000006</v>
      </c>
    </row>
    <row r="40" spans="1:9" x14ac:dyDescent="0.25">
      <c r="A40" s="1">
        <v>240</v>
      </c>
      <c r="B40" s="3">
        <v>9.15</v>
      </c>
      <c r="C40" s="2">
        <v>6.7</v>
      </c>
      <c r="D40" s="48">
        <f t="shared" si="8"/>
        <v>63.4</v>
      </c>
      <c r="E40" s="48">
        <f t="shared" si="9"/>
        <v>73.2</v>
      </c>
      <c r="F40" s="7">
        <v>12.3</v>
      </c>
      <c r="G40" s="5">
        <v>10.199999999999999</v>
      </c>
      <c r="H40" s="48">
        <f t="shared" si="10"/>
        <v>50.8</v>
      </c>
      <c r="I40" s="48">
        <f t="shared" si="11"/>
        <v>59.20000000000001</v>
      </c>
    </row>
    <row r="41" spans="1:9" x14ac:dyDescent="0.25">
      <c r="A41" s="1">
        <v>300</v>
      </c>
      <c r="B41" s="3">
        <v>13.34</v>
      </c>
      <c r="C41" s="2">
        <v>9.1999999999999993</v>
      </c>
      <c r="D41" s="3">
        <f t="shared" si="8"/>
        <v>46.64</v>
      </c>
      <c r="E41" s="3">
        <f t="shared" si="9"/>
        <v>63.2</v>
      </c>
      <c r="F41" s="7">
        <v>16.899999999999999</v>
      </c>
      <c r="G41" s="5">
        <v>13.2</v>
      </c>
      <c r="H41" s="7">
        <f t="shared" si="10"/>
        <v>32.400000000000006</v>
      </c>
      <c r="I41" s="7">
        <f t="shared" si="11"/>
        <v>47.2</v>
      </c>
    </row>
    <row r="42" spans="1:9" x14ac:dyDescent="0.25">
      <c r="A42" s="4">
        <v>360</v>
      </c>
      <c r="B42" s="9">
        <v>17.34</v>
      </c>
      <c r="C42" s="2">
        <v>14.23</v>
      </c>
      <c r="D42" s="3">
        <f t="shared" si="8"/>
        <v>30.64</v>
      </c>
      <c r="E42" s="3">
        <f t="shared" si="9"/>
        <v>43.08</v>
      </c>
      <c r="F42" s="10">
        <v>21.4</v>
      </c>
      <c r="G42" s="5">
        <v>16.399999999999999</v>
      </c>
      <c r="H42" s="7">
        <f t="shared" si="10"/>
        <v>14.400000000000004</v>
      </c>
      <c r="I42" s="7">
        <f t="shared" si="11"/>
        <v>34.400000000000006</v>
      </c>
    </row>
    <row r="43" spans="1:9" x14ac:dyDescent="0.25">
      <c r="A43" s="1">
        <v>420</v>
      </c>
      <c r="B43" s="3">
        <v>22.5</v>
      </c>
      <c r="C43" s="2">
        <v>18.399999999999999</v>
      </c>
      <c r="D43" s="3">
        <f t="shared" si="8"/>
        <v>10</v>
      </c>
      <c r="E43" s="3">
        <f t="shared" si="9"/>
        <v>26.400000000000006</v>
      </c>
      <c r="F43" s="7">
        <v>24.5</v>
      </c>
      <c r="G43" s="5">
        <v>20.3</v>
      </c>
      <c r="H43" s="7">
        <f t="shared" si="10"/>
        <v>2</v>
      </c>
      <c r="I43" s="7">
        <f t="shared" si="11"/>
        <v>18.799999999999997</v>
      </c>
    </row>
    <row r="44" spans="1:9" x14ac:dyDescent="0.25">
      <c r="A44" s="4">
        <v>480</v>
      </c>
      <c r="B44" s="3">
        <v>23.8</v>
      </c>
      <c r="C44" s="2">
        <v>22.1</v>
      </c>
      <c r="D44" s="3">
        <f t="shared" si="8"/>
        <v>4.7999999999999972</v>
      </c>
      <c r="E44" s="3">
        <f t="shared" si="9"/>
        <v>11.599999999999994</v>
      </c>
      <c r="F44" s="7">
        <v>24.9</v>
      </c>
      <c r="G44" s="5">
        <v>22.8</v>
      </c>
      <c r="H44" s="7">
        <f t="shared" si="10"/>
        <v>0.40000000000000563</v>
      </c>
      <c r="I44" s="7">
        <f t="shared" si="11"/>
        <v>8.7999999999999972</v>
      </c>
    </row>
    <row r="45" spans="1:9" x14ac:dyDescent="0.25">
      <c r="A45" s="1">
        <v>540</v>
      </c>
      <c r="B45" s="3">
        <v>24.1</v>
      </c>
      <c r="C45" s="2">
        <v>23.4</v>
      </c>
      <c r="D45" s="3">
        <f t="shared" si="8"/>
        <v>3.5999999999999943</v>
      </c>
      <c r="E45" s="3">
        <f t="shared" si="9"/>
        <v>6.4000000000000057</v>
      </c>
      <c r="F45" s="7">
        <v>24.98</v>
      </c>
      <c r="G45" s="5">
        <v>24.8</v>
      </c>
      <c r="H45" s="7">
        <f t="shared" si="10"/>
        <v>7.9999999999998295E-2</v>
      </c>
      <c r="I45" s="7">
        <f t="shared" si="11"/>
        <v>0.79999999999999727</v>
      </c>
    </row>
    <row r="46" spans="1:9" x14ac:dyDescent="0.25">
      <c r="A46" s="4">
        <v>600</v>
      </c>
      <c r="B46" s="3">
        <v>24.8</v>
      </c>
      <c r="C46" s="2">
        <v>24.5</v>
      </c>
      <c r="D46" s="3">
        <f t="shared" si="8"/>
        <v>0.79999999999999727</v>
      </c>
      <c r="E46" s="3">
        <f t="shared" si="9"/>
        <v>2</v>
      </c>
      <c r="F46" s="7">
        <v>24.99</v>
      </c>
      <c r="G46" s="5">
        <v>24.94</v>
      </c>
      <c r="H46" s="7">
        <f t="shared" si="10"/>
        <v>4.0000000000006253E-2</v>
      </c>
      <c r="I46" s="7">
        <f t="shared" si="11"/>
        <v>0.23999999999999491</v>
      </c>
    </row>
  </sheetData>
  <mergeCells count="12">
    <mergeCell ref="D33:E33"/>
    <mergeCell ref="H17:I17"/>
    <mergeCell ref="H33:I33"/>
    <mergeCell ref="A31:I31"/>
    <mergeCell ref="F1:I1"/>
    <mergeCell ref="D2:E2"/>
    <mergeCell ref="H2:I2"/>
    <mergeCell ref="D17:E17"/>
    <mergeCell ref="F16:I16"/>
    <mergeCell ref="B16:E16"/>
    <mergeCell ref="B32:E32"/>
    <mergeCell ref="F32:I3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27"/>
  <sheetViews>
    <sheetView workbookViewId="0">
      <selection activeCell="AB2" sqref="AB2"/>
    </sheetView>
  </sheetViews>
  <sheetFormatPr defaultRowHeight="15" x14ac:dyDescent="0.25"/>
  <cols>
    <col min="3" max="3" width="12.85546875" customWidth="1"/>
    <col min="4" max="4" width="12.28515625" customWidth="1"/>
    <col min="5" max="5" width="11.5703125" customWidth="1"/>
    <col min="11" max="11" width="10.5703125" bestFit="1" customWidth="1"/>
    <col min="12" max="12" width="11.5703125" bestFit="1" customWidth="1"/>
    <col min="14" max="14" width="11.5703125" bestFit="1" customWidth="1"/>
    <col min="28" max="28" width="11.7109375" customWidth="1"/>
  </cols>
  <sheetData>
    <row r="1" spans="1:31" x14ac:dyDescent="0.25">
      <c r="G1" s="17"/>
      <c r="M1" s="21"/>
      <c r="N1" s="21"/>
      <c r="O1" s="21"/>
      <c r="P1" s="21"/>
      <c r="Q1" s="21"/>
      <c r="R1" s="21"/>
      <c r="U1" s="60" t="s">
        <v>13</v>
      </c>
      <c r="V1" s="60"/>
    </row>
    <row r="2" spans="1:31" x14ac:dyDescent="0.25">
      <c r="G2" s="17"/>
      <c r="I2" s="64" t="s">
        <v>30</v>
      </c>
      <c r="J2" s="65"/>
      <c r="K2" s="65"/>
      <c r="L2" s="65"/>
      <c r="M2" s="65"/>
      <c r="N2" s="66"/>
      <c r="O2" s="21"/>
      <c r="P2" s="21"/>
      <c r="Q2" s="68"/>
      <c r="R2" s="68"/>
      <c r="S2" s="1" t="s">
        <v>37</v>
      </c>
      <c r="T2" s="1" t="s">
        <v>41</v>
      </c>
      <c r="U2" s="1" t="s">
        <v>42</v>
      </c>
      <c r="V2" s="1" t="s">
        <v>38</v>
      </c>
      <c r="W2" s="1" t="s">
        <v>39</v>
      </c>
      <c r="X2" s="1" t="s">
        <v>40</v>
      </c>
      <c r="AB2" s="1" t="s">
        <v>11</v>
      </c>
      <c r="AC2" s="4" t="s">
        <v>12</v>
      </c>
      <c r="AD2" s="1" t="s">
        <v>12</v>
      </c>
      <c r="AE2" s="1"/>
    </row>
    <row r="3" spans="1:31" x14ac:dyDescent="0.25">
      <c r="A3" s="63" t="s">
        <v>24</v>
      </c>
      <c r="B3" s="63"/>
      <c r="C3" s="63"/>
      <c r="D3" s="63"/>
      <c r="E3" s="63"/>
      <c r="F3" s="63"/>
      <c r="G3" s="27"/>
      <c r="H3" s="5" t="s">
        <v>14</v>
      </c>
      <c r="I3" s="5" t="s">
        <v>56</v>
      </c>
      <c r="J3" s="5" t="s">
        <v>57</v>
      </c>
      <c r="K3" s="5" t="s">
        <v>22</v>
      </c>
      <c r="L3" s="5" t="s">
        <v>23</v>
      </c>
      <c r="M3" s="5" t="s">
        <v>28</v>
      </c>
      <c r="N3" s="34" t="s">
        <v>29</v>
      </c>
      <c r="O3" s="5" t="s">
        <v>35</v>
      </c>
      <c r="P3" s="22"/>
      <c r="Q3" s="30"/>
      <c r="R3" s="30"/>
      <c r="S3" s="1">
        <v>15</v>
      </c>
      <c r="T3" s="19">
        <f>S3^0.5</f>
        <v>3.872983346207417</v>
      </c>
      <c r="U3" s="5">
        <v>25.3</v>
      </c>
      <c r="V3" s="19">
        <f>((50-U3)*0.1)/0.25</f>
        <v>9.8800000000000008</v>
      </c>
      <c r="W3" s="19">
        <f>S3/V3</f>
        <v>1.5182186234817812</v>
      </c>
      <c r="X3" s="19">
        <f>LN(15.96-V3)</f>
        <v>1.8050046959780757</v>
      </c>
      <c r="AB3" s="19">
        <f>((50-U3)/50)*100</f>
        <v>49.4</v>
      </c>
      <c r="AC3" s="1">
        <v>37.4</v>
      </c>
      <c r="AD3" s="19">
        <f>((50-AC3)*0.1)/0.25</f>
        <v>5.0400000000000009</v>
      </c>
      <c r="AE3" s="19">
        <f>((50-AC3)/50)*100</f>
        <v>25.2</v>
      </c>
    </row>
    <row r="4" spans="1:31" x14ac:dyDescent="0.25">
      <c r="A4" s="2" t="s">
        <v>14</v>
      </c>
      <c r="B4" s="2" t="s">
        <v>56</v>
      </c>
      <c r="C4" s="2" t="s">
        <v>58</v>
      </c>
      <c r="D4" s="2" t="s">
        <v>15</v>
      </c>
      <c r="E4" s="2" t="s">
        <v>28</v>
      </c>
      <c r="F4" s="2" t="s">
        <v>16</v>
      </c>
      <c r="G4" s="17" t="s">
        <v>29</v>
      </c>
      <c r="H4" s="5">
        <v>25</v>
      </c>
      <c r="I4" s="5">
        <v>2.5</v>
      </c>
      <c r="J4" s="5">
        <f>((H4-I4)*0.1)/0.25</f>
        <v>9</v>
      </c>
      <c r="K4" s="11">
        <f>I4/J4</f>
        <v>0.27777777777777779</v>
      </c>
      <c r="L4" s="11">
        <f>(0.08*I4*42.55)/(1+0.08*I4)</f>
        <v>7.0916666666666668</v>
      </c>
      <c r="M4" s="11">
        <f>LN(I4)</f>
        <v>0.91629073187415511</v>
      </c>
      <c r="N4" s="35">
        <f>LN(J4)</f>
        <v>2.1972245773362196</v>
      </c>
      <c r="O4" s="11">
        <f>3.96*I4^(1/2.27)</f>
        <v>5.9292417025771815</v>
      </c>
      <c r="P4" s="22"/>
      <c r="Q4" s="30"/>
      <c r="R4" s="30"/>
      <c r="S4" s="1">
        <v>30</v>
      </c>
      <c r="T4" s="19">
        <f t="shared" ref="T4:T7" si="0">S4^0.5</f>
        <v>5.4772255750516612</v>
      </c>
      <c r="U4" s="5">
        <v>14.1</v>
      </c>
      <c r="V4" s="19">
        <f t="shared" ref="V4:V7" si="1">((50-U4)*0.1)/0.25</f>
        <v>14.36</v>
      </c>
      <c r="W4" s="19">
        <f t="shared" ref="W4:W7" si="2">S4/V4</f>
        <v>2.0891364902506964</v>
      </c>
      <c r="X4" s="19">
        <f t="shared" ref="X4:X6" si="3">LN(15.96-V4)</f>
        <v>0.47000362924573647</v>
      </c>
      <c r="AB4" s="19">
        <f>((50-U4)/50)*100</f>
        <v>71.8</v>
      </c>
      <c r="AC4" s="1">
        <v>25.6</v>
      </c>
      <c r="AD4" s="19">
        <f t="shared" ref="AD4:AD7" si="4">((50-AC4)*0.1)/0.25</f>
        <v>9.76</v>
      </c>
      <c r="AE4" s="19">
        <f t="shared" ref="AE4:AE7" si="5">((50-AC4)/50)*100</f>
        <v>48.8</v>
      </c>
    </row>
    <row r="5" spans="1:31" x14ac:dyDescent="0.25">
      <c r="A5" s="2">
        <v>25</v>
      </c>
      <c r="B5" s="32">
        <v>5.2</v>
      </c>
      <c r="C5" s="2">
        <f>((A5-B5)*0.1)/0.25</f>
        <v>7.9200000000000008</v>
      </c>
      <c r="D5" s="33">
        <f>B5/C5</f>
        <v>0.65656565656565657</v>
      </c>
      <c r="E5" s="33">
        <f>LN(B5)</f>
        <v>1.6486586255873816</v>
      </c>
      <c r="F5" s="33">
        <f>(0.07706*B5*26.39)/(1+0.07706*B5)</f>
        <v>7.5495816984505026</v>
      </c>
      <c r="G5" s="26">
        <f>LN(C5)</f>
        <v>2.0693912058263346</v>
      </c>
      <c r="H5" s="5">
        <v>50</v>
      </c>
      <c r="I5" s="5">
        <v>10.1</v>
      </c>
      <c r="J5" s="5">
        <f>((H5-I5)*0.1)/0.25</f>
        <v>15.96</v>
      </c>
      <c r="K5" s="11">
        <f t="shared" ref="K5:K7" si="6">I5/J5</f>
        <v>0.63283208020050119</v>
      </c>
      <c r="L5" s="11">
        <f t="shared" ref="L5:L7" si="7">(0.08*I5*42.55)/(1+0.08*I5)</f>
        <v>19.01570796460177</v>
      </c>
      <c r="M5" s="11">
        <f t="shared" ref="M5:M7" si="8">LN(I5)</f>
        <v>2.3125354238472138</v>
      </c>
      <c r="N5" s="35">
        <f t="shared" ref="N5:N7" si="9">LN(J5)</f>
        <v>2.7700855920216627</v>
      </c>
      <c r="O5" s="11">
        <f t="shared" ref="O5:O7" si="10">3.96*I5^(1/2.27)</f>
        <v>10.968001702077604</v>
      </c>
      <c r="P5" s="22"/>
      <c r="Q5" s="30"/>
      <c r="R5" s="30"/>
      <c r="S5" s="1">
        <v>60</v>
      </c>
      <c r="T5" s="19">
        <f t="shared" si="0"/>
        <v>7.745966692414834</v>
      </c>
      <c r="U5" s="5">
        <v>13.5</v>
      </c>
      <c r="V5" s="19">
        <f t="shared" si="1"/>
        <v>14.600000000000001</v>
      </c>
      <c r="W5" s="19">
        <f t="shared" si="2"/>
        <v>4.10958904109589</v>
      </c>
      <c r="X5" s="19">
        <f t="shared" si="3"/>
        <v>0.30748469974796022</v>
      </c>
      <c r="AB5" s="19">
        <f>((50-U5)/50)*100</f>
        <v>73</v>
      </c>
      <c r="AC5" s="1">
        <v>18.399999999999999</v>
      </c>
      <c r="AD5" s="19">
        <f t="shared" si="4"/>
        <v>12.64</v>
      </c>
      <c r="AE5" s="19">
        <f t="shared" si="5"/>
        <v>63.2</v>
      </c>
    </row>
    <row r="6" spans="1:31" x14ac:dyDescent="0.25">
      <c r="A6" s="2">
        <v>50</v>
      </c>
      <c r="B6" s="32">
        <v>15.1</v>
      </c>
      <c r="C6" s="2">
        <f>((A6-B6)*0.1)/0.25</f>
        <v>13.96</v>
      </c>
      <c r="D6" s="33">
        <f t="shared" ref="D6:D8" si="11">B6/C6</f>
        <v>1.0816618911174785</v>
      </c>
      <c r="E6" s="33">
        <f t="shared" ref="E6:E8" si="12">LN(B6)</f>
        <v>2.7146947438208788</v>
      </c>
      <c r="F6" s="33">
        <f t="shared" ref="F6:F8" si="13">(0.07706*B6*26.39)/(1+0.07706*B6)</f>
        <v>14.192770005259739</v>
      </c>
      <c r="G6" s="26">
        <f t="shared" ref="G6:G8" si="14">LN(C6)</f>
        <v>2.6361960973342264</v>
      </c>
      <c r="H6" s="5">
        <v>75</v>
      </c>
      <c r="I6" s="5">
        <v>16.3</v>
      </c>
      <c r="J6" s="5">
        <f>((H6-I6)*0.1)/0.25</f>
        <v>23.480000000000004</v>
      </c>
      <c r="K6" s="11">
        <f t="shared" si="6"/>
        <v>0.6942078364565587</v>
      </c>
      <c r="L6" s="11">
        <f t="shared" si="7"/>
        <v>24.082118055555551</v>
      </c>
      <c r="M6" s="11">
        <f t="shared" si="8"/>
        <v>2.7911651078127169</v>
      </c>
      <c r="N6" s="35">
        <f t="shared" si="9"/>
        <v>3.1561489949598958</v>
      </c>
      <c r="O6" s="11">
        <f t="shared" si="10"/>
        <v>13.542490383987879</v>
      </c>
      <c r="P6" s="22"/>
      <c r="Q6" s="30"/>
      <c r="R6" s="30"/>
      <c r="S6" s="1">
        <v>120</v>
      </c>
      <c r="T6" s="19">
        <f t="shared" si="0"/>
        <v>10.954451150103322</v>
      </c>
      <c r="U6" s="5">
        <v>11</v>
      </c>
      <c r="V6" s="19">
        <f t="shared" si="1"/>
        <v>15.600000000000001</v>
      </c>
      <c r="W6" s="19">
        <f t="shared" si="2"/>
        <v>7.6923076923076916</v>
      </c>
      <c r="X6" s="19">
        <f t="shared" si="3"/>
        <v>-1.021651247531983</v>
      </c>
      <c r="AB6" s="19">
        <f>((50-U6)/50)*100</f>
        <v>78</v>
      </c>
      <c r="AC6" s="1">
        <v>16.5</v>
      </c>
      <c r="AD6" s="19">
        <f t="shared" si="4"/>
        <v>13.4</v>
      </c>
      <c r="AE6" s="19">
        <f t="shared" si="5"/>
        <v>67</v>
      </c>
    </row>
    <row r="7" spans="1:31" x14ac:dyDescent="0.25">
      <c r="A7" s="2">
        <v>75</v>
      </c>
      <c r="B7" s="32">
        <v>30.2</v>
      </c>
      <c r="C7" s="2">
        <f>((A7-B7)*0.1)/0.25</f>
        <v>17.919999999999998</v>
      </c>
      <c r="D7" s="33">
        <f t="shared" si="11"/>
        <v>1.6852678571428572</v>
      </c>
      <c r="E7" s="33">
        <f t="shared" si="12"/>
        <v>3.4078419243808238</v>
      </c>
      <c r="F7" s="33">
        <f t="shared" si="13"/>
        <v>18.45843447306634</v>
      </c>
      <c r="G7" s="26">
        <f t="shared" si="14"/>
        <v>2.8859174075467844</v>
      </c>
      <c r="H7" s="5">
        <v>100</v>
      </c>
      <c r="I7" s="5">
        <v>25.1</v>
      </c>
      <c r="J7" s="36">
        <f>((H7-I7)*0.1)/0.25</f>
        <v>29.960000000000004</v>
      </c>
      <c r="K7" s="11">
        <f t="shared" si="6"/>
        <v>0.83778371161548726</v>
      </c>
      <c r="L7" s="11">
        <f t="shared" si="7"/>
        <v>28.404388297872341</v>
      </c>
      <c r="M7" s="11">
        <f t="shared" si="8"/>
        <v>3.2228678461377385</v>
      </c>
      <c r="N7" s="35">
        <f t="shared" si="9"/>
        <v>3.3998631586490187</v>
      </c>
      <c r="O7" s="11">
        <f t="shared" si="10"/>
        <v>16.37915674371693</v>
      </c>
      <c r="P7" s="21"/>
      <c r="Q7" s="31"/>
      <c r="R7" s="31"/>
      <c r="S7" s="4">
        <v>180</v>
      </c>
      <c r="T7" s="19">
        <f t="shared" si="0"/>
        <v>13.416407864998739</v>
      </c>
      <c r="U7" s="5">
        <v>10.1</v>
      </c>
      <c r="V7" s="19">
        <f t="shared" si="1"/>
        <v>15.96</v>
      </c>
      <c r="W7" s="19">
        <f t="shared" si="2"/>
        <v>11.278195488721805</v>
      </c>
      <c r="X7" s="1"/>
      <c r="AB7" s="19">
        <f>((50-U7)/50)*100</f>
        <v>79.8</v>
      </c>
      <c r="AC7" s="1">
        <v>15.1</v>
      </c>
      <c r="AD7" s="19">
        <f t="shared" si="4"/>
        <v>13.96</v>
      </c>
      <c r="AE7" s="19">
        <f t="shared" si="5"/>
        <v>69.8</v>
      </c>
    </row>
    <row r="8" spans="1:31" x14ac:dyDescent="0.25">
      <c r="A8" s="2">
        <v>100</v>
      </c>
      <c r="B8" s="32">
        <v>47.5</v>
      </c>
      <c r="C8" s="2">
        <f>((A8-B8)*0.1)/0.25</f>
        <v>21</v>
      </c>
      <c r="D8" s="33">
        <f t="shared" si="11"/>
        <v>2.2619047619047619</v>
      </c>
      <c r="E8" s="33">
        <f t="shared" si="12"/>
        <v>3.8607297110405954</v>
      </c>
      <c r="F8" s="33">
        <f t="shared" si="13"/>
        <v>20.727335178688296</v>
      </c>
      <c r="G8" s="26">
        <f t="shared" si="14"/>
        <v>3.044522437723423</v>
      </c>
      <c r="H8" s="14" t="s">
        <v>17</v>
      </c>
      <c r="I8" s="15"/>
      <c r="J8" s="14">
        <v>4.1000000000000002E-2</v>
      </c>
      <c r="K8" s="14"/>
      <c r="L8" s="14"/>
      <c r="Q8" s="16"/>
      <c r="R8" s="16"/>
    </row>
    <row r="9" spans="1:31" x14ac:dyDescent="0.25">
      <c r="G9" s="28"/>
      <c r="H9" s="14" t="s">
        <v>18</v>
      </c>
      <c r="I9" s="14" t="s">
        <v>19</v>
      </c>
      <c r="J9" s="14">
        <f>1/0.041</f>
        <v>24.390243902439025</v>
      </c>
      <c r="K9" s="14"/>
      <c r="L9" s="14"/>
      <c r="Q9" s="16"/>
      <c r="R9" s="16"/>
      <c r="S9" s="61" t="s">
        <v>12</v>
      </c>
      <c r="T9" s="61"/>
      <c r="U9" s="61"/>
      <c r="V9" s="61"/>
      <c r="W9" s="61"/>
      <c r="X9" s="61"/>
    </row>
    <row r="10" spans="1:31" x14ac:dyDescent="0.25">
      <c r="A10" s="23"/>
      <c r="B10" s="24"/>
      <c r="C10" s="21"/>
      <c r="G10" s="17"/>
      <c r="H10" s="14" t="s">
        <v>20</v>
      </c>
      <c r="I10" s="14"/>
      <c r="J10" s="14"/>
      <c r="K10" s="14"/>
      <c r="L10" s="18"/>
      <c r="Q10" s="16"/>
      <c r="R10" s="16"/>
      <c r="S10" s="1" t="s">
        <v>37</v>
      </c>
      <c r="T10" s="1" t="s">
        <v>41</v>
      </c>
      <c r="U10" s="1" t="s">
        <v>42</v>
      </c>
      <c r="V10" s="1" t="s">
        <v>38</v>
      </c>
      <c r="W10" s="1" t="s">
        <v>39</v>
      </c>
      <c r="X10" s="1" t="s">
        <v>40</v>
      </c>
    </row>
    <row r="11" spans="1:31" x14ac:dyDescent="0.25">
      <c r="A11" s="21"/>
      <c r="B11" s="21"/>
      <c r="C11" s="25" t="s">
        <v>59</v>
      </c>
      <c r="G11" s="17"/>
      <c r="H11" s="14" t="s">
        <v>21</v>
      </c>
      <c r="I11" s="14"/>
      <c r="J11" s="14">
        <f>1/(0.7814*J9)</f>
        <v>5.2469925774251344E-2</v>
      </c>
      <c r="K11" s="14"/>
      <c r="L11" s="18"/>
      <c r="Q11" s="16"/>
      <c r="R11" s="16"/>
      <c r="S11" s="1">
        <v>15</v>
      </c>
      <c r="T11" s="19">
        <f>S11^0.5</f>
        <v>3.872983346207417</v>
      </c>
      <c r="U11" s="1">
        <v>37.4</v>
      </c>
      <c r="V11" s="19">
        <f>((50-U11)*0.1)/0.25</f>
        <v>5.0400000000000009</v>
      </c>
      <c r="W11" s="19">
        <f>S11/V11</f>
        <v>2.9761904761904758</v>
      </c>
      <c r="X11" s="19">
        <f>LN(13.96-V11)</f>
        <v>2.1882959465919178</v>
      </c>
    </row>
    <row r="12" spans="1:31" x14ac:dyDescent="0.25">
      <c r="A12" s="23"/>
      <c r="B12" s="21"/>
      <c r="C12" s="21"/>
      <c r="G12" s="17"/>
      <c r="Q12" s="16"/>
      <c r="R12" s="16"/>
      <c r="S12" s="1">
        <v>30</v>
      </c>
      <c r="T12" s="19">
        <f t="shared" ref="T12:T15" si="15">S12^0.5</f>
        <v>5.4772255750516612</v>
      </c>
      <c r="U12" s="1">
        <v>25.6</v>
      </c>
      <c r="V12" s="19">
        <f t="shared" ref="V12:V15" si="16">((50-U12)*0.1)/0.25</f>
        <v>9.76</v>
      </c>
      <c r="W12" s="19">
        <f t="shared" ref="W12:W15" si="17">S12/V12</f>
        <v>3.0737704918032787</v>
      </c>
      <c r="X12" s="19">
        <f t="shared" ref="X12:X14" si="18">LN(13.96-V12)</f>
        <v>1.435084525289323</v>
      </c>
    </row>
    <row r="13" spans="1:31" x14ac:dyDescent="0.25">
      <c r="A13" s="23"/>
      <c r="B13" s="21"/>
      <c r="C13" s="21"/>
      <c r="G13" s="17"/>
      <c r="Q13" s="16"/>
      <c r="R13" s="16"/>
      <c r="S13" s="1">
        <v>60</v>
      </c>
      <c r="T13" s="19">
        <f t="shared" si="15"/>
        <v>7.745966692414834</v>
      </c>
      <c r="U13" s="1">
        <v>18.399999999999999</v>
      </c>
      <c r="V13" s="19">
        <f t="shared" si="16"/>
        <v>12.64</v>
      </c>
      <c r="W13" s="19">
        <f t="shared" si="17"/>
        <v>4.7468354430379742</v>
      </c>
      <c r="X13" s="19">
        <f t="shared" si="18"/>
        <v>0.27763173659827972</v>
      </c>
    </row>
    <row r="14" spans="1:31" ht="26.25" x14ac:dyDescent="0.4">
      <c r="A14" s="23"/>
      <c r="B14" s="69" t="s">
        <v>27</v>
      </c>
      <c r="C14" s="69"/>
      <c r="D14" s="69"/>
      <c r="E14" s="69"/>
      <c r="F14" s="69"/>
      <c r="Q14" s="16"/>
      <c r="R14" s="16"/>
      <c r="S14" s="1">
        <v>120</v>
      </c>
      <c r="T14" s="19">
        <f t="shared" si="15"/>
        <v>10.954451150103322</v>
      </c>
      <c r="U14" s="1">
        <v>16.5</v>
      </c>
      <c r="V14" s="19">
        <f t="shared" si="16"/>
        <v>13.4</v>
      </c>
      <c r="W14" s="19">
        <f t="shared" si="17"/>
        <v>8.9552238805970141</v>
      </c>
      <c r="X14" s="19">
        <f t="shared" si="18"/>
        <v>-0.57981849525294127</v>
      </c>
    </row>
    <row r="15" spans="1:31" x14ac:dyDescent="0.25">
      <c r="B15" s="1"/>
      <c r="C15" s="4" t="s">
        <v>17</v>
      </c>
      <c r="D15" s="1" t="s">
        <v>25</v>
      </c>
      <c r="E15" s="4" t="s">
        <v>20</v>
      </c>
      <c r="F15" s="4" t="s">
        <v>21</v>
      </c>
      <c r="G15" s="4" t="s">
        <v>26</v>
      </c>
      <c r="H15" s="25"/>
      <c r="Q15" s="16"/>
      <c r="R15" s="16"/>
      <c r="S15" s="4">
        <v>180</v>
      </c>
      <c r="T15" s="19">
        <f t="shared" si="15"/>
        <v>13.416407864998739</v>
      </c>
      <c r="U15" s="1">
        <v>15.1</v>
      </c>
      <c r="V15" s="19">
        <f t="shared" si="16"/>
        <v>13.96</v>
      </c>
      <c r="W15" s="19">
        <f t="shared" si="17"/>
        <v>12.893982808022923</v>
      </c>
      <c r="X15" s="19"/>
    </row>
    <row r="16" spans="1:31" x14ac:dyDescent="0.25">
      <c r="B16" s="1" t="s">
        <v>12</v>
      </c>
      <c r="C16" s="1">
        <v>3.7900000000000003E-2</v>
      </c>
      <c r="D16" s="11">
        <f>1/C16</f>
        <v>26.38522427440633</v>
      </c>
      <c r="E16" s="1">
        <v>0.49180000000000001</v>
      </c>
      <c r="F16" s="5">
        <f>1/(E16*D16)</f>
        <v>7.7063847092313953E-2</v>
      </c>
      <c r="G16" s="1">
        <v>0.99</v>
      </c>
      <c r="Q16" s="16"/>
      <c r="R16" s="16"/>
    </row>
    <row r="17" spans="2:37" x14ac:dyDescent="0.25">
      <c r="B17" s="1" t="s">
        <v>13</v>
      </c>
      <c r="C17" s="1">
        <v>2.35E-2</v>
      </c>
      <c r="D17" s="11">
        <f>1/C17</f>
        <v>42.553191489361701</v>
      </c>
      <c r="E17" s="1">
        <v>0.29370000000000002</v>
      </c>
      <c r="F17" s="5">
        <f>1/(E17*D17)</f>
        <v>8.0013619339462036E-2</v>
      </c>
      <c r="G17" s="1">
        <v>0.89</v>
      </c>
      <c r="Q17" s="16"/>
      <c r="R17" s="16"/>
      <c r="AI17" t="s">
        <v>51</v>
      </c>
    </row>
    <row r="18" spans="2:37" x14ac:dyDescent="0.25">
      <c r="Q18" s="16"/>
      <c r="R18" s="16"/>
    </row>
    <row r="19" spans="2:37" ht="23.25" x14ac:dyDescent="0.35">
      <c r="B19" s="70" t="s">
        <v>36</v>
      </c>
      <c r="C19" s="70"/>
      <c r="D19" s="70"/>
      <c r="E19" s="70"/>
      <c r="F19" s="70"/>
      <c r="G19" s="70"/>
      <c r="Q19" s="16"/>
      <c r="R19" s="16"/>
      <c r="Z19" s="62" t="s">
        <v>43</v>
      </c>
      <c r="AA19" s="62"/>
      <c r="AB19" s="62"/>
      <c r="AC19" s="62"/>
      <c r="AD19" s="62"/>
      <c r="AE19" s="62"/>
      <c r="AF19" s="57" t="s">
        <v>48</v>
      </c>
      <c r="AG19" s="57"/>
      <c r="AH19" s="57"/>
      <c r="AI19" s="57"/>
      <c r="AJ19" s="57"/>
      <c r="AK19" s="57"/>
    </row>
    <row r="20" spans="2:37" x14ac:dyDescent="0.25">
      <c r="B20" s="1"/>
      <c r="C20" s="1" t="s">
        <v>31</v>
      </c>
      <c r="D20" s="1" t="s">
        <v>32</v>
      </c>
      <c r="E20" s="1" t="s">
        <v>33</v>
      </c>
      <c r="F20" s="1" t="s">
        <v>34</v>
      </c>
      <c r="G20" s="1" t="s">
        <v>26</v>
      </c>
      <c r="Z20" s="1"/>
      <c r="AA20" s="1" t="s">
        <v>47</v>
      </c>
      <c r="AB20" s="1" t="s">
        <v>44</v>
      </c>
      <c r="AC20" s="1" t="s">
        <v>45</v>
      </c>
      <c r="AD20" s="1" t="s">
        <v>46</v>
      </c>
      <c r="AE20" s="1" t="s">
        <v>26</v>
      </c>
      <c r="AF20" s="5"/>
      <c r="AG20" s="5" t="s">
        <v>49</v>
      </c>
      <c r="AH20" s="4" t="s">
        <v>52</v>
      </c>
      <c r="AI20" s="5" t="s">
        <v>50</v>
      </c>
      <c r="AJ20" s="4" t="s">
        <v>51</v>
      </c>
      <c r="AK20" s="5" t="s">
        <v>26</v>
      </c>
    </row>
    <row r="21" spans="2:37" x14ac:dyDescent="0.25">
      <c r="B21" s="1" t="s">
        <v>12</v>
      </c>
      <c r="C21" s="19">
        <v>0.4415</v>
      </c>
      <c r="D21" s="11">
        <f>1/C21</f>
        <v>2.2650056625141564</v>
      </c>
      <c r="E21" s="19">
        <v>1.3752</v>
      </c>
      <c r="F21" s="11">
        <f>EXP(E21)</f>
        <v>3.9558678173719692</v>
      </c>
      <c r="G21" s="1">
        <v>0.99</v>
      </c>
      <c r="Z21" s="1" t="s">
        <v>13</v>
      </c>
      <c r="AA21" s="1">
        <v>1.7</v>
      </c>
      <c r="AB21" s="11">
        <f>EXP(AA21)</f>
        <v>5.4739473917271999</v>
      </c>
      <c r="AC21" s="1">
        <v>0.02</v>
      </c>
      <c r="AD21" s="6">
        <f>AC21*2.303</f>
        <v>4.6059999999999997E-2</v>
      </c>
      <c r="AE21" s="1">
        <v>0.88</v>
      </c>
      <c r="AF21" s="5" t="s">
        <v>13</v>
      </c>
      <c r="AG21" s="5">
        <v>0.06</v>
      </c>
      <c r="AH21" s="20">
        <f>1/AG21</f>
        <v>16.666666666666668</v>
      </c>
      <c r="AI21" s="5">
        <v>0.48</v>
      </c>
      <c r="AJ21" s="29">
        <f>1/(AI21*AH21^2)</f>
        <v>7.4999999999999997E-3</v>
      </c>
      <c r="AK21" s="5">
        <v>0.99</v>
      </c>
    </row>
    <row r="22" spans="2:37" x14ac:dyDescent="0.25">
      <c r="B22" s="1" t="s">
        <v>13</v>
      </c>
      <c r="C22" s="19">
        <v>0.51829999999999998</v>
      </c>
      <c r="D22" s="11">
        <f>1/C22</f>
        <v>1.9293845263360989</v>
      </c>
      <c r="E22" s="19">
        <v>1.6831</v>
      </c>
      <c r="F22" s="11">
        <f>EXP(E22)</f>
        <v>5.3822150027904332</v>
      </c>
      <c r="G22" s="1">
        <v>0.98</v>
      </c>
      <c r="Z22" s="1" t="s">
        <v>12</v>
      </c>
      <c r="AA22" s="1">
        <v>2.2599999999999998</v>
      </c>
      <c r="AB22" s="11">
        <f>EXP(AA22)</f>
        <v>9.5830891667643758</v>
      </c>
      <c r="AC22" s="1">
        <v>0.03</v>
      </c>
      <c r="AD22" s="6">
        <f>AC22*2.303</f>
        <v>6.9089999999999999E-2</v>
      </c>
      <c r="AE22" s="1">
        <v>0.92</v>
      </c>
      <c r="AF22" s="5" t="s">
        <v>12</v>
      </c>
      <c r="AG22" s="5">
        <v>6.4000000000000001E-2</v>
      </c>
      <c r="AH22" s="20">
        <f>1/AG22</f>
        <v>15.625</v>
      </c>
      <c r="AI22" s="5">
        <v>1.45</v>
      </c>
      <c r="AJ22" s="29">
        <f>1/(AI22*AH22^2)</f>
        <v>2.8248275862068966E-3</v>
      </c>
      <c r="AK22" s="5">
        <v>0.99</v>
      </c>
    </row>
    <row r="23" spans="2:37" x14ac:dyDescent="0.25">
      <c r="AJ23">
        <v>8</v>
      </c>
    </row>
    <row r="24" spans="2:37" ht="18.75" x14ac:dyDescent="0.3">
      <c r="Z24" s="67" t="s">
        <v>53</v>
      </c>
      <c r="AA24" s="67"/>
      <c r="AB24" s="67"/>
      <c r="AC24" s="67"/>
      <c r="AD24" s="67"/>
      <c r="AE24" s="1"/>
    </row>
    <row r="25" spans="2:37" x14ac:dyDescent="0.25">
      <c r="Z25" s="1"/>
      <c r="AA25" s="13" t="s">
        <v>54</v>
      </c>
      <c r="AB25" s="13" t="s">
        <v>55</v>
      </c>
      <c r="AC25" s="13" t="s">
        <v>26</v>
      </c>
      <c r="AD25" s="13"/>
      <c r="AE25" s="1"/>
    </row>
    <row r="26" spans="2:37" x14ac:dyDescent="0.25">
      <c r="Z26" s="13" t="s">
        <v>13</v>
      </c>
      <c r="AA26" s="13">
        <v>0.51</v>
      </c>
      <c r="AB26" s="13">
        <v>9.85</v>
      </c>
      <c r="AC26" s="13">
        <v>0.67</v>
      </c>
      <c r="AD26" s="13"/>
      <c r="AE26" s="1"/>
    </row>
    <row r="27" spans="2:37" x14ac:dyDescent="0.25">
      <c r="Z27" s="13" t="s">
        <v>12</v>
      </c>
      <c r="AA27" s="1">
        <v>0.83</v>
      </c>
      <c r="AB27" s="1">
        <v>4.1100000000000003</v>
      </c>
      <c r="AC27" s="1">
        <v>0.77</v>
      </c>
      <c r="AD27" s="1"/>
      <c r="AE27" s="1"/>
    </row>
  </sheetData>
  <mergeCells count="10">
    <mergeCell ref="AF19:AK19"/>
    <mergeCell ref="Z24:AD24"/>
    <mergeCell ref="Q2:R2"/>
    <mergeCell ref="B14:F14"/>
    <mergeCell ref="B19:G19"/>
    <mergeCell ref="U1:V1"/>
    <mergeCell ref="S9:X9"/>
    <mergeCell ref="Z19:AE19"/>
    <mergeCell ref="A3:F3"/>
    <mergeCell ref="I2:N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Column data</vt:lpstr>
      <vt:lpstr>kinetic and Eq modeling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bhatti</dc:creator>
  <cp:lastModifiedBy>MHIB</cp:lastModifiedBy>
  <dcterms:created xsi:type="dcterms:W3CDTF">2020-01-09T09:55:38Z</dcterms:created>
  <dcterms:modified xsi:type="dcterms:W3CDTF">2021-11-24T10:56:15Z</dcterms:modified>
</cp:coreProperties>
</file>