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lukas\Desktop\"/>
    </mc:Choice>
  </mc:AlternateContent>
  <xr:revisionPtr revIDLastSave="0" documentId="13_ncr:1_{5FC447F2-ACBF-48B6-9092-549FED602549}" xr6:coauthVersionLast="47" xr6:coauthVersionMax="47" xr10:uidLastSave="{00000000-0000-0000-0000-000000000000}"/>
  <bookViews>
    <workbookView xWindow="-120" yWindow="-120" windowWidth="29040" windowHeight="15840" tabRatio="907" xr2:uid="{00000000-000D-0000-FFFF-FFFF00000000}"/>
  </bookViews>
  <sheets>
    <sheet name="Modified dataset"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16" i="6" l="1"/>
  <c r="S115" i="6"/>
  <c r="S120" i="6"/>
  <c r="S119" i="6"/>
  <c r="S118" i="6"/>
  <c r="S117" i="6"/>
  <c r="S113" i="6"/>
  <c r="S112" i="6"/>
  <c r="S111" i="6"/>
  <c r="R121" i="6"/>
  <c r="R120" i="6"/>
  <c r="R119" i="6"/>
  <c r="R118" i="6"/>
  <c r="R117" i="6"/>
  <c r="R116" i="6"/>
  <c r="R115" i="6"/>
  <c r="R113" i="6"/>
  <c r="R112" i="6"/>
  <c r="R110" i="6"/>
  <c r="R111" i="6"/>
  <c r="Q121" i="6"/>
  <c r="Q120" i="6"/>
  <c r="Q119" i="6"/>
  <c r="Q118" i="6"/>
  <c r="Q117" i="6"/>
  <c r="Q116" i="6"/>
  <c r="Q115" i="6"/>
  <c r="Q114" i="6"/>
  <c r="Q112" i="6"/>
  <c r="Q113" i="6"/>
  <c r="Q111" i="6"/>
  <c r="Q110" i="6"/>
  <c r="P121" i="6"/>
  <c r="P120" i="6"/>
  <c r="P119" i="6"/>
  <c r="P118" i="6"/>
  <c r="P117" i="6"/>
  <c r="P116" i="6"/>
  <c r="P115" i="6"/>
  <c r="P114" i="6"/>
  <c r="M114" i="6"/>
  <c r="J114" i="6"/>
  <c r="E114" i="6" s="1"/>
  <c r="F114" i="6" s="1"/>
  <c r="H114" i="6" s="1"/>
  <c r="M113" i="6"/>
  <c r="J113" i="6"/>
  <c r="E113" i="6" s="1"/>
  <c r="F113" i="6" s="1"/>
  <c r="H113" i="6" s="1"/>
  <c r="M112" i="6"/>
  <c r="J112" i="6"/>
  <c r="E112" i="6"/>
  <c r="F112" i="6" s="1"/>
  <c r="H112" i="6" s="1"/>
  <c r="M111" i="6"/>
  <c r="J111" i="6"/>
  <c r="E111" i="6" s="1"/>
  <c r="F111" i="6" s="1"/>
  <c r="H111" i="6" s="1"/>
  <c r="O111" i="6"/>
  <c r="O112" i="6"/>
  <c r="O113" i="6"/>
  <c r="O114" i="6"/>
  <c r="O115" i="6"/>
  <c r="O116" i="6"/>
  <c r="O117" i="6"/>
  <c r="O118" i="6"/>
  <c r="O119" i="6"/>
  <c r="O120" i="6"/>
  <c r="O121" i="6"/>
  <c r="N121" i="6"/>
  <c r="N120" i="6"/>
  <c r="N119" i="6"/>
  <c r="N118" i="6"/>
  <c r="N117" i="6"/>
  <c r="N116" i="6"/>
  <c r="N115" i="6"/>
  <c r="N114" i="6"/>
  <c r="N113" i="6"/>
  <c r="N112" i="6"/>
  <c r="N111" i="6"/>
  <c r="O110" i="6"/>
  <c r="O122" i="6"/>
  <c r="Q108" i="6"/>
  <c r="Q109" i="6"/>
  <c r="J121" i="6"/>
  <c r="E121" i="6" s="1"/>
  <c r="F121" i="6" s="1"/>
  <c r="H121" i="6" s="1"/>
  <c r="M120" i="6"/>
  <c r="K120" i="6"/>
  <c r="J120" i="6"/>
  <c r="E120" i="6"/>
  <c r="F120" i="6" s="1"/>
  <c r="H120" i="6" s="1"/>
  <c r="M119" i="6"/>
  <c r="K119" i="6"/>
  <c r="J119" i="6"/>
  <c r="E119" i="6" s="1"/>
  <c r="F119" i="6" s="1"/>
  <c r="H119" i="6" s="1"/>
  <c r="M118" i="6"/>
  <c r="K118" i="6"/>
  <c r="J118" i="6"/>
  <c r="E118" i="6"/>
  <c r="F118" i="6" s="1"/>
  <c r="H118" i="6" s="1"/>
  <c r="M117" i="6"/>
  <c r="K117" i="6"/>
  <c r="J117" i="6"/>
  <c r="E117" i="6" s="1"/>
  <c r="F117" i="6" s="1"/>
  <c r="H117" i="6" s="1"/>
  <c r="M116" i="6"/>
  <c r="K116" i="6"/>
  <c r="J116" i="6"/>
  <c r="E116" i="6"/>
  <c r="F116" i="6" s="1"/>
  <c r="H116" i="6" s="1"/>
  <c r="M115" i="6"/>
  <c r="K115" i="6"/>
  <c r="J115" i="6"/>
  <c r="E115" i="6" s="1"/>
  <c r="F115" i="6" s="1"/>
  <c r="H115" i="6" s="1"/>
  <c r="K113" i="6"/>
  <c r="K112" i="6"/>
  <c r="K111" i="6"/>
  <c r="C123" i="6" l="1"/>
  <c r="N122" i="6" s="1"/>
  <c r="D123" i="6"/>
  <c r="E123" i="6"/>
  <c r="F123" i="6"/>
  <c r="G123" i="6"/>
  <c r="I123" i="6"/>
  <c r="J123" i="6"/>
  <c r="K123" i="6"/>
  <c r="L123" i="6"/>
  <c r="M123" i="6"/>
  <c r="C124" i="6"/>
  <c r="D124" i="6"/>
  <c r="E124" i="6"/>
  <c r="F124" i="6"/>
  <c r="G124" i="6"/>
  <c r="H124" i="6"/>
  <c r="I124" i="6"/>
  <c r="J124" i="6"/>
  <c r="K124" i="6"/>
  <c r="L124" i="6"/>
  <c r="M124" i="6"/>
  <c r="C125" i="6"/>
  <c r="D125" i="6"/>
  <c r="E125" i="6"/>
  <c r="F125" i="6"/>
  <c r="G125" i="6"/>
  <c r="H125" i="6"/>
  <c r="I125" i="6"/>
  <c r="J125" i="6"/>
  <c r="K125" i="6"/>
  <c r="L125" i="6"/>
  <c r="M125" i="6"/>
  <c r="R122" i="6"/>
  <c r="Q122" i="6"/>
  <c r="J122" i="6"/>
  <c r="E122" i="6"/>
  <c r="F122" i="6" s="1"/>
  <c r="H122" i="6" s="1"/>
  <c r="M110" i="6"/>
  <c r="J110" i="6"/>
  <c r="E110" i="6" s="1"/>
  <c r="F110" i="6" s="1"/>
  <c r="H110" i="6" s="1"/>
  <c r="M109" i="6"/>
  <c r="J109" i="6"/>
  <c r="F109" i="6"/>
  <c r="H109" i="6" s="1"/>
  <c r="E109" i="6"/>
  <c r="M108" i="6"/>
  <c r="J108" i="6"/>
  <c r="E108" i="6" s="1"/>
  <c r="F108" i="6"/>
  <c r="H108" i="6" s="1"/>
  <c r="S107" i="6"/>
  <c r="R107" i="6"/>
  <c r="M107" i="6"/>
  <c r="J107" i="6"/>
  <c r="F107" i="6"/>
  <c r="H107" i="6" s="1"/>
  <c r="E107" i="6"/>
  <c r="M106" i="6"/>
  <c r="J106" i="6"/>
  <c r="E106" i="6" s="1"/>
  <c r="F106" i="6" s="1"/>
  <c r="H106" i="6" s="1"/>
  <c r="M105" i="6"/>
  <c r="J105" i="6"/>
  <c r="H105" i="6"/>
  <c r="E105" i="6"/>
  <c r="F105" i="6" s="1"/>
  <c r="M104" i="6"/>
  <c r="J104" i="6"/>
  <c r="E104" i="6"/>
  <c r="F104" i="6" s="1"/>
  <c r="H104" i="6" s="1"/>
  <c r="M103" i="6"/>
  <c r="J103" i="6"/>
  <c r="E103" i="6"/>
  <c r="F103" i="6" s="1"/>
  <c r="H103" i="6" s="1"/>
  <c r="S102" i="6"/>
  <c r="R102" i="6"/>
  <c r="Q102" i="6"/>
  <c r="O102" i="6"/>
  <c r="N102" i="6"/>
  <c r="M102" i="6"/>
  <c r="J102" i="6"/>
  <c r="E102" i="6"/>
  <c r="F102" i="6" s="1"/>
  <c r="H102" i="6" s="1"/>
  <c r="P102" i="6" s="1"/>
  <c r="D102" i="6"/>
  <c r="S101" i="6"/>
  <c r="R101" i="6"/>
  <c r="Q101" i="6"/>
  <c r="O101" i="6"/>
  <c r="N101" i="6"/>
  <c r="M101" i="6"/>
  <c r="J101" i="6"/>
  <c r="E101" i="6" s="1"/>
  <c r="F101" i="6" s="1"/>
  <c r="H101" i="6" s="1"/>
  <c r="P101" i="6" s="1"/>
  <c r="D101" i="6"/>
  <c r="M100" i="6"/>
  <c r="J100" i="6"/>
  <c r="E100" i="6" s="1"/>
  <c r="F100" i="6" s="1"/>
  <c r="H100" i="6" s="1"/>
  <c r="S99" i="6"/>
  <c r="R99" i="6"/>
  <c r="Q99" i="6"/>
  <c r="M99" i="6"/>
  <c r="J99" i="6"/>
  <c r="E99" i="6" s="1"/>
  <c r="H99" i="6"/>
  <c r="D99" i="6"/>
  <c r="S98" i="6"/>
  <c r="R98" i="6"/>
  <c r="Q98" i="6"/>
  <c r="O98" i="6"/>
  <c r="N98" i="6"/>
  <c r="M98" i="6"/>
  <c r="J98" i="6"/>
  <c r="E98" i="6" s="1"/>
  <c r="F98" i="6"/>
  <c r="H98" i="6" s="1"/>
  <c r="P98" i="6" s="1"/>
  <c r="D98" i="6"/>
  <c r="M97" i="6"/>
  <c r="J97" i="6"/>
  <c r="E97" i="6"/>
  <c r="F97" i="6" s="1"/>
  <c r="H97" i="6" s="1"/>
  <c r="M96" i="6"/>
  <c r="J96" i="6"/>
  <c r="E96" i="6" s="1"/>
  <c r="F96" i="6" s="1"/>
  <c r="H96" i="6" s="1"/>
  <c r="M95" i="6"/>
  <c r="J95" i="6"/>
  <c r="F95" i="6"/>
  <c r="H95" i="6" s="1"/>
  <c r="E95" i="6"/>
  <c r="M94" i="6"/>
  <c r="J94" i="6"/>
  <c r="E94" i="6" s="1"/>
  <c r="F94" i="6" s="1"/>
  <c r="H94" i="6" s="1"/>
  <c r="M93" i="6"/>
  <c r="J93" i="6"/>
  <c r="E93" i="6" s="1"/>
  <c r="H93" i="6"/>
  <c r="F93" i="6"/>
  <c r="M92" i="6"/>
  <c r="J92" i="6"/>
  <c r="F92" i="6"/>
  <c r="H92" i="6" s="1"/>
  <c r="E92" i="6"/>
  <c r="M91" i="6"/>
  <c r="J91" i="6"/>
  <c r="F91" i="6"/>
  <c r="H91" i="6" s="1"/>
  <c r="E91" i="6"/>
  <c r="M90" i="6"/>
  <c r="J90" i="6"/>
  <c r="E90" i="6"/>
  <c r="F90" i="6" s="1"/>
  <c r="H90" i="6" s="1"/>
  <c r="M89" i="6"/>
  <c r="J89" i="6"/>
  <c r="E89" i="6" s="1"/>
  <c r="F89" i="6"/>
  <c r="H89" i="6" s="1"/>
  <c r="M88" i="6"/>
  <c r="J88" i="6"/>
  <c r="E88" i="6" s="1"/>
  <c r="F88" i="6" s="1"/>
  <c r="H88" i="6" s="1"/>
  <c r="M87" i="6"/>
  <c r="J87" i="6"/>
  <c r="E87" i="6" s="1"/>
  <c r="F87" i="6" s="1"/>
  <c r="H87" i="6" s="1"/>
  <c r="M86" i="6"/>
  <c r="J86" i="6"/>
  <c r="F86" i="6"/>
  <c r="H86" i="6" s="1"/>
  <c r="E86" i="6"/>
  <c r="M85" i="6"/>
  <c r="J85" i="6"/>
  <c r="E85" i="6" s="1"/>
  <c r="H85" i="6"/>
  <c r="F85" i="6"/>
  <c r="S84" i="6"/>
  <c r="R84" i="6"/>
  <c r="Q84" i="6"/>
  <c r="M84" i="6"/>
  <c r="J84" i="6"/>
  <c r="E84" i="6"/>
  <c r="F84" i="6" s="1"/>
  <c r="H84" i="6" s="1"/>
  <c r="P84" i="6" s="1"/>
  <c r="Q83" i="6"/>
  <c r="M83" i="6"/>
  <c r="J83" i="6"/>
  <c r="E83" i="6"/>
  <c r="F83" i="6" s="1"/>
  <c r="H83" i="6" s="1"/>
  <c r="P83" i="6" s="1"/>
  <c r="M82" i="6"/>
  <c r="J82" i="6"/>
  <c r="E82" i="6"/>
  <c r="F82" i="6" s="1"/>
  <c r="H82" i="6" s="1"/>
  <c r="M81" i="6"/>
  <c r="J81" i="6"/>
  <c r="E81" i="6" s="1"/>
  <c r="F81" i="6" s="1"/>
  <c r="H81" i="6" s="1"/>
  <c r="M80" i="6"/>
  <c r="J80" i="6"/>
  <c r="E80" i="6" s="1"/>
  <c r="F80" i="6" s="1"/>
  <c r="H80" i="6" s="1"/>
  <c r="M79" i="6"/>
  <c r="J79" i="6"/>
  <c r="E79" i="6" s="1"/>
  <c r="F79" i="6"/>
  <c r="H79" i="6" s="1"/>
  <c r="S78" i="6"/>
  <c r="R78" i="6"/>
  <c r="P78" i="6"/>
  <c r="O78" i="6"/>
  <c r="N78" i="6"/>
  <c r="M78" i="6"/>
  <c r="J78" i="6"/>
  <c r="E78" i="6"/>
  <c r="F78" i="6" s="1"/>
  <c r="S77" i="6"/>
  <c r="R77" i="6"/>
  <c r="P77" i="6"/>
  <c r="O77" i="6"/>
  <c r="N77" i="6"/>
  <c r="M77" i="6"/>
  <c r="J77" i="6"/>
  <c r="E77" i="6"/>
  <c r="F77" i="6" s="1"/>
  <c r="M76" i="6"/>
  <c r="J76" i="6"/>
  <c r="E76" i="6"/>
  <c r="F76" i="6" s="1"/>
  <c r="H76" i="6" s="1"/>
  <c r="M75" i="6"/>
  <c r="J75" i="6"/>
  <c r="E75" i="6" s="1"/>
  <c r="F75" i="6"/>
  <c r="H75" i="6" s="1"/>
  <c r="M74" i="6"/>
  <c r="J74" i="6"/>
  <c r="E74" i="6"/>
  <c r="F74" i="6" s="1"/>
  <c r="H74" i="6" s="1"/>
  <c r="Q73" i="6"/>
  <c r="M73" i="6"/>
  <c r="J73" i="6"/>
  <c r="E73" i="6" s="1"/>
  <c r="F73" i="6" s="1"/>
  <c r="H73" i="6" s="1"/>
  <c r="P73" i="6" s="1"/>
  <c r="S72" i="6"/>
  <c r="R72" i="6"/>
  <c r="Q72" i="6"/>
  <c r="M72" i="6"/>
  <c r="J72" i="6"/>
  <c r="E72" i="6" s="1"/>
  <c r="F72" i="6" s="1"/>
  <c r="H72" i="6" s="1"/>
  <c r="P72" i="6" s="1"/>
  <c r="M71" i="6"/>
  <c r="J71" i="6"/>
  <c r="E71" i="6" s="1"/>
  <c r="H71" i="6"/>
  <c r="F71" i="6"/>
  <c r="S70" i="6"/>
  <c r="R70" i="6"/>
  <c r="M70" i="6"/>
  <c r="J70" i="6"/>
  <c r="E70" i="6"/>
  <c r="F70" i="6" s="1"/>
  <c r="H70" i="6" s="1"/>
  <c r="M69" i="6"/>
  <c r="J69" i="6"/>
  <c r="E69" i="6"/>
  <c r="F69" i="6" s="1"/>
  <c r="H69" i="6" s="1"/>
  <c r="M68" i="6"/>
  <c r="J68" i="6"/>
  <c r="E68" i="6"/>
  <c r="F68" i="6" s="1"/>
  <c r="H68" i="6" s="1"/>
  <c r="M67" i="6"/>
  <c r="J67" i="6"/>
  <c r="E67" i="6"/>
  <c r="F67" i="6" s="1"/>
  <c r="H67" i="6" s="1"/>
  <c r="M66" i="6"/>
  <c r="J66" i="6"/>
  <c r="E66" i="6"/>
  <c r="F66" i="6" s="1"/>
  <c r="H66" i="6" s="1"/>
  <c r="S65" i="6"/>
  <c r="R65" i="6"/>
  <c r="Q65" i="6"/>
  <c r="M65" i="6"/>
  <c r="J65" i="6"/>
  <c r="E65" i="6"/>
  <c r="F65" i="6" s="1"/>
  <c r="H65" i="6" s="1"/>
  <c r="P65" i="6" s="1"/>
  <c r="S64" i="6"/>
  <c r="R64" i="6"/>
  <c r="Q64" i="6"/>
  <c r="P64" i="6"/>
  <c r="M64" i="6"/>
  <c r="J64" i="6"/>
  <c r="E64" i="6" s="1"/>
  <c r="F64" i="6"/>
  <c r="H64" i="6" s="1"/>
  <c r="M63" i="6"/>
  <c r="J63" i="6"/>
  <c r="E63" i="6" s="1"/>
  <c r="F63" i="6" s="1"/>
  <c r="H63" i="6" s="1"/>
  <c r="D63" i="6"/>
  <c r="S62" i="6"/>
  <c r="R62" i="6"/>
  <c r="Q62" i="6"/>
  <c r="P62" i="6"/>
  <c r="M62" i="6"/>
  <c r="J62" i="6"/>
  <c r="E62" i="6"/>
  <c r="F62" i="6" s="1"/>
  <c r="H62" i="6" s="1"/>
  <c r="M61" i="6"/>
  <c r="J61" i="6"/>
  <c r="E61" i="6"/>
  <c r="F61" i="6" s="1"/>
  <c r="H61" i="6" s="1"/>
  <c r="D61" i="6"/>
  <c r="M60" i="6"/>
  <c r="J60" i="6"/>
  <c r="F60" i="6"/>
  <c r="H60" i="6" s="1"/>
  <c r="D60" i="6"/>
  <c r="E60" i="6" s="1"/>
  <c r="S59" i="6"/>
  <c r="R59" i="6"/>
  <c r="Q59" i="6"/>
  <c r="M59" i="6"/>
  <c r="J59" i="6"/>
  <c r="F59" i="6"/>
  <c r="H59" i="6" s="1"/>
  <c r="P59" i="6" s="1"/>
  <c r="E59" i="6"/>
  <c r="M58" i="6"/>
  <c r="J58" i="6"/>
  <c r="F58" i="6"/>
  <c r="H58" i="6" s="1"/>
  <c r="E58" i="6"/>
  <c r="M57" i="6"/>
  <c r="J57" i="6"/>
  <c r="E57" i="6"/>
  <c r="F57" i="6" s="1"/>
  <c r="H57" i="6" s="1"/>
  <c r="Q56" i="6"/>
  <c r="P56" i="6"/>
  <c r="M56" i="6"/>
  <c r="J56" i="6"/>
  <c r="E56" i="6" s="1"/>
  <c r="F56" i="6" s="1"/>
  <c r="H56" i="6"/>
  <c r="S55" i="6"/>
  <c r="R55" i="6"/>
  <c r="Q55" i="6"/>
  <c r="P55" i="6"/>
  <c r="H55" i="6"/>
  <c r="M54" i="6"/>
  <c r="J54" i="6"/>
  <c r="E54" i="6" s="1"/>
  <c r="F54" i="6"/>
  <c r="H54" i="6" s="1"/>
  <c r="M53" i="6"/>
  <c r="J53" i="6"/>
  <c r="E53" i="6"/>
  <c r="F53" i="6" s="1"/>
  <c r="H53" i="6" s="1"/>
  <c r="M52" i="6"/>
  <c r="J52" i="6"/>
  <c r="E52" i="6" s="1"/>
  <c r="F52" i="6"/>
  <c r="H52" i="6" s="1"/>
  <c r="M51" i="6"/>
  <c r="J51" i="6"/>
  <c r="E51" i="6"/>
  <c r="F51" i="6" s="1"/>
  <c r="H51" i="6" s="1"/>
  <c r="S50" i="6"/>
  <c r="R50" i="6"/>
  <c r="Q50" i="6"/>
  <c r="M50" i="6"/>
  <c r="J50" i="6"/>
  <c r="E50" i="6" s="1"/>
  <c r="H50" i="6"/>
  <c r="P50" i="6" s="1"/>
  <c r="F50" i="6"/>
  <c r="M49" i="6"/>
  <c r="J49" i="6"/>
  <c r="E49" i="6"/>
  <c r="F49" i="6" s="1"/>
  <c r="H49" i="6" s="1"/>
  <c r="M48" i="6"/>
  <c r="J48" i="6"/>
  <c r="E48" i="6" s="1"/>
  <c r="F48" i="6" s="1"/>
  <c r="H48" i="6" s="1"/>
  <c r="M47" i="6"/>
  <c r="J47" i="6"/>
  <c r="E47" i="6" s="1"/>
  <c r="F47" i="6" s="1"/>
  <c r="H47" i="6" s="1"/>
  <c r="M46" i="6"/>
  <c r="J46" i="6"/>
  <c r="E46" i="6"/>
  <c r="F46" i="6" s="1"/>
  <c r="H46" i="6" s="1"/>
  <c r="S45" i="6"/>
  <c r="R45" i="6"/>
  <c r="Q45" i="6"/>
  <c r="M45" i="6"/>
  <c r="J45" i="6"/>
  <c r="E45" i="6"/>
  <c r="F45" i="6" s="1"/>
  <c r="H45" i="6" s="1"/>
  <c r="P45" i="6" s="1"/>
  <c r="S44" i="6"/>
  <c r="R44" i="6"/>
  <c r="Q44" i="6"/>
  <c r="M44" i="6"/>
  <c r="J44" i="6"/>
  <c r="E44" i="6" s="1"/>
  <c r="F44" i="6"/>
  <c r="H44" i="6" s="1"/>
  <c r="P44" i="6" s="1"/>
  <c r="M43" i="6"/>
  <c r="J43" i="6"/>
  <c r="E43" i="6"/>
  <c r="F43" i="6" s="1"/>
  <c r="H43" i="6" s="1"/>
  <c r="M42" i="6"/>
  <c r="J42" i="6"/>
  <c r="E42" i="6" s="1"/>
  <c r="F42" i="6" s="1"/>
  <c r="H42" i="6"/>
  <c r="M41" i="6"/>
  <c r="J41" i="6"/>
  <c r="E41" i="6" s="1"/>
  <c r="F41" i="6" s="1"/>
  <c r="H41" i="6" s="1"/>
  <c r="M40" i="6"/>
  <c r="J40" i="6"/>
  <c r="E40" i="6" s="1"/>
  <c r="F40" i="6" s="1"/>
  <c r="H40" i="6" s="1"/>
  <c r="M39" i="6"/>
  <c r="J39" i="6"/>
  <c r="E39" i="6"/>
  <c r="F39" i="6" s="1"/>
  <c r="H39" i="6" s="1"/>
  <c r="D39" i="6"/>
  <c r="S38" i="6"/>
  <c r="R38" i="6"/>
  <c r="Q38" i="6"/>
  <c r="M38" i="6"/>
  <c r="J38" i="6"/>
  <c r="E38" i="6"/>
  <c r="F38" i="6" s="1"/>
  <c r="H38" i="6" s="1"/>
  <c r="P38" i="6" s="1"/>
  <c r="M37" i="6"/>
  <c r="J37" i="6"/>
  <c r="E37" i="6" s="1"/>
  <c r="F37" i="6"/>
  <c r="H37" i="6" s="1"/>
  <c r="D37" i="6"/>
  <c r="M36" i="6"/>
  <c r="J36" i="6"/>
  <c r="E36" i="6" s="1"/>
  <c r="F36" i="6" s="1"/>
  <c r="H36" i="6" s="1"/>
  <c r="M35" i="6"/>
  <c r="J35" i="6"/>
  <c r="E35" i="6" s="1"/>
  <c r="F35" i="6" s="1"/>
  <c r="H35" i="6" s="1"/>
  <c r="M34" i="6"/>
  <c r="J34" i="6"/>
  <c r="E34" i="6" s="1"/>
  <c r="F34" i="6"/>
  <c r="H34" i="6" s="1"/>
  <c r="R33" i="6"/>
  <c r="Q33" i="6"/>
  <c r="P33" i="6"/>
  <c r="M33" i="6"/>
  <c r="J33" i="6"/>
  <c r="E33" i="6"/>
  <c r="F33" i="6" s="1"/>
  <c r="H33" i="6" s="1"/>
  <c r="M32" i="6"/>
  <c r="J32" i="6"/>
  <c r="E32" i="6"/>
  <c r="F32" i="6" s="1"/>
  <c r="H32" i="6" s="1"/>
  <c r="M31" i="6"/>
  <c r="J31" i="6"/>
  <c r="E31" i="6" s="1"/>
  <c r="F31" i="6" s="1"/>
  <c r="H31" i="6" s="1"/>
  <c r="M30" i="6"/>
  <c r="J30" i="6"/>
  <c r="E30" i="6"/>
  <c r="F30" i="6" s="1"/>
  <c r="H30" i="6" s="1"/>
  <c r="M29" i="6"/>
  <c r="J29" i="6"/>
  <c r="E29" i="6" s="1"/>
  <c r="F29" i="6"/>
  <c r="H29" i="6" s="1"/>
  <c r="M28" i="6"/>
  <c r="J28" i="6"/>
  <c r="H28" i="6"/>
  <c r="F28" i="6"/>
  <c r="M27" i="6"/>
  <c r="J27" i="6"/>
  <c r="E27" i="6" s="1"/>
  <c r="F27" i="6" s="1"/>
  <c r="H27" i="6" s="1"/>
  <c r="M26" i="6"/>
  <c r="J26" i="6"/>
  <c r="F26" i="6"/>
  <c r="H26" i="6" s="1"/>
  <c r="E26" i="6"/>
  <c r="M25" i="6"/>
  <c r="J25" i="6"/>
  <c r="E25" i="6" s="1"/>
  <c r="F25" i="6"/>
  <c r="H25" i="6" s="1"/>
  <c r="M24" i="6"/>
  <c r="J24" i="6"/>
  <c r="E24" i="6"/>
  <c r="F24" i="6" s="1"/>
  <c r="H24" i="6" s="1"/>
  <c r="S23" i="6"/>
  <c r="R23" i="6"/>
  <c r="Q23" i="6"/>
  <c r="M23" i="6"/>
  <c r="J23" i="6"/>
  <c r="E23" i="6" s="1"/>
  <c r="F23" i="6" s="1"/>
  <c r="H23" i="6" s="1"/>
  <c r="P23" i="6" s="1"/>
  <c r="M22" i="6"/>
  <c r="J22" i="6"/>
  <c r="E22" i="6"/>
  <c r="F22" i="6" s="1"/>
  <c r="H22" i="6" s="1"/>
  <c r="M21" i="6"/>
  <c r="J21" i="6"/>
  <c r="E21" i="6" s="1"/>
  <c r="F21" i="6" s="1"/>
  <c r="H21" i="6" s="1"/>
  <c r="M20" i="6"/>
  <c r="J20" i="6"/>
  <c r="E20" i="6"/>
  <c r="F20" i="6" s="1"/>
  <c r="H20" i="6" s="1"/>
  <c r="M19" i="6"/>
  <c r="J19" i="6"/>
  <c r="E19" i="6" s="1"/>
  <c r="F19" i="6" s="1"/>
  <c r="H19" i="6"/>
  <c r="M18" i="6"/>
  <c r="J18" i="6"/>
  <c r="E18" i="6"/>
  <c r="F18" i="6" s="1"/>
  <c r="H18" i="6" s="1"/>
  <c r="R17" i="6"/>
  <c r="Q17" i="6"/>
  <c r="M17" i="6"/>
  <c r="J17" i="6"/>
  <c r="E17" i="6"/>
  <c r="F17" i="6" s="1"/>
  <c r="H17" i="6" s="1"/>
  <c r="P17" i="6" s="1"/>
  <c r="Q16" i="6"/>
  <c r="M16" i="6"/>
  <c r="J16" i="6"/>
  <c r="E16" i="6" s="1"/>
  <c r="F16" i="6" s="1"/>
  <c r="H16" i="6" s="1"/>
  <c r="P16" i="6" s="1"/>
  <c r="R15" i="6"/>
  <c r="M15" i="6"/>
  <c r="J15" i="6"/>
  <c r="E15" i="6" s="1"/>
  <c r="F15" i="6" s="1"/>
  <c r="H15" i="6" s="1"/>
  <c r="D15" i="6"/>
  <c r="M14" i="6"/>
  <c r="J14" i="6"/>
  <c r="E14" i="6"/>
  <c r="F14" i="6" s="1"/>
  <c r="H14" i="6" s="1"/>
  <c r="Q13" i="6"/>
  <c r="M13" i="6"/>
  <c r="J13" i="6"/>
  <c r="E13" i="6" s="1"/>
  <c r="F13" i="6"/>
  <c r="H13" i="6" s="1"/>
  <c r="P13" i="6" s="1"/>
  <c r="M12" i="6"/>
  <c r="J12" i="6"/>
  <c r="E12" i="6"/>
  <c r="F12" i="6" s="1"/>
  <c r="H12" i="6" s="1"/>
  <c r="Q11" i="6"/>
  <c r="P11" i="6"/>
  <c r="M11" i="6"/>
  <c r="J11" i="6"/>
  <c r="E11" i="6" s="1"/>
  <c r="F11" i="6" s="1"/>
  <c r="H11" i="6" s="1"/>
  <c r="D11" i="6"/>
  <c r="M10" i="6"/>
  <c r="J10" i="6"/>
  <c r="D10" i="6"/>
  <c r="M9" i="6"/>
  <c r="J9" i="6"/>
  <c r="E9" i="6" s="1"/>
  <c r="F9" i="6" s="1"/>
  <c r="H9" i="6" s="1"/>
  <c r="M8" i="6"/>
  <c r="J8" i="6"/>
  <c r="E8" i="6" s="1"/>
  <c r="F8" i="6" s="1"/>
  <c r="H8" i="6" s="1"/>
  <c r="D8" i="6"/>
  <c r="S7" i="6"/>
  <c r="R7" i="6"/>
  <c r="M7" i="6"/>
  <c r="J7" i="6"/>
  <c r="E7" i="6"/>
  <c r="F7" i="6" s="1"/>
  <c r="H7" i="6" s="1"/>
  <c r="D7" i="6"/>
  <c r="M6" i="6"/>
  <c r="J6" i="6"/>
  <c r="E6" i="6" s="1"/>
  <c r="F6" i="6" s="1"/>
  <c r="H6" i="6"/>
  <c r="M5" i="6"/>
  <c r="J5" i="6"/>
  <c r="E5" i="6"/>
  <c r="F5" i="6" s="1"/>
  <c r="H5" i="6" s="1"/>
  <c r="M4" i="6"/>
  <c r="J4" i="6"/>
  <c r="E4" i="6"/>
  <c r="F4" i="6" s="1"/>
  <c r="H4" i="6" s="1"/>
  <c r="D4" i="6"/>
  <c r="K122" i="6"/>
  <c r="H123" i="6" l="1"/>
  <c r="E10" i="6"/>
  <c r="F10" i="6" s="1"/>
  <c r="H10" i="6" s="1"/>
  <c r="P122" i="6" l="1"/>
  <c r="P108" i="6"/>
  <c r="P109" i="6"/>
  <c r="P112" i="6"/>
  <c r="P113" i="6"/>
  <c r="P110" i="6"/>
  <c r="P111" i="6"/>
  <c r="K110" i="6"/>
  <c r="K109" i="6"/>
  <c r="K108" i="6"/>
  <c r="K106" i="6"/>
  <c r="K105" i="6"/>
  <c r="K104" i="6"/>
  <c r="D104" i="6"/>
  <c r="K103" i="6"/>
  <c r="K100" i="6"/>
  <c r="K97" i="6"/>
  <c r="K96" i="6"/>
  <c r="K95" i="6"/>
  <c r="K94" i="6"/>
  <c r="K93" i="6"/>
  <c r="K92" i="6"/>
  <c r="K91" i="6"/>
  <c r="K90" i="6"/>
  <c r="K89" i="6"/>
  <c r="K88" i="6"/>
  <c r="K87" i="6"/>
  <c r="K86" i="6"/>
  <c r="K85" i="6"/>
  <c r="K83" i="6"/>
  <c r="K82" i="6"/>
  <c r="K81" i="6"/>
  <c r="K80" i="6"/>
  <c r="K79" i="6"/>
  <c r="K76" i="6"/>
  <c r="K75" i="6"/>
  <c r="K74" i="6"/>
  <c r="K73" i="6"/>
  <c r="D72" i="6"/>
  <c r="C72" i="6"/>
  <c r="K71" i="6"/>
  <c r="K69" i="6"/>
  <c r="K68" i="6"/>
  <c r="K67" i="6"/>
  <c r="K66" i="6"/>
  <c r="K63" i="6"/>
  <c r="K61" i="6"/>
  <c r="K60" i="6"/>
  <c r="K58" i="6"/>
  <c r="K57" i="6"/>
  <c r="K56" i="6"/>
  <c r="G55" i="6"/>
  <c r="K54" i="6"/>
  <c r="K53" i="6"/>
  <c r="K52" i="6"/>
  <c r="K51" i="6"/>
  <c r="K49" i="6"/>
  <c r="K48" i="6"/>
  <c r="K47" i="6"/>
  <c r="K46" i="6"/>
  <c r="K43" i="6"/>
  <c r="K42" i="6"/>
  <c r="K41" i="6"/>
  <c r="K40" i="6"/>
  <c r="K39" i="6"/>
  <c r="K37" i="6"/>
  <c r="K36" i="6"/>
  <c r="K35" i="6"/>
  <c r="K34" i="6"/>
  <c r="K32" i="6"/>
  <c r="K31" i="6"/>
  <c r="K30" i="6"/>
  <c r="K29" i="6"/>
  <c r="I28" i="6"/>
  <c r="G28" i="6"/>
  <c r="K27" i="6"/>
  <c r="K26" i="6"/>
  <c r="K25" i="6"/>
  <c r="K24" i="6"/>
  <c r="K22" i="6"/>
  <c r="K21" i="6"/>
  <c r="K16" i="6"/>
  <c r="K12" i="6"/>
  <c r="K11" i="6"/>
  <c r="K5" i="6"/>
  <c r="K4" i="6"/>
  <c r="S110" i="6" l="1"/>
  <c r="S100" i="6"/>
  <c r="S95" i="6"/>
  <c r="S87" i="6"/>
  <c r="S79" i="6"/>
  <c r="S73" i="6"/>
  <c r="S58" i="6"/>
  <c r="S54" i="6"/>
  <c r="S46" i="6"/>
  <c r="S36" i="6"/>
  <c r="S28" i="6"/>
  <c r="S105" i="6"/>
  <c r="S106" i="6"/>
  <c r="S96" i="6"/>
  <c r="S83" i="6"/>
  <c r="S66" i="6"/>
  <c r="S30" i="6"/>
  <c r="S21" i="6"/>
  <c r="S109" i="6"/>
  <c r="S104" i="6"/>
  <c r="S69" i="6"/>
  <c r="S53" i="6"/>
  <c r="S47" i="6"/>
  <c r="S35" i="6"/>
  <c r="S34" i="6"/>
  <c r="S33" i="6"/>
  <c r="S26" i="6"/>
  <c r="S5" i="6"/>
  <c r="S93" i="6"/>
  <c r="S80" i="6"/>
  <c r="S71" i="6"/>
  <c r="S42" i="6"/>
  <c r="S41" i="6"/>
  <c r="S40" i="6"/>
  <c r="S19" i="6"/>
  <c r="S10" i="6"/>
  <c r="S94" i="6"/>
  <c r="S88" i="6"/>
  <c r="S86" i="6"/>
  <c r="S63" i="6"/>
  <c r="S27" i="6"/>
  <c r="S18" i="6"/>
  <c r="S12" i="6"/>
  <c r="S108" i="6"/>
  <c r="S92" i="6"/>
  <c r="S61" i="6"/>
  <c r="S16" i="6"/>
  <c r="S48" i="6"/>
  <c r="S39" i="6"/>
  <c r="S32" i="6"/>
  <c r="S13" i="6"/>
  <c r="S81" i="6"/>
  <c r="S85" i="6"/>
  <c r="S82" i="6"/>
  <c r="S75" i="6"/>
  <c r="S103" i="6"/>
  <c r="S76" i="6"/>
  <c r="S97" i="6"/>
  <c r="S89" i="6"/>
  <c r="S90" i="6"/>
  <c r="S25" i="6"/>
  <c r="S24" i="6"/>
  <c r="S15" i="6"/>
  <c r="S14" i="6"/>
  <c r="S91" i="6"/>
  <c r="S37" i="6"/>
  <c r="S17" i="6"/>
  <c r="S11" i="6"/>
  <c r="S9" i="6"/>
  <c r="S31" i="6"/>
  <c r="S56" i="6"/>
  <c r="S51" i="6"/>
  <c r="S6" i="6"/>
  <c r="S8" i="6"/>
  <c r="S57" i="6"/>
  <c r="S43" i="6"/>
  <c r="S74" i="6"/>
  <c r="S68" i="6"/>
  <c r="S52" i="6"/>
  <c r="S60" i="6"/>
  <c r="S29" i="6"/>
  <c r="S49" i="6"/>
  <c r="S22" i="6"/>
  <c r="S67" i="6"/>
  <c r="S20" i="6"/>
  <c r="S4" i="6"/>
  <c r="N46" i="6"/>
  <c r="N10" i="6"/>
  <c r="N18" i="6"/>
  <c r="N60" i="6"/>
  <c r="O83" i="6"/>
  <c r="O76" i="6"/>
  <c r="O72" i="6"/>
  <c r="O25" i="6"/>
  <c r="O17" i="6"/>
  <c r="O49" i="6"/>
  <c r="O29" i="6"/>
  <c r="O66" i="6"/>
  <c r="O55" i="6"/>
  <c r="O97" i="6"/>
  <c r="O90" i="6"/>
  <c r="O73" i="6"/>
  <c r="O26" i="6"/>
  <c r="O15" i="6"/>
  <c r="O109" i="6"/>
  <c r="O94" i="6"/>
  <c r="O86" i="6"/>
  <c r="O85" i="6"/>
  <c r="O79" i="6"/>
  <c r="O57" i="6"/>
  <c r="O46" i="6"/>
  <c r="O35" i="6"/>
  <c r="O68" i="6"/>
  <c r="O108" i="6"/>
  <c r="O105" i="6"/>
  <c r="O104" i="6"/>
  <c r="O70" i="6"/>
  <c r="O22" i="6"/>
  <c r="O8" i="6"/>
  <c r="O63" i="6"/>
  <c r="O14" i="6"/>
  <c r="O5" i="6"/>
  <c r="O12" i="6"/>
  <c r="O56" i="6"/>
  <c r="O34" i="6"/>
  <c r="O59" i="6"/>
  <c r="O40" i="6"/>
  <c r="O27" i="6"/>
  <c r="N99" i="6"/>
  <c r="O69" i="6"/>
  <c r="N9" i="6" l="1"/>
  <c r="N56" i="6"/>
  <c r="N38" i="6"/>
  <c r="N45" i="6"/>
  <c r="O74" i="6"/>
  <c r="O60" i="6"/>
  <c r="O28" i="6"/>
  <c r="O89" i="6"/>
  <c r="O91" i="6"/>
  <c r="N12" i="6"/>
  <c r="N23" i="6"/>
  <c r="N63" i="6"/>
  <c r="N105" i="6"/>
  <c r="N76" i="6"/>
  <c r="N88" i="6"/>
  <c r="N11" i="6"/>
  <c r="N82" i="6"/>
  <c r="N61" i="6"/>
  <c r="N43" i="6"/>
  <c r="N81" i="6"/>
  <c r="N53" i="6"/>
  <c r="N110" i="6"/>
  <c r="O7" i="6"/>
  <c r="O18" i="6"/>
  <c r="O36" i="6"/>
  <c r="O41" i="6"/>
  <c r="O58" i="6"/>
  <c r="O99" i="6"/>
  <c r="O23" i="6"/>
  <c r="O9" i="6"/>
  <c r="O82" i="6"/>
  <c r="O65" i="6"/>
  <c r="O39" i="6"/>
  <c r="O93" i="6"/>
  <c r="O106" i="6"/>
  <c r="N19" i="6"/>
  <c r="N26" i="6"/>
  <c r="N27" i="6"/>
  <c r="N24" i="6"/>
  <c r="N79" i="6"/>
  <c r="N92" i="6"/>
  <c r="N21" i="6"/>
  <c r="N91" i="6"/>
  <c r="N67" i="6"/>
  <c r="N50" i="6"/>
  <c r="N85" i="6"/>
  <c r="N57" i="6"/>
  <c r="O19" i="6"/>
  <c r="O6" i="6"/>
  <c r="O53" i="6"/>
  <c r="O45" i="6"/>
  <c r="O67" i="6"/>
  <c r="O100" i="6"/>
  <c r="O4" i="6"/>
  <c r="O11" i="6"/>
  <c r="O95" i="6"/>
  <c r="O71" i="6"/>
  <c r="O43" i="6"/>
  <c r="O32" i="6"/>
  <c r="N65" i="6"/>
  <c r="N5" i="6"/>
  <c r="N22" i="6"/>
  <c r="N41" i="6"/>
  <c r="N84" i="6"/>
  <c r="N93" i="6"/>
  <c r="N25" i="6"/>
  <c r="N7" i="6"/>
  <c r="N75" i="6"/>
  <c r="N73" i="6"/>
  <c r="N104" i="6"/>
  <c r="N64" i="6"/>
  <c r="N87" i="6"/>
  <c r="N106" i="6"/>
  <c r="N74" i="6"/>
  <c r="N68" i="6"/>
  <c r="N109" i="6"/>
  <c r="Q93" i="6"/>
  <c r="Q85" i="6"/>
  <c r="Q71" i="6"/>
  <c r="Q63" i="6"/>
  <c r="Q52" i="6"/>
  <c r="Q34" i="6"/>
  <c r="Q106" i="6"/>
  <c r="Q103" i="6"/>
  <c r="Q100" i="6"/>
  <c r="Q92" i="6"/>
  <c r="Q80" i="6"/>
  <c r="Q75" i="6"/>
  <c r="Q60" i="6"/>
  <c r="Q46" i="6"/>
  <c r="Q31" i="6"/>
  <c r="Q27" i="6"/>
  <c r="Q19" i="6"/>
  <c r="Q105" i="6"/>
  <c r="Q88" i="6"/>
  <c r="Q87" i="6"/>
  <c r="Q78" i="6"/>
  <c r="Q70" i="6"/>
  <c r="Q40" i="6"/>
  <c r="Q28" i="6"/>
  <c r="Q10" i="6"/>
  <c r="Q97" i="6"/>
  <c r="Q81" i="6"/>
  <c r="Q49" i="6"/>
  <c r="Q43" i="6"/>
  <c r="Q24" i="6"/>
  <c r="Q20" i="6"/>
  <c r="Q96" i="6"/>
  <c r="Q95" i="6"/>
  <c r="Q89" i="6"/>
  <c r="Q79" i="6"/>
  <c r="Q48" i="6"/>
  <c r="Q42" i="6"/>
  <c r="Q41" i="6"/>
  <c r="Q37" i="6"/>
  <c r="Q29" i="6"/>
  <c r="Q15" i="6"/>
  <c r="Q8" i="6"/>
  <c r="Q6" i="6"/>
  <c r="Q94" i="6"/>
  <c r="Q18" i="6"/>
  <c r="Q91" i="6"/>
  <c r="Q86" i="6"/>
  <c r="Q82" i="6"/>
  <c r="Q77" i="6"/>
  <c r="Q76" i="6"/>
  <c r="Q74" i="6"/>
  <c r="Q68" i="6"/>
  <c r="Q67" i="6"/>
  <c r="Q107" i="6"/>
  <c r="Q104" i="6"/>
  <c r="Q69" i="6"/>
  <c r="Q54" i="6"/>
  <c r="Q53" i="6"/>
  <c r="Q51" i="6"/>
  <c r="Q36" i="6"/>
  <c r="Q26" i="6"/>
  <c r="Q22" i="6"/>
  <c r="Q21" i="6"/>
  <c r="Q90" i="6"/>
  <c r="Q47" i="6"/>
  <c r="Q30" i="6"/>
  <c r="Q25" i="6"/>
  <c r="Q14" i="6"/>
  <c r="Q5" i="6"/>
  <c r="Q32" i="6"/>
  <c r="Q4" i="6"/>
  <c r="Q12" i="6"/>
  <c r="Q39" i="6"/>
  <c r="Q58" i="6"/>
  <c r="Q57" i="6"/>
  <c r="Q66" i="6"/>
  <c r="Q35" i="6"/>
  <c r="Q9" i="6"/>
  <c r="Q61" i="6"/>
  <c r="Q7" i="6"/>
  <c r="O33" i="6"/>
  <c r="O10" i="6"/>
  <c r="O54" i="6"/>
  <c r="O52" i="6"/>
  <c r="O75" i="6"/>
  <c r="O103" i="6"/>
  <c r="O16" i="6"/>
  <c r="O21" i="6"/>
  <c r="O13" i="6"/>
  <c r="O80" i="6"/>
  <c r="O47" i="6"/>
  <c r="O37" i="6"/>
  <c r="N15" i="6"/>
  <c r="N33" i="6"/>
  <c r="N28" i="6"/>
  <c r="N37" i="6"/>
  <c r="N52" i="6"/>
  <c r="N100" i="6"/>
  <c r="N36" i="6"/>
  <c r="N31" i="6"/>
  <c r="N14" i="6"/>
  <c r="N83" i="6"/>
  <c r="N90" i="6"/>
  <c r="N108" i="6"/>
  <c r="N72" i="6"/>
  <c r="O88" i="6"/>
  <c r="O30" i="6"/>
  <c r="O31" i="6"/>
  <c r="O20" i="6"/>
  <c r="O81" i="6"/>
  <c r="O51" i="6"/>
  <c r="O42" i="6"/>
  <c r="N42" i="6"/>
  <c r="N34" i="6"/>
  <c r="N62" i="6"/>
  <c r="N54" i="6"/>
  <c r="N69" i="6"/>
  <c r="N29" i="6"/>
  <c r="N47" i="6"/>
  <c r="N44" i="6"/>
  <c r="N17" i="6"/>
  <c r="N89" i="6"/>
  <c r="N97" i="6"/>
  <c r="N103" i="6"/>
  <c r="N86" i="6"/>
  <c r="O62" i="6"/>
  <c r="O48" i="6"/>
  <c r="O61" i="6"/>
  <c r="O87" i="6"/>
  <c r="O107" i="6"/>
  <c r="O84" i="6"/>
  <c r="O92" i="6"/>
  <c r="O38" i="6"/>
  <c r="O44" i="6"/>
  <c r="O24" i="6"/>
  <c r="O96" i="6"/>
  <c r="O64" i="6"/>
  <c r="O50" i="6"/>
  <c r="N49" i="6"/>
  <c r="N39" i="6"/>
  <c r="N6" i="6"/>
  <c r="N70" i="6"/>
  <c r="N71" i="6"/>
  <c r="N40" i="6"/>
  <c r="N96" i="6"/>
  <c r="N55" i="6"/>
  <c r="N32" i="6"/>
  <c r="N16" i="6"/>
  <c r="N20" i="6"/>
  <c r="N107" i="6"/>
  <c r="N94" i="6"/>
  <c r="R105" i="6"/>
  <c r="R90" i="6"/>
  <c r="R82" i="6"/>
  <c r="R76" i="6"/>
  <c r="R68" i="6"/>
  <c r="R49" i="6"/>
  <c r="R41" i="6"/>
  <c r="R31" i="6"/>
  <c r="R88" i="6"/>
  <c r="R79" i="6"/>
  <c r="R56" i="6"/>
  <c r="R54" i="6"/>
  <c r="R42" i="6"/>
  <c r="R35" i="6"/>
  <c r="R24" i="6"/>
  <c r="R16" i="6"/>
  <c r="R100" i="6"/>
  <c r="R94" i="6"/>
  <c r="R86" i="6"/>
  <c r="R63" i="6"/>
  <c r="R36" i="6"/>
  <c r="R27" i="6"/>
  <c r="R18" i="6"/>
  <c r="R12" i="6"/>
  <c r="R109" i="6"/>
  <c r="R96" i="6"/>
  <c r="R95" i="6"/>
  <c r="R89" i="6"/>
  <c r="R60" i="6"/>
  <c r="R48" i="6"/>
  <c r="R37" i="6"/>
  <c r="R29" i="6"/>
  <c r="R8" i="6"/>
  <c r="R6" i="6"/>
  <c r="R87" i="6"/>
  <c r="R80" i="6"/>
  <c r="R71" i="6"/>
  <c r="R40" i="6"/>
  <c r="R28" i="6"/>
  <c r="R19" i="6"/>
  <c r="R10" i="6"/>
  <c r="R106" i="6"/>
  <c r="R104" i="6"/>
  <c r="R73" i="6"/>
  <c r="R81" i="6"/>
  <c r="R85" i="6"/>
  <c r="R83" i="6"/>
  <c r="R75" i="6"/>
  <c r="R74" i="6"/>
  <c r="R103" i="6"/>
  <c r="R69" i="6"/>
  <c r="R97" i="6"/>
  <c r="R26" i="6"/>
  <c r="R22" i="6"/>
  <c r="R21" i="6"/>
  <c r="R20" i="6"/>
  <c r="R108" i="6"/>
  <c r="R47" i="6"/>
  <c r="R30" i="6"/>
  <c r="R92" i="6"/>
  <c r="R25" i="6"/>
  <c r="R14" i="6"/>
  <c r="R93" i="6"/>
  <c r="R91" i="6"/>
  <c r="R34" i="6"/>
  <c r="R11" i="6"/>
  <c r="R13" i="6"/>
  <c r="R67" i="6"/>
  <c r="R32" i="6"/>
  <c r="R4" i="6"/>
  <c r="R46" i="6"/>
  <c r="R39" i="6"/>
  <c r="R58" i="6"/>
  <c r="R57" i="6"/>
  <c r="R43" i="6"/>
  <c r="R52" i="6"/>
  <c r="R66" i="6"/>
  <c r="R9" i="6"/>
  <c r="R61" i="6"/>
  <c r="R53" i="6"/>
  <c r="R5" i="6"/>
  <c r="R51" i="6"/>
  <c r="N13" i="6"/>
  <c r="N48" i="6"/>
  <c r="N8" i="6"/>
  <c r="N80" i="6"/>
  <c r="N95" i="6"/>
  <c r="N59" i="6"/>
  <c r="N4" i="6"/>
  <c r="N66" i="6"/>
  <c r="N51" i="6"/>
  <c r="N30" i="6"/>
  <c r="N58" i="6"/>
  <c r="N35" i="6"/>
  <c r="P105" i="6" l="1"/>
  <c r="P93" i="6"/>
  <c r="P106" i="6"/>
  <c r="P99" i="6"/>
  <c r="P94" i="6"/>
  <c r="P86" i="6"/>
  <c r="P85" i="6"/>
  <c r="P54" i="6"/>
  <c r="P92" i="6"/>
  <c r="P28" i="6"/>
  <c r="P18" i="6"/>
  <c r="P5" i="6"/>
  <c r="P46" i="6"/>
  <c r="P34" i="6"/>
  <c r="P12" i="6"/>
  <c r="P7" i="6"/>
  <c r="P58" i="6"/>
  <c r="P40" i="6"/>
  <c r="P35" i="6"/>
  <c r="P14" i="6"/>
  <c r="P20" i="6"/>
  <c r="P70" i="6"/>
  <c r="P74" i="6"/>
  <c r="P61" i="6"/>
  <c r="P60" i="6"/>
  <c r="P57" i="6"/>
  <c r="P95" i="6"/>
  <c r="P21" i="6"/>
  <c r="P25" i="6"/>
  <c r="P76" i="6"/>
  <c r="P88" i="6"/>
  <c r="P63" i="6"/>
  <c r="P80" i="6"/>
  <c r="P103" i="6"/>
  <c r="P31" i="6"/>
  <c r="P81" i="6"/>
  <c r="P42" i="6"/>
  <c r="P79" i="6"/>
  <c r="P67" i="6"/>
  <c r="P82" i="6"/>
  <c r="P104" i="6"/>
  <c r="P107" i="6"/>
  <c r="P24" i="6"/>
  <c r="P89" i="6"/>
  <c r="P29" i="6"/>
  <c r="P8" i="6"/>
  <c r="P26" i="6"/>
  <c r="P49" i="6"/>
  <c r="P51" i="6"/>
  <c r="P39" i="6"/>
  <c r="P43" i="6"/>
  <c r="P32" i="6"/>
  <c r="P37" i="6"/>
  <c r="P71" i="6"/>
  <c r="P48" i="6"/>
  <c r="P96" i="6"/>
  <c r="P97" i="6"/>
  <c r="P47" i="6"/>
  <c r="P15" i="6"/>
  <c r="P52" i="6"/>
  <c r="P68" i="6"/>
  <c r="P4" i="6"/>
  <c r="P27" i="6"/>
  <c r="P87" i="6"/>
  <c r="P91" i="6"/>
  <c r="P30" i="6"/>
  <c r="P36" i="6"/>
  <c r="P90" i="6"/>
  <c r="P6" i="6"/>
  <c r="P22" i="6"/>
  <c r="P53" i="6"/>
  <c r="P19" i="6"/>
  <c r="P9" i="6"/>
  <c r="P69" i="6"/>
  <c r="P66" i="6"/>
  <c r="P100" i="6"/>
  <c r="P41" i="6"/>
  <c r="P75" i="6"/>
  <c r="P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Davide Foffa</author>
  </authors>
  <commentList>
    <comment ref="C3" authorId="0" shapeId="0" xr:uid="{00000000-0006-0000-0000-000001000000}">
      <text>
        <r>
          <rPr>
            <b/>
            <sz val="9"/>
            <color indexed="81"/>
            <rFont val="Tahoma"/>
            <family val="2"/>
          </rPr>
          <t>CH, apicobasal length</t>
        </r>
        <r>
          <rPr>
            <sz val="9"/>
            <color indexed="81"/>
            <rFont val="Tahoma"/>
            <family val="2"/>
          </rPr>
          <t xml:space="preserve">
</t>
        </r>
      </text>
    </comment>
    <comment ref="G3" authorId="0" shapeId="0" xr:uid="{00000000-0006-0000-0000-000002000000}">
      <text>
        <r>
          <rPr>
            <b/>
            <sz val="9"/>
            <color indexed="81"/>
            <rFont val="Tahoma"/>
            <family val="2"/>
          </rPr>
          <t xml:space="preserve">CH/CBL
</t>
        </r>
      </text>
    </comment>
    <comment ref="H3" authorId="0" shapeId="0" xr:uid="{00000000-0006-0000-0000-000003000000}">
      <text>
        <r>
          <rPr>
            <b/>
            <sz val="9"/>
            <color indexed="81"/>
            <rFont val="Tahoma"/>
            <family val="2"/>
          </rPr>
          <t xml:space="preserve">CH/CBLavg
</t>
        </r>
        <r>
          <rPr>
            <sz val="9"/>
            <color indexed="81"/>
            <rFont val="Tahoma"/>
            <family val="2"/>
          </rPr>
          <t xml:space="preserve">
</t>
        </r>
      </text>
    </comment>
    <comment ref="I3" authorId="0" shapeId="0" xr:uid="{00000000-0006-0000-0000-000004000000}">
      <text>
        <r>
          <rPr>
            <b/>
            <sz val="9"/>
            <color indexed="81"/>
            <rFont val="Tahoma"/>
            <family val="2"/>
          </rPr>
          <t xml:space="preserve">
</t>
        </r>
        <r>
          <rPr>
            <sz val="9"/>
            <color indexed="81"/>
            <rFont val="Tahoma"/>
            <family val="2"/>
          </rPr>
          <t xml:space="preserve">
</t>
        </r>
      </text>
    </comment>
    <comment ref="K3" authorId="0" shapeId="0" xr:uid="{00000000-0006-0000-0000-000005000000}">
      <text>
        <r>
          <rPr>
            <b/>
            <sz val="9"/>
            <color indexed="81"/>
            <rFont val="Tahoma"/>
            <family val="2"/>
          </rPr>
          <t xml:space="preserve">Labial lingual curvature
</t>
        </r>
        <r>
          <rPr>
            <sz val="9"/>
            <color indexed="81"/>
            <rFont val="Tahoma"/>
            <family val="2"/>
          </rPr>
          <t xml:space="preserve">
</t>
        </r>
      </text>
    </comment>
    <comment ref="L3" authorId="0" shapeId="0" xr:uid="{00000000-0006-0000-0000-000006000000}">
      <text>
        <r>
          <rPr>
            <b/>
            <sz val="9"/>
            <color indexed="81"/>
            <rFont val="Tahoma"/>
            <family val="2"/>
          </rPr>
          <t xml:space="preserve">8. # Crown angle, CA = angle BAG. Smith et al 2005, 2007. It is a measure of labial-lingual displacement of the tip from where it would be in a regular cone. 
Degrees
</t>
        </r>
      </text>
    </comment>
    <comment ref="M3" authorId="0" shapeId="0" xr:uid="{00000000-0006-0000-0000-000007000000}">
      <text>
        <r>
          <rPr>
            <b/>
            <sz val="9"/>
            <color indexed="81"/>
            <rFont val="Tahoma"/>
            <family val="2"/>
          </rPr>
          <t>8. # Crown angle, CA = angle BAG. Smith et al 2005, 2007. It is a measure of labial-lingual displacement of the tip from where it would be in a regular cone. 
RAD
Degrees</t>
        </r>
      </text>
    </comment>
    <comment ref="T3" authorId="0" shapeId="0" xr:uid="{00000000-0006-0000-0000-000008000000}">
      <text>
        <r>
          <rPr>
            <b/>
            <sz val="9"/>
            <color indexed="81"/>
            <rFont val="Tahoma"/>
            <family val="2"/>
          </rPr>
          <t>Tooth mediolateral compression (Young et al. C184):
0. Absent
1. Weak to moderate compression
2. Strong compression
State (1-&gt;0) is an apomorphy of ‘Steneosaurus’ obtusidens and Machimosaurus [124]
Largest tooth crown, base length/ base width:</t>
        </r>
        <r>
          <rPr>
            <sz val="9"/>
            <color indexed="81"/>
            <rFont val="Tahoma"/>
            <family val="2"/>
          </rPr>
          <t xml:space="preserve">
</t>
        </r>
      </text>
    </comment>
    <comment ref="U3" authorId="0" shapeId="0" xr:uid="{00000000-0006-0000-0000-000009000000}">
      <text>
        <r>
          <rPr>
            <b/>
            <sz val="9"/>
            <color indexed="81"/>
            <rFont val="Tahoma"/>
            <family val="2"/>
          </rPr>
          <t xml:space="preserve">Carinae/cutting edge: 
0. absent
1. present
</t>
        </r>
      </text>
    </comment>
    <comment ref="V3" authorId="0" shapeId="0" xr:uid="{00000000-0006-0000-0000-00000A000000}">
      <text>
        <r>
          <rPr>
            <b/>
            <sz val="9"/>
            <color indexed="81"/>
            <rFont val="Tahoma"/>
            <family val="2"/>
          </rPr>
          <t>Denticle presence and dimension: 
0. no denticles
1. incipient microzyphodonty (&lt;200µm)
2. Microziphodonty
3. Macrozyphodonty</t>
        </r>
        <r>
          <rPr>
            <sz val="9"/>
            <color indexed="81"/>
            <rFont val="Tahoma"/>
            <family val="2"/>
          </rPr>
          <t xml:space="preserve">
</t>
        </r>
      </text>
    </comment>
    <comment ref="W3" authorId="0" shapeId="0" xr:uid="{00000000-0006-0000-0000-00000B000000}">
      <text>
        <r>
          <rPr>
            <b/>
            <sz val="9"/>
            <color indexed="81"/>
            <rFont val="Tahoma"/>
            <family val="2"/>
          </rPr>
          <t xml:space="preserve">Functionally serrated edge:
0. No
1. Yes
</t>
        </r>
        <r>
          <rPr>
            <sz val="9"/>
            <color indexed="81"/>
            <rFont val="Tahoma"/>
            <family val="2"/>
          </rPr>
          <t xml:space="preserve">
</t>
        </r>
      </text>
    </comment>
    <comment ref="X3" authorId="0" shapeId="0" xr:uid="{00000000-0006-0000-0000-00000C000000}">
      <text>
        <r>
          <rPr>
            <b/>
            <sz val="9"/>
            <color indexed="81"/>
            <rFont val="Tahoma"/>
            <family val="2"/>
          </rPr>
          <t>Denticle distribution:
0. non-contiguous
1. contiguous</t>
        </r>
        <r>
          <rPr>
            <sz val="9"/>
            <color indexed="81"/>
            <rFont val="Tahoma"/>
            <family val="2"/>
          </rPr>
          <t xml:space="preserve">
</t>
        </r>
      </text>
    </comment>
    <comment ref="Y3" authorId="0" shapeId="0" xr:uid="{00000000-0006-0000-0000-00000D000000}">
      <text>
        <r>
          <rPr>
            <b/>
            <sz val="9"/>
            <color indexed="81"/>
            <rFont val="Tahoma"/>
            <family val="2"/>
          </rPr>
          <t>Denticle-like structures (pseudodenticles or undulating ridges)
0. absent
1. present</t>
        </r>
      </text>
    </comment>
    <comment ref="Z3" authorId="0" shapeId="0" xr:uid="{00000000-0006-0000-0000-00000E000000}">
      <text>
        <r>
          <rPr>
            <b/>
            <sz val="9"/>
            <color indexed="81"/>
            <rFont val="Tahoma"/>
            <family val="2"/>
          </rPr>
          <t xml:space="preserve">Morphology of enamel surface ornamentation, macroscopic anastomosed pattern created by enamel ridges:
0. absent
1. present and strongly developed, but only in the apical region of the crown
</t>
        </r>
        <r>
          <rPr>
            <sz val="9"/>
            <color indexed="81"/>
            <rFont val="Tahoma"/>
            <family val="2"/>
          </rPr>
          <t xml:space="preserve">
</t>
        </r>
      </text>
    </comment>
    <comment ref="AA3" authorId="0" shapeId="0" xr:uid="{00000000-0006-0000-0000-00000F000000}">
      <text>
        <r>
          <rPr>
            <b/>
            <sz val="9"/>
            <color indexed="81"/>
            <rFont val="Tahoma"/>
            <family val="2"/>
          </rPr>
          <t xml:space="preserve">Ornamentation lingual side 
0. enamel ornamentation absent macroscopically, although under SEM microscopic ripples may be present
1. enamel ornamentation largely absent, with on the basal half of the crown short, well-spaced, well-defined apicobasally aligned ridges
2. composed of numerous apicobally aligned ridges 
3. composed of numerous well-defined apicobasally aligned ridges, conspicuous and set close to each other
</t>
        </r>
        <r>
          <rPr>
            <sz val="9"/>
            <color indexed="81"/>
            <rFont val="Tahoma"/>
            <family val="2"/>
          </rPr>
          <t xml:space="preserve">
</t>
        </r>
      </text>
    </comment>
    <comment ref="AB3" authorId="0" shapeId="0" xr:uid="{00000000-0006-0000-0000-000010000000}">
      <text>
        <r>
          <rPr>
            <b/>
            <sz val="9"/>
            <color indexed="81"/>
            <rFont val="Tahoma"/>
            <family val="2"/>
          </rPr>
          <t xml:space="preserve">Ornamentation labial side 
0. enamel ornamentation absent macroscopically, although under SEM microscopic ripples may be present
1. enamel ornamentation largely absent, with on the basal half of the crown short, well-spaced, well-defined apicobasally aligned ridges
2. composed of numerous apicobally aligned ridges 
3. composed of numerous well-defined apicobasally aligned ridges, conspicuous and set close to each other
</t>
        </r>
      </text>
    </comment>
    <comment ref="AC3" authorId="0" shapeId="0" xr:uid="{00000000-0006-0000-0000-000011000000}">
      <text>
        <r>
          <rPr>
            <b/>
            <sz val="9"/>
            <color indexed="81"/>
            <rFont val="Tahoma"/>
            <family val="2"/>
          </rPr>
          <t>Enamel ridges: 
0. absent 
1. low relief
2 .high relief &lt;1mm
[3. very high &gt;1mm]</t>
        </r>
        <r>
          <rPr>
            <sz val="9"/>
            <color indexed="81"/>
            <rFont val="Tahoma"/>
            <family val="2"/>
          </rPr>
          <t xml:space="preserve">
</t>
        </r>
      </text>
    </comment>
    <comment ref="AD3" authorId="0" shapeId="0" xr:uid="{00000000-0006-0000-0000-000012000000}">
      <text>
        <r>
          <rPr>
            <b/>
            <sz val="9"/>
            <color indexed="81"/>
            <rFont val="Tahoma"/>
            <family val="2"/>
          </rPr>
          <t>Ornamentation interfering with the carinae or cutting edges – false denticles: 
0. absent
1. present</t>
        </r>
        <r>
          <rPr>
            <sz val="9"/>
            <color indexed="81"/>
            <rFont val="Tahoma"/>
            <family val="2"/>
          </rPr>
          <t xml:space="preserve">
</t>
        </r>
      </text>
    </comment>
    <comment ref="AE3" authorId="0" shapeId="0" xr:uid="{00000000-0006-0000-0000-000013000000}">
      <text>
        <r>
          <rPr>
            <b/>
            <sz val="9"/>
            <color indexed="81"/>
            <rFont val="Tahoma"/>
            <family val="2"/>
          </rPr>
          <t xml:space="preserve">Trihedral cross-section:
0. No
1. Subtrihedral
2. Yes
</t>
        </r>
        <r>
          <rPr>
            <sz val="9"/>
            <color indexed="81"/>
            <rFont val="Tahoma"/>
            <family val="2"/>
          </rPr>
          <t xml:space="preserve">
</t>
        </r>
      </text>
    </comment>
    <comment ref="AF3" authorId="0" shapeId="0" xr:uid="{00000000-0006-0000-0000-000014000000}">
      <text>
        <r>
          <rPr>
            <b/>
            <sz val="9"/>
            <color indexed="81"/>
            <rFont val="Tahoma"/>
            <family val="2"/>
          </rPr>
          <t xml:space="preserve">Trifaceted labial side
</t>
        </r>
        <r>
          <rPr>
            <sz val="9"/>
            <color indexed="81"/>
            <rFont val="Tahoma"/>
            <family val="2"/>
          </rPr>
          <t xml:space="preserve">
</t>
        </r>
      </text>
    </comment>
    <comment ref="AG3" authorId="0" shapeId="0" xr:uid="{00000000-0006-0000-0000-000015000000}">
      <text>
        <r>
          <rPr>
            <b/>
            <sz val="9"/>
            <color indexed="81"/>
            <rFont val="Tahoma"/>
            <family val="2"/>
          </rPr>
          <t xml:space="preserve">Enamel texture:
0. Smooth
1. 'Vermiculated'/pebbled
</t>
        </r>
        <r>
          <rPr>
            <sz val="9"/>
            <color indexed="81"/>
            <rFont val="Tahoma"/>
            <family val="2"/>
          </rPr>
          <t xml:space="preserve">
</t>
        </r>
      </text>
    </comment>
    <comment ref="AH3" authorId="0" shapeId="0" xr:uid="{00000000-0006-0000-0000-000016000000}">
      <text>
        <r>
          <rPr>
            <b/>
            <sz val="9"/>
            <color indexed="81"/>
            <rFont val="Tahoma"/>
            <family val="2"/>
          </rPr>
          <t>Tooth crown tip – anterior crowns (Young et al. C189):
0. Sharpen or worn apex
1. Blunt and rounded at the tips
State (0-&gt;1) is an apomorphy of ‘Steneosaurus’ obtusidens and Machimosaurus [124]
State (0-&gt;1) in Torvoneustes clade [157]</t>
        </r>
        <r>
          <rPr>
            <sz val="9"/>
            <color indexed="81"/>
            <rFont val="Tahoma"/>
            <family val="2"/>
          </rPr>
          <t xml:space="preserve">
</t>
        </r>
      </text>
    </comment>
    <comment ref="C6" authorId="0" shapeId="0" xr:uid="{00000000-0006-0000-0000-000017000000}">
      <text>
        <r>
          <rPr>
            <b/>
            <sz val="9"/>
            <color indexed="81"/>
            <rFont val="Tahoma"/>
            <family val="2"/>
          </rPr>
          <t>estimate
70 measured</t>
        </r>
      </text>
    </comment>
    <comment ref="D6" authorId="0" shapeId="0" xr:uid="{00000000-0006-0000-0000-000018000000}">
      <text>
        <r>
          <rPr>
            <b/>
            <sz val="9"/>
            <color indexed="81"/>
            <rFont val="Tahoma"/>
            <family val="2"/>
          </rPr>
          <t xml:space="preserve">estimate
</t>
        </r>
      </text>
    </comment>
    <comment ref="C26" authorId="0" shapeId="0" xr:uid="{00000000-0006-0000-0000-000019000000}">
      <text>
        <r>
          <rPr>
            <b/>
            <sz val="9"/>
            <color indexed="81"/>
            <rFont val="Tahoma"/>
            <family val="2"/>
          </rPr>
          <t xml:space="preserve">estimate
35 measured
</t>
        </r>
        <r>
          <rPr>
            <sz val="9"/>
            <color indexed="81"/>
            <rFont val="Tahoma"/>
            <family val="2"/>
          </rPr>
          <t xml:space="preserve">
</t>
        </r>
      </text>
    </comment>
    <comment ref="B29" authorId="0" shapeId="0" xr:uid="{00000000-0006-0000-0000-00001A000000}">
      <text>
        <r>
          <rPr>
            <b/>
            <sz val="9"/>
            <color indexed="81"/>
            <rFont val="Tahoma"/>
            <family val="2"/>
          </rPr>
          <t>not trihedral, blunt apex</t>
        </r>
      </text>
    </comment>
    <comment ref="B30" authorId="0" shapeId="0" xr:uid="{00000000-0006-0000-0000-00001B000000}">
      <text>
        <r>
          <rPr>
            <b/>
            <sz val="9"/>
            <color indexed="81"/>
            <rFont val="Tahoma"/>
            <family val="2"/>
          </rPr>
          <t>not trihedral, 6 ridges reach the apex</t>
        </r>
      </text>
    </comment>
    <comment ref="B32" authorId="0" shapeId="0" xr:uid="{00000000-0006-0000-0000-00001C000000}">
      <text>
        <r>
          <rPr>
            <b/>
            <sz val="9"/>
            <color indexed="81"/>
            <rFont val="Tahoma"/>
            <family val="2"/>
          </rPr>
          <t>Not trihedral, 6 ridges reach the apex, ornamentation on the labial side</t>
        </r>
      </text>
    </comment>
    <comment ref="B33" authorId="0" shapeId="0" xr:uid="{00000000-0006-0000-0000-00001D000000}">
      <text>
        <r>
          <rPr>
            <b/>
            <sz val="9"/>
            <color indexed="81"/>
            <rFont val="Tahoma"/>
            <family val="2"/>
          </rPr>
          <t xml:space="preserve">posterior
</t>
        </r>
      </text>
    </comment>
    <comment ref="C37" authorId="0" shapeId="0" xr:uid="{00000000-0006-0000-0000-00001E000000}">
      <text>
        <r>
          <rPr>
            <b/>
            <sz val="9"/>
            <color indexed="81"/>
            <rFont val="Tahoma"/>
            <family val="2"/>
          </rPr>
          <t xml:space="preserve">estimate
23 up to a break
</t>
        </r>
      </text>
    </comment>
    <comment ref="A45" authorId="0" shapeId="0" xr:uid="{00000000-0006-0000-0000-00001F000000}">
      <text>
        <r>
          <rPr>
            <b/>
            <sz val="9"/>
            <color indexed="81"/>
            <rFont val="Tahoma"/>
            <family val="2"/>
          </rPr>
          <t>Compare to CAMSM J30920 - Identical</t>
        </r>
      </text>
    </comment>
    <comment ref="C46" authorId="0" shapeId="0" xr:uid="{00000000-0006-0000-0000-000020000000}">
      <text>
        <r>
          <rPr>
            <b/>
            <sz val="9"/>
            <color indexed="81"/>
            <rFont val="Tahoma"/>
            <family val="2"/>
          </rPr>
          <t>missing tip</t>
        </r>
      </text>
    </comment>
    <comment ref="B54" authorId="0" shapeId="0" xr:uid="{00000000-0006-0000-0000-000021000000}">
      <text>
        <r>
          <rPr>
            <b/>
            <sz val="9"/>
            <color indexed="81"/>
            <rFont val="Tahoma"/>
            <family val="2"/>
          </rPr>
          <t xml:space="preserve">same as NHMUK 47971 - II
</t>
        </r>
      </text>
    </comment>
    <comment ref="C75" authorId="0" shapeId="0" xr:uid="{00000000-0006-0000-0000-000022000000}">
      <text>
        <r>
          <rPr>
            <b/>
            <sz val="9"/>
            <color indexed="81"/>
            <rFont val="Tahoma"/>
            <family val="2"/>
          </rPr>
          <t>incomplete</t>
        </r>
      </text>
    </comment>
    <comment ref="B80" authorId="0" shapeId="0" xr:uid="{00000000-0006-0000-0000-000023000000}">
      <text>
        <r>
          <rPr>
            <b/>
            <sz val="9"/>
            <color indexed="81"/>
            <rFont val="Tahoma"/>
            <family val="2"/>
          </rPr>
          <t xml:space="preserve">St. Ives
</t>
        </r>
        <r>
          <rPr>
            <sz val="9"/>
            <color indexed="81"/>
            <rFont val="Tahoma"/>
            <family val="2"/>
          </rPr>
          <t xml:space="preserve">
</t>
        </r>
      </text>
    </comment>
    <comment ref="B90" authorId="0" shapeId="0" xr:uid="{00000000-0006-0000-0000-000024000000}">
      <text>
        <r>
          <rPr>
            <b/>
            <sz val="9"/>
            <color indexed="81"/>
            <rFont val="Tahoma"/>
            <family val="2"/>
          </rPr>
          <t>Double check this</t>
        </r>
      </text>
    </comment>
    <comment ref="C91" authorId="0" shapeId="0" xr:uid="{00000000-0006-0000-0000-000025000000}">
      <text>
        <r>
          <rPr>
            <b/>
            <sz val="9"/>
            <color indexed="81"/>
            <rFont val="Tahoma"/>
            <family val="2"/>
          </rPr>
          <t>41.46</t>
        </r>
      </text>
    </comment>
    <comment ref="C92" authorId="0" shapeId="0" xr:uid="{00000000-0006-0000-0000-000026000000}">
      <text>
        <r>
          <rPr>
            <b/>
            <sz val="9"/>
            <color indexed="81"/>
            <rFont val="Tahoma"/>
            <family val="2"/>
          </rPr>
          <t>53.07</t>
        </r>
      </text>
    </comment>
    <comment ref="D105" authorId="0" shapeId="0" xr:uid="{00000000-0006-0000-0000-000027000000}">
      <text>
        <r>
          <rPr>
            <b/>
            <sz val="9"/>
            <color indexed="81"/>
            <rFont val="Tahoma"/>
            <family val="2"/>
          </rPr>
          <t xml:space="preserve">CBW=10*0.66666
</t>
        </r>
      </text>
    </comment>
    <comment ref="C114" authorId="0" shapeId="0" xr:uid="{00000000-0006-0000-0100-00002A000000}">
      <text>
        <r>
          <rPr>
            <b/>
            <sz val="9"/>
            <color indexed="81"/>
            <rFont val="Tahoma"/>
            <family val="2"/>
          </rPr>
          <t xml:space="preserve">*
</t>
        </r>
      </text>
    </comment>
  </commentList>
</comments>
</file>

<file path=xl/sharedStrings.xml><?xml version="1.0" encoding="utf-8"?>
<sst xmlns="http://schemas.openxmlformats.org/spreadsheetml/2006/main" count="282" uniqueCount="214">
  <si>
    <t>OUMNH J40669</t>
  </si>
  <si>
    <t>NHMUK 47044</t>
  </si>
  <si>
    <t>Specimen</t>
  </si>
  <si>
    <t>C2</t>
  </si>
  <si>
    <t>C5</t>
  </si>
  <si>
    <t>C8</t>
  </si>
  <si>
    <t>CBL</t>
  </si>
  <si>
    <t>CBW</t>
  </si>
  <si>
    <t>CBW/CBL</t>
  </si>
  <si>
    <t>Tyrannoneustes lythrodectikos</t>
  </si>
  <si>
    <t>Gracilineustes leedsi</t>
  </si>
  <si>
    <t>GLAHM V1009</t>
  </si>
  <si>
    <t>Metriorhynchus' brachyrhynchus</t>
  </si>
  <si>
    <t>D7</t>
  </si>
  <si>
    <t>D11</t>
  </si>
  <si>
    <t>D14</t>
  </si>
  <si>
    <t>MJML K461</t>
  </si>
  <si>
    <t>D3</t>
  </si>
  <si>
    <t>D5</t>
  </si>
  <si>
    <t>D9</t>
  </si>
  <si>
    <t>Torvoneustes coryphaeus</t>
  </si>
  <si>
    <t>MJML K434</t>
  </si>
  <si>
    <t>Plesiosuchus manselii</t>
  </si>
  <si>
    <t>MJML K2061</t>
  </si>
  <si>
    <t>MJML K839</t>
  </si>
  <si>
    <t>Dakosaurus maximus</t>
  </si>
  <si>
    <t>CAMSM J29448</t>
  </si>
  <si>
    <t>CAMSM J29449</t>
  </si>
  <si>
    <t>Torvoneustes?</t>
  </si>
  <si>
    <t>CAMSM J29425</t>
  </si>
  <si>
    <t>Metriorhynchus superciliosus</t>
  </si>
  <si>
    <t>PETMG R74</t>
  </si>
  <si>
    <t>Blue Peter croc</t>
  </si>
  <si>
    <t>PETMG R248</t>
  </si>
  <si>
    <t>D4</t>
  </si>
  <si>
    <t>D10</t>
  </si>
  <si>
    <t>CAMSM J13309</t>
  </si>
  <si>
    <t>CAMSM J65408</t>
  </si>
  <si>
    <t>Steneosaurus' megarhinus</t>
  </si>
  <si>
    <t>DORCM G05067 i-v</t>
  </si>
  <si>
    <t>Metriorhynchidae indet</t>
  </si>
  <si>
    <t>D13</t>
  </si>
  <si>
    <t>Steneosaurus' obtusidens</t>
  </si>
  <si>
    <t>DORCM G3939</t>
  </si>
  <si>
    <t>D15</t>
  </si>
  <si>
    <t>Torvoneustes carpenteri</t>
  </si>
  <si>
    <t>BRSMG Ce17365</t>
  </si>
  <si>
    <t>BRSMG Cd7203</t>
  </si>
  <si>
    <t>NHMUK R3014</t>
  </si>
  <si>
    <t>Geosaurus giganteus</t>
  </si>
  <si>
    <t>NHMUK PV OR37020</t>
  </si>
  <si>
    <t>NHMUK PV OR40103</t>
  </si>
  <si>
    <t>Suchodus durobrivensis</t>
  </si>
  <si>
    <t>NHMUK R1994</t>
  </si>
  <si>
    <t>Melksham monster</t>
  </si>
  <si>
    <t>NHMUK R1781</t>
  </si>
  <si>
    <t>NHMUK 47990</t>
  </si>
  <si>
    <t>D6</t>
  </si>
  <si>
    <t>YORYM 2016.306</t>
  </si>
  <si>
    <t>YORYM 2016.308</t>
  </si>
  <si>
    <t>YORYM 2016.312</t>
  </si>
  <si>
    <t>Mr Leeds Dakosaur</t>
  </si>
  <si>
    <t>NHMUK PV R3939</t>
  </si>
  <si>
    <t>NHMUK PV R3804</t>
  </si>
  <si>
    <t>NHMUK PV R2039</t>
  </si>
  <si>
    <t>NHMUK R4763 *juvenile</t>
  </si>
  <si>
    <t>CH</t>
  </si>
  <si>
    <t>OUMNH J.1583</t>
  </si>
  <si>
    <t>Passmore's croc</t>
  </si>
  <si>
    <t>MJML J1863</t>
  </si>
  <si>
    <t>CAMSM unnumbered</t>
  </si>
  <si>
    <t>NHMUK 3617</t>
  </si>
  <si>
    <t>MNHN.F 1890-13</t>
  </si>
  <si>
    <t>NHMUK R3806</t>
  </si>
  <si>
    <t>CAMSM J1420</t>
  </si>
  <si>
    <t>PETMG R178</t>
  </si>
  <si>
    <t>NUMUK PV R3168</t>
  </si>
  <si>
    <t>Machimosaurus buffetauti</t>
  </si>
  <si>
    <t>Steneosaurus' edwardsi</t>
  </si>
  <si>
    <t>Steneosaurus' leedsi</t>
  </si>
  <si>
    <t xml:space="preserve">Steneosaurus' herberti </t>
  </si>
  <si>
    <t>NHMUK PV R2618</t>
  </si>
  <si>
    <t>Fr. Spp</t>
  </si>
  <si>
    <t>NHMUK PV OR 46797</t>
  </si>
  <si>
    <t>NHMUK PV R486</t>
  </si>
  <si>
    <t>NHMUK PV R3321</t>
  </si>
  <si>
    <t>NHMUK PV R36638</t>
  </si>
  <si>
    <t>NHMUK PV R 36839</t>
  </si>
  <si>
    <t>DORCM G.0096</t>
  </si>
  <si>
    <t>DORCM G.0116</t>
  </si>
  <si>
    <t>NHMUK 44300</t>
  </si>
  <si>
    <t>Torvoneustes ?</t>
  </si>
  <si>
    <t>NHMUK PV R2051</t>
  </si>
  <si>
    <t>DORCM G.0114</t>
  </si>
  <si>
    <t>DORCM G.0122</t>
  </si>
  <si>
    <t>Steneosaurus' durobrivensis</t>
  </si>
  <si>
    <t>NHMUK PV R3701</t>
  </si>
  <si>
    <t>DFMMh F330</t>
  </si>
  <si>
    <t>LLCurv</t>
  </si>
  <si>
    <t>CAMSM J65584</t>
  </si>
  <si>
    <t>AVERAGE</t>
  </si>
  <si>
    <t>C1</t>
  </si>
  <si>
    <t>C3</t>
  </si>
  <si>
    <t>C4</t>
  </si>
  <si>
    <t>Lemmysuchus obtusidens</t>
  </si>
  <si>
    <t>C2b</t>
  </si>
  <si>
    <t>CBLavg</t>
  </si>
  <si>
    <t>CBL/CBW</t>
  </si>
  <si>
    <t>D1</t>
  </si>
  <si>
    <t>D8</t>
  </si>
  <si>
    <r>
      <rPr>
        <sz val="11"/>
        <rFont val="Calibri"/>
        <family val="2"/>
        <scheme val="minor"/>
      </rPr>
      <t>[Metriorhynchus superciliosus]</t>
    </r>
  </si>
  <si>
    <r>
      <t xml:space="preserve">Metriorhynchidae - </t>
    </r>
    <r>
      <rPr>
        <sz val="11"/>
        <rFont val="Calibri"/>
        <family val="2"/>
        <scheme val="minor"/>
      </rPr>
      <t>sp M. hastifer</t>
    </r>
  </si>
  <si>
    <r>
      <t>Torvoneustes</t>
    </r>
    <r>
      <rPr>
        <sz val="11"/>
        <rFont val="Calibri"/>
        <family val="2"/>
        <scheme val="minor"/>
      </rPr>
      <t>-like</t>
    </r>
  </si>
  <si>
    <r>
      <t>Torvoneustes -</t>
    </r>
    <r>
      <rPr>
        <sz val="11"/>
        <rFont val="Calibri"/>
        <family val="2"/>
        <scheme val="minor"/>
      </rPr>
      <t>like</t>
    </r>
  </si>
  <si>
    <r>
      <t>Tyrannoneustes -</t>
    </r>
    <r>
      <rPr>
        <sz val="11"/>
        <rFont val="Calibri"/>
        <family val="2"/>
        <scheme val="minor"/>
      </rPr>
      <t>like</t>
    </r>
  </si>
  <si>
    <r>
      <t xml:space="preserve">Plesiosuchus </t>
    </r>
    <r>
      <rPr>
        <sz val="11"/>
        <rFont val="Calibri"/>
        <family val="2"/>
        <scheme val="minor"/>
      </rPr>
      <t>sp.</t>
    </r>
  </si>
  <si>
    <r>
      <t xml:space="preserve">Dakosaurus </t>
    </r>
    <r>
      <rPr>
        <sz val="11"/>
        <rFont val="Calibri"/>
        <family val="2"/>
        <scheme val="minor"/>
      </rPr>
      <t>sp.?</t>
    </r>
  </si>
  <si>
    <r>
      <rPr>
        <i/>
        <sz val="11"/>
        <rFont val="Calibri"/>
        <family val="2"/>
        <scheme val="minor"/>
      </rPr>
      <t>Geosaurus</t>
    </r>
    <r>
      <rPr>
        <sz val="11"/>
        <rFont val="Calibri"/>
        <family val="2"/>
        <scheme val="minor"/>
      </rPr>
      <t xml:space="preserve"> sp.</t>
    </r>
  </si>
  <si>
    <r>
      <t>Machimosaurus</t>
    </r>
    <r>
      <rPr>
        <sz val="11"/>
        <rFont val="Calibri"/>
        <family val="2"/>
        <scheme val="minor"/>
      </rPr>
      <t>sp.</t>
    </r>
  </si>
  <si>
    <t>C5 rad</t>
  </si>
  <si>
    <t>raw measurements</t>
  </si>
  <si>
    <t>STDV</t>
  </si>
  <si>
    <t>VAR</t>
  </si>
  <si>
    <t>zC1</t>
  </si>
  <si>
    <t>zC2</t>
  </si>
  <si>
    <t>zC3</t>
  </si>
  <si>
    <t>zC4</t>
  </si>
  <si>
    <t>zC5</t>
  </si>
  <si>
    <t>zC2b</t>
  </si>
  <si>
    <t>D2</t>
  </si>
  <si>
    <t>D12</t>
  </si>
  <si>
    <t>Marmornectes candrewi</t>
  </si>
  <si>
    <t>BEDFM 1999.201</t>
  </si>
  <si>
    <r>
      <t>Marmornectes-</t>
    </r>
    <r>
      <rPr>
        <sz val="11"/>
        <rFont val="Calibri"/>
        <family val="2"/>
        <scheme val="minor"/>
      </rPr>
      <t>like</t>
    </r>
  </si>
  <si>
    <t>NHMHK R2439</t>
  </si>
  <si>
    <t>Liopleurodon ferox</t>
  </si>
  <si>
    <t>NHMUK PV R3536</t>
  </si>
  <si>
    <r>
      <t>Peloneustes</t>
    </r>
    <r>
      <rPr>
        <sz val="11"/>
        <rFont val="Calibri"/>
        <family val="2"/>
        <scheme val="minor"/>
      </rPr>
      <t xml:space="preserve">-like - </t>
    </r>
  </si>
  <si>
    <t>OUMNH J.02247</t>
  </si>
  <si>
    <t>Peloneustes philarchus</t>
  </si>
  <si>
    <t>NHMUK PV R8574</t>
  </si>
  <si>
    <t>Simolestes vorax</t>
  </si>
  <si>
    <t>NHMUK PV R3319</t>
  </si>
  <si>
    <t>NHMUK PV R3170</t>
  </si>
  <si>
    <t>Pliosaurus' andrewsi</t>
  </si>
  <si>
    <t>CAMSM J63532etc</t>
  </si>
  <si>
    <t>?</t>
  </si>
  <si>
    <t>NHMUK R3891</t>
  </si>
  <si>
    <t>Pliosaurus carpenteri</t>
  </si>
  <si>
    <t>BRSMG Cd6172</t>
  </si>
  <si>
    <t>Pliosaurus westbutyensis</t>
  </si>
  <si>
    <t>BRSMG Cc332</t>
  </si>
  <si>
    <t>Pliosaurus kevani</t>
  </si>
  <si>
    <t>DORCM G.13,675</t>
  </si>
  <si>
    <t>Pliosaurus brachydeirus</t>
  </si>
  <si>
    <t>OUMNH J.09245 - 951-81</t>
  </si>
  <si>
    <t>Pliosaurus ?brachyspondylus</t>
  </si>
  <si>
    <t>CAMSM J.35991</t>
  </si>
  <si>
    <t>NHMUK R2680</t>
  </si>
  <si>
    <t>CAMSM TN 3752</t>
  </si>
  <si>
    <t>GLAHM V1138</t>
  </si>
  <si>
    <t>Liopleurodon ferox - Simolestes</t>
  </si>
  <si>
    <t>CAMSM J60900</t>
  </si>
  <si>
    <t>Pliosauridae indet</t>
  </si>
  <si>
    <t>BRSMG Cd5588</t>
  </si>
  <si>
    <t>CAMSM J13303</t>
  </si>
  <si>
    <t>YORYM 2007.2985.1</t>
  </si>
  <si>
    <t>NHMUK R47044</t>
  </si>
  <si>
    <r>
      <t xml:space="preserve">Pliosaurus </t>
    </r>
    <r>
      <rPr>
        <sz val="11"/>
        <rFont val="Calibri"/>
        <family val="2"/>
        <scheme val="minor"/>
      </rPr>
      <t>sp.</t>
    </r>
  </si>
  <si>
    <t>MJML K821</t>
  </si>
  <si>
    <t>CAMSM J29552</t>
  </si>
  <si>
    <t>Pliosauridae indet - I</t>
  </si>
  <si>
    <t>CAMSM J29544</t>
  </si>
  <si>
    <t>CAMSM J29547</t>
  </si>
  <si>
    <t>CAMSM J29553</t>
  </si>
  <si>
    <t>CAMSM J29557</t>
  </si>
  <si>
    <t>MJML K1490</t>
  </si>
  <si>
    <t>MJML K1785</t>
  </si>
  <si>
    <t>MJML K1008</t>
  </si>
  <si>
    <r>
      <t xml:space="preserve">Pliosaurus ('grandis') </t>
    </r>
    <r>
      <rPr>
        <sz val="11"/>
        <rFont val="Calibri"/>
        <family val="2"/>
        <scheme val="minor"/>
      </rPr>
      <t>sp.</t>
    </r>
  </si>
  <si>
    <t>GLAHM V1149</t>
  </si>
  <si>
    <t>Muraeonosaurus leedsi</t>
  </si>
  <si>
    <t>NHMUK R2421</t>
  </si>
  <si>
    <t>Cryptoclidus eurymerus</t>
  </si>
  <si>
    <t>PETMG R.283.412</t>
  </si>
  <si>
    <t>Tricleidus seeleyi</t>
  </si>
  <si>
    <t>NHMUK R3539</t>
  </si>
  <si>
    <t>Kimmerosaurus langhami</t>
  </si>
  <si>
    <t>NHMUK R8431</t>
  </si>
  <si>
    <t>Plesiosauroidea indet</t>
  </si>
  <si>
    <t>NHMUK PV R2861</t>
  </si>
  <si>
    <t>OUMNH J.47559</t>
  </si>
  <si>
    <t>BRSMG Cd5593</t>
  </si>
  <si>
    <r>
      <t>Plesiosauroidea indet [</t>
    </r>
    <r>
      <rPr>
        <i/>
        <sz val="11"/>
        <rFont val="Calibri"/>
        <family val="2"/>
        <scheme val="minor"/>
      </rPr>
      <t>Muraenosaurus</t>
    </r>
    <r>
      <rPr>
        <sz val="11"/>
        <rFont val="Calibri"/>
        <family val="2"/>
        <scheme val="minor"/>
      </rPr>
      <t>]</t>
    </r>
  </si>
  <si>
    <t>CAMSM J30070</t>
  </si>
  <si>
    <t>MJML K263</t>
  </si>
  <si>
    <t>Opthtalmosaurus icenicus</t>
  </si>
  <si>
    <t>NHMUK R4753</t>
  </si>
  <si>
    <t>Ophthalmosauridae indet</t>
  </si>
  <si>
    <t>CAMSM J29813-22_III</t>
  </si>
  <si>
    <t>Mepal Ophthalmosauridae</t>
  </si>
  <si>
    <t>CAMSM X3925 - X39251n</t>
  </si>
  <si>
    <t>CAMSM X3925 - X39251x</t>
  </si>
  <si>
    <t>CAMSM J61336</t>
  </si>
  <si>
    <t>MJML K123 A</t>
  </si>
  <si>
    <t>MJML K123</t>
  </si>
  <si>
    <t>MJML K1009</t>
  </si>
  <si>
    <t>Cryptoclididae indet</t>
  </si>
  <si>
    <t>ZPAL R. 11/OB/T4</t>
  </si>
  <si>
    <t>Veticoneustex rapax</t>
  </si>
  <si>
    <t>Geosaurie indet [Dakosaur]</t>
  </si>
  <si>
    <t>Geosaurie indet</t>
  </si>
  <si>
    <t>Geosauri indet</t>
  </si>
  <si>
    <t>Myctersuchus sutus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</si>
</sst>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1"/>
      <color indexed="8"/>
      <name val="Calibri"/>
      <family val="2"/>
      <charset val="1"/>
    </font>
    <font>
      <b/>
      <sz val="9"/>
      <color indexed="81"/>
      <name val="Tahoma"/>
      <family val="2"/>
    </font>
    <font>
      <sz val="9"/>
      <color indexed="81"/>
      <name val="Tahoma"/>
      <family val="2"/>
    </font>
    <font>
      <sz val="11"/>
      <color rgb="FFFF0000"/>
      <name val="Calibri"/>
      <family val="2"/>
      <scheme val="minor"/>
    </font>
    <font>
      <sz val="11"/>
      <name val="Calibri"/>
      <family val="2"/>
      <scheme val="minor"/>
    </font>
    <font>
      <sz val="10"/>
      <name val="Arial"/>
      <family val="2"/>
    </font>
    <font>
      <sz val="12"/>
      <color theme="1"/>
      <name val="Arial"/>
      <family val="2"/>
    </font>
    <font>
      <sz val="11"/>
      <color rgb="FF006100"/>
      <name val="Calibri"/>
      <family val="2"/>
      <scheme val="minor"/>
    </font>
    <font>
      <sz val="11"/>
      <color rgb="FF9C0006"/>
      <name val="Calibri"/>
      <family val="2"/>
      <scheme val="minor"/>
    </font>
    <font>
      <sz val="11"/>
      <color theme="1"/>
      <name val="Calibri"/>
      <family val="2"/>
      <scheme val="minor"/>
    </font>
    <font>
      <sz val="11"/>
      <color rgb="FF9C6500"/>
      <name val="Calibri"/>
      <family val="2"/>
      <scheme val="minor"/>
    </font>
    <font>
      <b/>
      <sz val="12"/>
      <name val="Calibri"/>
      <family val="2"/>
      <scheme val="minor"/>
    </font>
    <font>
      <sz val="12"/>
      <name val="Calibri"/>
      <family val="2"/>
      <scheme val="minor"/>
    </font>
    <font>
      <b/>
      <sz val="12"/>
      <color theme="1"/>
      <name val="Calibri"/>
      <family val="2"/>
      <scheme val="minor"/>
    </font>
    <font>
      <i/>
      <sz val="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i/>
      <sz val="11"/>
      <name val="Calibri"/>
      <family val="2"/>
      <scheme val="minor"/>
    </font>
    <font>
      <sz val="12"/>
      <color theme="1"/>
      <name val="Calibri"/>
      <family val="2"/>
      <charset val="238"/>
      <scheme val="minor"/>
    </font>
    <font>
      <b/>
      <sz val="11"/>
      <color theme="1"/>
      <name val="Calibri"/>
      <family val="2"/>
      <charset val="238"/>
      <scheme val="minor"/>
    </font>
  </fonts>
  <fills count="45">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theme="4" tint="0.59999389629810485"/>
        <bgColor indexed="65"/>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s>
  <borders count="1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xf numFmtId="0" fontId="7" fillId="0" borderId="0"/>
    <xf numFmtId="0" fontId="2" fillId="0" borderId="0"/>
    <xf numFmtId="0" fontId="8" fillId="0" borderId="0"/>
    <xf numFmtId="0" fontId="9"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14" borderId="8" applyNumberFormat="0" applyAlignment="0" applyProtection="0"/>
    <xf numFmtId="0" fontId="22" fillId="15" borderId="9" applyNumberFormat="0" applyAlignment="0" applyProtection="0"/>
    <xf numFmtId="0" fontId="23" fillId="15" borderId="8" applyNumberFormat="0" applyAlignment="0" applyProtection="0"/>
    <xf numFmtId="0" fontId="24" fillId="0" borderId="10" applyNumberFormat="0" applyFill="0" applyAlignment="0" applyProtection="0"/>
    <xf numFmtId="0" fontId="25" fillId="16" borderId="4" applyNumberFormat="0" applyAlignment="0" applyProtection="0"/>
    <xf numFmtId="0" fontId="5" fillId="0" borderId="0" applyNumberFormat="0" applyFill="0" applyBorder="0" applyAlignment="0" applyProtection="0"/>
    <xf numFmtId="0" fontId="11" fillId="17" borderId="11" applyNumberFormat="0" applyFont="0" applyAlignment="0" applyProtection="0"/>
    <xf numFmtId="0" fontId="26" fillId="0" borderId="0" applyNumberFormat="0" applyFill="0" applyBorder="0" applyAlignment="0" applyProtection="0"/>
    <xf numFmtId="0" fontId="1" fillId="0" borderId="12" applyNumberFormat="0" applyFill="0" applyAlignment="0" applyProtection="0"/>
    <xf numFmtId="0" fontId="27" fillId="18" borderId="0" applyNumberFormat="0" applyBorder="0" applyAlignment="0" applyProtection="0"/>
    <xf numFmtId="0" fontId="1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27" fillId="40" borderId="0" applyNumberFormat="0" applyBorder="0" applyAlignment="0" applyProtection="0"/>
  </cellStyleXfs>
  <cellXfs count="91">
    <xf numFmtId="0" fontId="0" fillId="0" borderId="0" xfId="0"/>
    <xf numFmtId="0" fontId="16" fillId="3" borderId="0" xfId="1" applyFont="1" applyFill="1" applyBorder="1"/>
    <xf numFmtId="0" fontId="14" fillId="0" borderId="0" xfId="0" applyFont="1" applyAlignment="1">
      <alignment horizontal="center"/>
    </xf>
    <xf numFmtId="0" fontId="14" fillId="7" borderId="0" xfId="1" applyFont="1" applyFill="1" applyBorder="1" applyAlignment="1">
      <alignment horizontal="left"/>
    </xf>
    <xf numFmtId="0" fontId="14" fillId="0" borderId="0" xfId="0" applyFont="1" applyFill="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center"/>
    </xf>
    <xf numFmtId="0" fontId="16" fillId="6" borderId="0" xfId="1" applyFont="1" applyFill="1" applyBorder="1"/>
    <xf numFmtId="0" fontId="16" fillId="4" borderId="0" xfId="0" applyFont="1" applyFill="1"/>
    <xf numFmtId="0" fontId="16" fillId="4" borderId="0" xfId="0" applyFont="1" applyFill="1" applyAlignment="1">
      <alignment horizontal="left"/>
    </xf>
    <xf numFmtId="0" fontId="6" fillId="4" borderId="0" xfId="0" applyFont="1" applyFill="1"/>
    <xf numFmtId="0" fontId="16" fillId="3" borderId="0" xfId="0" quotePrefix="1" applyFont="1" applyFill="1"/>
    <xf numFmtId="0" fontId="16" fillId="3" borderId="0" xfId="0" applyFont="1" applyFill="1"/>
    <xf numFmtId="0" fontId="14" fillId="3" borderId="0" xfId="1" applyFont="1" applyFill="1" applyBorder="1"/>
    <xf numFmtId="0" fontId="16" fillId="7" borderId="0" xfId="0" applyFont="1" applyFill="1"/>
    <xf numFmtId="0" fontId="14" fillId="7" borderId="0" xfId="0" applyFont="1" applyFill="1"/>
    <xf numFmtId="0" fontId="16" fillId="5" borderId="0" xfId="1" applyFont="1" applyFill="1" applyBorder="1"/>
    <xf numFmtId="0" fontId="16" fillId="5" borderId="0" xfId="1" quotePrefix="1" applyFont="1" applyFill="1" applyBorder="1"/>
    <xf numFmtId="0" fontId="16" fillId="5" borderId="0" xfId="1" quotePrefix="1" applyFont="1" applyFill="1" applyBorder="1" applyAlignment="1">
      <alignment horizontal="left"/>
    </xf>
    <xf numFmtId="0" fontId="16" fillId="8" borderId="0" xfId="1" quotePrefix="1" applyFont="1" applyFill="1" applyBorder="1" applyAlignment="1">
      <alignment horizontal="left"/>
    </xf>
    <xf numFmtId="0" fontId="16" fillId="8" borderId="0" xfId="0" quotePrefix="1" applyFont="1" applyFill="1"/>
    <xf numFmtId="0" fontId="16" fillId="8" borderId="0" xfId="0" applyFont="1" applyFill="1"/>
    <xf numFmtId="0" fontId="14" fillId="0" borderId="0" xfId="0" applyFont="1"/>
    <xf numFmtId="0" fontId="13" fillId="9" borderId="0" xfId="0" applyFont="1" applyFill="1" applyAlignment="1">
      <alignment horizontal="left"/>
    </xf>
    <xf numFmtId="0" fontId="6" fillId="9" borderId="0" xfId="7" applyFont="1" applyFill="1" applyAlignment="1">
      <alignment horizontal="center"/>
    </xf>
    <xf numFmtId="2" fontId="6" fillId="9" borderId="0" xfId="7" applyNumberFormat="1" applyFont="1" applyFill="1" applyAlignment="1">
      <alignment horizontal="center"/>
    </xf>
    <xf numFmtId="0" fontId="14" fillId="9" borderId="0" xfId="0" applyFont="1" applyFill="1" applyAlignment="1">
      <alignment horizontal="center"/>
    </xf>
    <xf numFmtId="0" fontId="14" fillId="9" borderId="0" xfId="0" applyNumberFormat="1" applyFont="1" applyFill="1" applyAlignment="1">
      <alignment horizontal="center"/>
    </xf>
    <xf numFmtId="0" fontId="13" fillId="0" borderId="0" xfId="0" applyFont="1"/>
    <xf numFmtId="0" fontId="14" fillId="0" borderId="2" xfId="0" applyFont="1" applyBorder="1" applyAlignment="1">
      <alignment horizontal="center"/>
    </xf>
    <xf numFmtId="0" fontId="14" fillId="0" borderId="0" xfId="0" applyFont="1" applyFill="1"/>
    <xf numFmtId="0" fontId="14" fillId="7" borderId="0" xfId="0" applyFont="1" applyFill="1" applyAlignment="1">
      <alignment horizontal="left"/>
    </xf>
    <xf numFmtId="0" fontId="14" fillId="0" borderId="0" xfId="0" applyFont="1" applyAlignment="1">
      <alignment horizontal="right"/>
    </xf>
    <xf numFmtId="0" fontId="6" fillId="0" borderId="0" xfId="7" applyFont="1" applyFill="1" applyAlignment="1">
      <alignment horizontal="center"/>
    </xf>
    <xf numFmtId="2" fontId="6" fillId="0" borderId="0" xfId="7" applyNumberFormat="1" applyFont="1" applyFill="1" applyAlignment="1">
      <alignment horizontal="center"/>
    </xf>
    <xf numFmtId="0" fontId="14" fillId="0" borderId="0" xfId="0" applyNumberFormat="1" applyFont="1" applyFill="1" applyAlignment="1">
      <alignment horizontal="center"/>
    </xf>
    <xf numFmtId="0" fontId="13" fillId="0" borderId="0" xfId="0" applyFont="1" applyFill="1" applyAlignment="1">
      <alignment horizontal="center"/>
    </xf>
    <xf numFmtId="0" fontId="13" fillId="9" borderId="0" xfId="0" applyFont="1" applyFill="1" applyAlignment="1">
      <alignment horizontal="center"/>
    </xf>
    <xf numFmtId="0" fontId="28" fillId="9" borderId="0" xfId="7" applyFont="1" applyFill="1" applyAlignment="1">
      <alignment horizontal="center"/>
    </xf>
    <xf numFmtId="2" fontId="28" fillId="9" borderId="0" xfId="7" applyNumberFormat="1" applyFont="1" applyFill="1" applyAlignment="1">
      <alignment horizontal="center"/>
    </xf>
    <xf numFmtId="0" fontId="14" fillId="2" borderId="2" xfId="5" applyFont="1" applyFill="1" applyBorder="1" applyAlignment="1">
      <alignment horizontal="center" textRotation="90"/>
    </xf>
    <xf numFmtId="0" fontId="6" fillId="2" borderId="2" xfId="7" applyFont="1" applyFill="1" applyBorder="1" applyAlignment="1">
      <alignment horizontal="center" textRotation="90"/>
    </xf>
    <xf numFmtId="2" fontId="6" fillId="2" borderId="2" xfId="7" applyNumberFormat="1" applyFont="1" applyFill="1" applyBorder="1" applyAlignment="1">
      <alignment horizontal="center" textRotation="90"/>
    </xf>
    <xf numFmtId="0" fontId="14" fillId="2" borderId="0" xfId="5" applyNumberFormat="1" applyFont="1" applyFill="1" applyBorder="1" applyAlignment="1">
      <alignment horizontal="center" textRotation="90"/>
    </xf>
    <xf numFmtId="0" fontId="6" fillId="2" borderId="4" xfId="5" applyFont="1" applyFill="1" applyBorder="1" applyAlignment="1">
      <alignment horizontal="center" textRotation="90"/>
    </xf>
    <xf numFmtId="0" fontId="6" fillId="2" borderId="0" xfId="5" applyFont="1" applyFill="1" applyBorder="1" applyAlignment="1">
      <alignment horizontal="center" textRotation="90"/>
    </xf>
    <xf numFmtId="0" fontId="6" fillId="2" borderId="2" xfId="8" applyFont="1" applyFill="1" applyBorder="1" applyAlignment="1">
      <alignment horizontal="center" textRotation="90"/>
    </xf>
    <xf numFmtId="0" fontId="6" fillId="2" borderId="2" xfId="5" applyFont="1" applyFill="1" applyBorder="1" applyAlignment="1">
      <alignment horizontal="center"/>
    </xf>
    <xf numFmtId="0" fontId="14" fillId="0" borderId="1" xfId="0" applyFont="1" applyBorder="1" applyAlignment="1"/>
    <xf numFmtId="0" fontId="13" fillId="0" borderId="1" xfId="0" applyFont="1" applyBorder="1" applyAlignment="1"/>
    <xf numFmtId="0" fontId="14" fillId="0" borderId="3" xfId="0" applyFont="1" applyBorder="1" applyAlignment="1"/>
    <xf numFmtId="0" fontId="14" fillId="4" borderId="1" xfId="0" applyFont="1" applyFill="1" applyBorder="1" applyAlignment="1"/>
    <xf numFmtId="0" fontId="14" fillId="7" borderId="1" xfId="0" applyFont="1" applyFill="1" applyBorder="1" applyAlignment="1"/>
    <xf numFmtId="0" fontId="14" fillId="3" borderId="1" xfId="0" applyFont="1" applyFill="1" applyBorder="1" applyAlignment="1"/>
    <xf numFmtId="0" fontId="14" fillId="5" borderId="1" xfId="0" applyFont="1" applyFill="1" applyBorder="1" applyAlignment="1"/>
    <xf numFmtId="0" fontId="14" fillId="8" borderId="1" xfId="0" applyFont="1" applyFill="1" applyBorder="1" applyAlignment="1"/>
    <xf numFmtId="0" fontId="13" fillId="9" borderId="1" xfId="0" applyFont="1" applyFill="1" applyBorder="1" applyAlignment="1">
      <alignment horizontal="center"/>
    </xf>
    <xf numFmtId="0" fontId="14" fillId="9" borderId="1" xfId="0" applyFont="1" applyFill="1" applyBorder="1" applyAlignment="1">
      <alignment horizontal="center"/>
    </xf>
    <xf numFmtId="0" fontId="14" fillId="2" borderId="3" xfId="5" applyFont="1" applyFill="1" applyBorder="1" applyAlignment="1">
      <alignment horizontal="center" textRotation="90"/>
    </xf>
    <xf numFmtId="2" fontId="6" fillId="9" borderId="0" xfId="7" applyNumberFormat="1" applyFont="1" applyFill="1" applyBorder="1" applyAlignment="1">
      <alignment horizontal="center"/>
    </xf>
    <xf numFmtId="2" fontId="28" fillId="9" borderId="0" xfId="7" applyNumberFormat="1" applyFont="1" applyFill="1" applyBorder="1" applyAlignment="1">
      <alignment horizontal="center"/>
    </xf>
    <xf numFmtId="2" fontId="6" fillId="2" borderId="0" xfId="7" applyNumberFormat="1" applyFont="1" applyFill="1" applyBorder="1" applyAlignment="1">
      <alignment horizontal="center" textRotation="90"/>
    </xf>
    <xf numFmtId="2" fontId="6" fillId="0" borderId="0" xfId="7" applyNumberFormat="1" applyFont="1" applyFill="1" applyBorder="1" applyAlignment="1">
      <alignment horizontal="center"/>
    </xf>
    <xf numFmtId="0" fontId="6" fillId="0" borderId="0" xfId="7" applyFont="1" applyFill="1" applyBorder="1" applyAlignment="1">
      <alignment horizontal="center"/>
    </xf>
    <xf numFmtId="0" fontId="15" fillId="0" borderId="0" xfId="0" applyFont="1" applyFill="1" applyAlignment="1">
      <alignment horizontal="center"/>
    </xf>
    <xf numFmtId="0" fontId="15" fillId="0" borderId="0" xfId="0" applyFont="1" applyFill="1" applyBorder="1" applyAlignment="1">
      <alignment horizontal="center"/>
    </xf>
    <xf numFmtId="0" fontId="15" fillId="0" borderId="0" xfId="0" applyNumberFormat="1" applyFont="1" applyFill="1" applyAlignment="1">
      <alignment horizontal="center"/>
    </xf>
    <xf numFmtId="0" fontId="15" fillId="0" borderId="1" xfId="0" applyFont="1" applyFill="1" applyBorder="1" applyAlignment="1">
      <alignment horizontal="center"/>
    </xf>
    <xf numFmtId="0" fontId="14" fillId="9" borderId="0" xfId="0" applyFont="1" applyFill="1" applyBorder="1" applyAlignment="1">
      <alignment horizontal="center"/>
    </xf>
    <xf numFmtId="0" fontId="13" fillId="9" borderId="0" xfId="0" applyFont="1" applyFill="1" applyBorder="1" applyAlignment="1">
      <alignment horizontal="center"/>
    </xf>
    <xf numFmtId="0" fontId="16" fillId="41" borderId="0" xfId="1" applyFont="1" applyFill="1" applyBorder="1"/>
    <xf numFmtId="0" fontId="14" fillId="41" borderId="1" xfId="0" applyFont="1" applyFill="1" applyBorder="1" applyAlignment="1"/>
    <xf numFmtId="0" fontId="16" fillId="41" borderId="0" xfId="1" quotePrefix="1" applyFont="1" applyFill="1" applyBorder="1"/>
    <xf numFmtId="0" fontId="14" fillId="0" borderId="0" xfId="4" applyFont="1" applyFill="1" applyAlignment="1">
      <alignment horizontal="center"/>
    </xf>
    <xf numFmtId="0" fontId="16" fillId="42" borderId="0" xfId="0" applyFont="1" applyFill="1"/>
    <xf numFmtId="0" fontId="14" fillId="42" borderId="1" xfId="0" applyFont="1" applyFill="1" applyBorder="1" applyAlignment="1"/>
    <xf numFmtId="0" fontId="14" fillId="42" borderId="0" xfId="0" applyFont="1" applyFill="1"/>
    <xf numFmtId="0" fontId="6" fillId="0" borderId="0" xfId="0" applyFont="1" applyFill="1" applyAlignment="1">
      <alignment horizontal="center"/>
    </xf>
    <xf numFmtId="0" fontId="16" fillId="43" borderId="0" xfId="0" applyFont="1" applyFill="1"/>
    <xf numFmtId="0" fontId="14" fillId="43" borderId="1" xfId="0" applyFont="1" applyFill="1" applyBorder="1" applyAlignment="1"/>
    <xf numFmtId="0" fontId="16" fillId="43" borderId="0" xfId="1" applyFont="1" applyFill="1" applyBorder="1"/>
    <xf numFmtId="0" fontId="16" fillId="44" borderId="0" xfId="0" applyFont="1" applyFill="1"/>
    <xf numFmtId="0" fontId="14" fillId="44" borderId="1" xfId="0" applyFont="1" applyFill="1" applyBorder="1" applyAlignment="1"/>
    <xf numFmtId="0" fontId="14" fillId="44" borderId="0" xfId="0" applyFont="1" applyFill="1"/>
    <xf numFmtId="0" fontId="16" fillId="9" borderId="0" xfId="0" applyFont="1" applyFill="1"/>
    <xf numFmtId="0" fontId="14" fillId="9" borderId="0" xfId="0" applyFont="1" applyFill="1"/>
    <xf numFmtId="0" fontId="30" fillId="0" borderId="0" xfId="0" applyFont="1" applyFill="1" applyBorder="1" applyAlignment="1">
      <alignment horizontal="center"/>
    </xf>
    <xf numFmtId="0" fontId="14" fillId="0" borderId="0" xfId="0" applyNumberFormat="1" applyFont="1" applyAlignment="1">
      <alignment horizontal="center"/>
    </xf>
    <xf numFmtId="0" fontId="31" fillId="34" borderId="0" xfId="39" applyFont="1"/>
    <xf numFmtId="0" fontId="14" fillId="9" borderId="1" xfId="0" applyFont="1" applyFill="1" applyBorder="1"/>
    <xf numFmtId="0" fontId="14" fillId="0" borderId="1" xfId="0" applyFont="1" applyBorder="1" applyAlignment="1">
      <alignment horizontal="center"/>
    </xf>
  </cellXfs>
  <cellStyles count="46">
    <cellStyle name="20% — akcent 1" xfId="24" builtinId="30" customBuiltin="1"/>
    <cellStyle name="20% — akcent 2" xfId="27" builtinId="34" customBuiltin="1"/>
    <cellStyle name="20% — akcent 3" xfId="31" builtinId="38" customBuiltin="1"/>
    <cellStyle name="20% — akcent 4" xfId="35" builtinId="42" customBuiltin="1"/>
    <cellStyle name="20% — akcent 5" xfId="39" builtinId="46" customBuiltin="1"/>
    <cellStyle name="20% — akcent 6" xfId="43" builtinId="50" customBuiltin="1"/>
    <cellStyle name="40% — akcent 1" xfId="7" builtinId="31" customBuiltin="1"/>
    <cellStyle name="40% — akcent 2" xfId="28" builtinId="35" customBuiltin="1"/>
    <cellStyle name="40% — akcent 3" xfId="32" builtinId="39" customBuiltin="1"/>
    <cellStyle name="40% — akcent 4" xfId="36" builtinId="43" customBuiltin="1"/>
    <cellStyle name="40% — akcent 5" xfId="40" builtinId="47" customBuiltin="1"/>
    <cellStyle name="40% — akcent 6" xfId="44" builtinId="51" customBuiltin="1"/>
    <cellStyle name="60% — akcent 1" xfId="25" builtinId="32" customBuiltin="1"/>
    <cellStyle name="60% — akcent 2" xfId="29" builtinId="36" customBuiltin="1"/>
    <cellStyle name="60% — akcent 3" xfId="33" builtinId="40" customBuiltin="1"/>
    <cellStyle name="60% — akcent 4" xfId="37" builtinId="44" customBuiltin="1"/>
    <cellStyle name="60% — akcent 5" xfId="41" builtinId="48" customBuiltin="1"/>
    <cellStyle name="60% — akcent 6" xfId="45" builtinId="52" customBuiltin="1"/>
    <cellStyle name="Akcent 1" xfId="23" builtinId="29" customBuiltin="1"/>
    <cellStyle name="Akcent 2" xfId="26" builtinId="33" customBuiltin="1"/>
    <cellStyle name="Akcent 3" xfId="30" builtinId="37" customBuiltin="1"/>
    <cellStyle name="Akcent 4" xfId="34" builtinId="41" customBuiltin="1"/>
    <cellStyle name="Akcent 5" xfId="38" builtinId="45" customBuiltin="1"/>
    <cellStyle name="Akcent 6" xfId="42" builtinId="49" customBuiltin="1"/>
    <cellStyle name="Dane wejściowe" xfId="14" builtinId="20" customBuiltin="1"/>
    <cellStyle name="Dane wyjściowe" xfId="15" builtinId="21" customBuiltin="1"/>
    <cellStyle name="Dobry" xfId="5" builtinId="26" customBuiltin="1"/>
    <cellStyle name="Excel Built-in Normal" xfId="1" xr:uid="{00000000-0005-0000-0000-00001B000000}"/>
    <cellStyle name="Excel Built-in Normal 1" xfId="3" xr:uid="{00000000-0005-0000-0000-00001C000000}"/>
    <cellStyle name="Komórka połączona" xfId="17" builtinId="24" customBuiltin="1"/>
    <cellStyle name="Komórka zaznaczona" xfId="18" builtinId="23" customBuiltin="1"/>
    <cellStyle name="Nagłówek 1" xfId="10" builtinId="16" customBuiltin="1"/>
    <cellStyle name="Nagłówek 2" xfId="11" builtinId="17" customBuiltin="1"/>
    <cellStyle name="Nagłówek 3" xfId="12" builtinId="18" customBuiltin="1"/>
    <cellStyle name="Nagłówek 4" xfId="13" builtinId="19" customBuiltin="1"/>
    <cellStyle name="Neutralny" xfId="8" builtinId="28" customBuiltin="1"/>
    <cellStyle name="Normal 2" xfId="2" xr:uid="{00000000-0005-0000-0000-000024000000}"/>
    <cellStyle name="Normal 3" xfId="4" xr:uid="{00000000-0005-0000-0000-000025000000}"/>
    <cellStyle name="Normalny" xfId="0" builtinId="0"/>
    <cellStyle name="Obliczenia" xfId="16" builtinId="22" customBuiltin="1"/>
    <cellStyle name="Suma" xfId="22" builtinId="25" customBuiltin="1"/>
    <cellStyle name="Tekst objaśnienia" xfId="21" builtinId="53" customBuiltin="1"/>
    <cellStyle name="Tekst ostrzeżenia" xfId="19" builtinId="11" customBuiltin="1"/>
    <cellStyle name="Tytuł" xfId="9" builtinId="15" customBuiltin="1"/>
    <cellStyle name="Uwaga" xfId="20" builtinId="10" customBuiltin="1"/>
    <cellStyle name="Zły" xfId="6" builtinId="27" customBuiltin="1"/>
  </cellStyles>
  <dxfs count="0"/>
  <tableStyles count="0" defaultTableStyle="TableStyleMedium2" defaultPivotStyle="PivotStyleLight16"/>
  <colors>
    <mruColors>
      <color rgb="FFFF0000"/>
      <color rgb="FFFFFF66"/>
      <color rgb="FF66FF99"/>
      <color rgb="FF99FF99"/>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5"/>
  <sheetViews>
    <sheetView tabSelected="1" zoomScaleNormal="100" workbookViewId="0">
      <pane xSplit="2" ySplit="3" topLeftCell="H93" activePane="bottomRight" state="frozen"/>
      <selection pane="topRight" activeCell="C1" sqref="C1"/>
      <selection pane="bottomLeft" activeCell="A2" sqref="A2"/>
      <selection pane="bottomRight" activeCell="B122" sqref="B122"/>
    </sheetView>
  </sheetViews>
  <sheetFormatPr defaultColWidth="58.140625" defaultRowHeight="15.75" x14ac:dyDescent="0.25"/>
  <cols>
    <col min="1" max="1" width="32.85546875" style="22" customWidth="1"/>
    <col min="2" max="2" width="25.42578125" style="48" bestFit="1" customWidth="1"/>
    <col min="3" max="3" width="9.85546875" style="4" customWidth="1"/>
    <col min="4" max="4" width="7.7109375" style="33" customWidth="1"/>
    <col min="5" max="5" width="8.7109375" style="34" customWidth="1"/>
    <col min="6" max="6" width="6.28515625" style="62" customWidth="1"/>
    <col min="7" max="7" width="10.140625" style="4" customWidth="1"/>
    <col min="8" max="8" width="9.7109375" style="35" customWidth="1"/>
    <col min="9" max="10" width="9.140625" style="4" customWidth="1"/>
    <col min="11" max="11" width="11" style="4" customWidth="1"/>
    <col min="12" max="12" width="6.28515625" style="4" bestFit="1" customWidth="1"/>
    <col min="13" max="13" width="5.85546875" style="5" customWidth="1"/>
    <col min="14" max="19" width="10.7109375" style="6" customWidth="1"/>
    <col min="20" max="20" width="4" style="2" bestFit="1" customWidth="1"/>
    <col min="21" max="22" width="5.42578125" style="2" bestFit="1" customWidth="1"/>
    <col min="23" max="23" width="4" style="2" customWidth="1"/>
    <col min="24" max="24" width="4" style="2" bestFit="1" customWidth="1"/>
    <col min="25" max="25" width="5.42578125" style="2" bestFit="1" customWidth="1"/>
    <col min="26" max="26" width="5.42578125" style="2" customWidth="1"/>
    <col min="27" max="27" width="5.5703125" style="2" customWidth="1"/>
    <col min="28" max="28" width="5.42578125" style="2" customWidth="1"/>
    <col min="29" max="29" width="5.42578125" style="2" bestFit="1" customWidth="1"/>
    <col min="30" max="30" width="5.42578125" style="2" customWidth="1"/>
    <col min="31" max="32" width="4" style="2" bestFit="1" customWidth="1"/>
    <col min="33" max="33" width="4.42578125" style="2" bestFit="1" customWidth="1"/>
    <col min="34" max="34" width="5.5703125" style="2" bestFit="1" customWidth="1"/>
    <col min="35" max="38" width="10.7109375" style="22" customWidth="1"/>
    <col min="39" max="16384" width="58.140625" style="22"/>
  </cols>
  <sheetData>
    <row r="1" spans="1:34" x14ac:dyDescent="0.25">
      <c r="C1" s="23" t="s">
        <v>120</v>
      </c>
      <c r="D1" s="24"/>
      <c r="E1" s="25"/>
      <c r="F1" s="59"/>
      <c r="G1" s="26"/>
      <c r="H1" s="27"/>
      <c r="I1" s="26"/>
      <c r="J1" s="26"/>
      <c r="K1" s="26"/>
      <c r="L1" s="26"/>
      <c r="M1" s="57"/>
      <c r="N1" s="68"/>
      <c r="O1" s="68"/>
      <c r="P1" s="68"/>
      <c r="Q1" s="68"/>
      <c r="R1" s="68"/>
      <c r="S1" s="68"/>
    </row>
    <row r="2" spans="1:34" s="28" customFormat="1" ht="16.5" thickBot="1" x14ac:dyDescent="0.3">
      <c r="B2" s="49"/>
      <c r="C2" s="37" t="s">
        <v>101</v>
      </c>
      <c r="D2" s="38"/>
      <c r="E2" s="39"/>
      <c r="F2" s="60"/>
      <c r="G2" s="37"/>
      <c r="H2" s="37" t="s">
        <v>3</v>
      </c>
      <c r="I2" s="37" t="s">
        <v>102</v>
      </c>
      <c r="J2" s="37"/>
      <c r="K2" s="37" t="s">
        <v>103</v>
      </c>
      <c r="L2" s="37" t="s">
        <v>4</v>
      </c>
      <c r="M2" s="56" t="s">
        <v>119</v>
      </c>
      <c r="N2" s="69" t="s">
        <v>123</v>
      </c>
      <c r="O2" s="69" t="s">
        <v>124</v>
      </c>
      <c r="P2" s="69" t="s">
        <v>128</v>
      </c>
      <c r="Q2" s="69" t="s">
        <v>125</v>
      </c>
      <c r="R2" s="69" t="s">
        <v>126</v>
      </c>
      <c r="S2" s="69" t="s">
        <v>127</v>
      </c>
      <c r="T2" s="37" t="s">
        <v>108</v>
      </c>
      <c r="U2" s="37" t="s">
        <v>129</v>
      </c>
      <c r="V2" s="37" t="s">
        <v>17</v>
      </c>
      <c r="W2" s="37" t="s">
        <v>34</v>
      </c>
      <c r="X2" s="37" t="s">
        <v>18</v>
      </c>
      <c r="Y2" s="37" t="s">
        <v>57</v>
      </c>
      <c r="Z2" s="37" t="s">
        <v>13</v>
      </c>
      <c r="AA2" s="37" t="s">
        <v>109</v>
      </c>
      <c r="AB2" s="37" t="s">
        <v>19</v>
      </c>
      <c r="AC2" s="37" t="s">
        <v>35</v>
      </c>
      <c r="AD2" s="37" t="s">
        <v>14</v>
      </c>
      <c r="AE2" s="37" t="s">
        <v>130</v>
      </c>
      <c r="AF2" s="37" t="s">
        <v>41</v>
      </c>
      <c r="AG2" s="37" t="s">
        <v>15</v>
      </c>
      <c r="AH2" s="37" t="s">
        <v>44</v>
      </c>
    </row>
    <row r="3" spans="1:34" s="29" customFormat="1" ht="27.6" customHeight="1" thickTop="1" thickBot="1" x14ac:dyDescent="0.3">
      <c r="B3" s="50" t="s">
        <v>2</v>
      </c>
      <c r="C3" s="40" t="s">
        <v>66</v>
      </c>
      <c r="D3" s="41" t="s">
        <v>6</v>
      </c>
      <c r="E3" s="42" t="s">
        <v>7</v>
      </c>
      <c r="F3" s="61" t="s">
        <v>106</v>
      </c>
      <c r="G3" s="40" t="s">
        <v>3</v>
      </c>
      <c r="H3" s="43" t="s">
        <v>105</v>
      </c>
      <c r="I3" s="44" t="s">
        <v>8</v>
      </c>
      <c r="J3" s="45" t="s">
        <v>107</v>
      </c>
      <c r="K3" s="40" t="s">
        <v>98</v>
      </c>
      <c r="L3" s="46" t="s">
        <v>5</v>
      </c>
      <c r="M3" s="58"/>
      <c r="N3" s="40"/>
      <c r="O3" s="40"/>
      <c r="P3" s="40"/>
      <c r="Q3" s="40"/>
      <c r="R3" s="40"/>
      <c r="S3" s="40"/>
      <c r="T3" s="47"/>
      <c r="U3" s="47"/>
      <c r="V3" s="47"/>
      <c r="W3" s="47"/>
      <c r="X3" s="47"/>
      <c r="Y3" s="47"/>
      <c r="Z3" s="47"/>
      <c r="AA3" s="47"/>
      <c r="AB3" s="47"/>
      <c r="AC3" s="47"/>
      <c r="AD3" s="47"/>
      <c r="AE3" s="47"/>
      <c r="AF3" s="47"/>
      <c r="AG3" s="47"/>
      <c r="AH3" s="47"/>
    </row>
    <row r="4" spans="1:34" ht="16.5" thickTop="1" x14ac:dyDescent="0.25">
      <c r="A4" s="70" t="s">
        <v>131</v>
      </c>
      <c r="B4" s="71" t="s">
        <v>132</v>
      </c>
      <c r="C4" s="4">
        <v>25</v>
      </c>
      <c r="D4" s="33">
        <f>IF(C4="", "", IF(G4="","",C4/G4))</f>
        <v>11.5</v>
      </c>
      <c r="E4" s="34">
        <f t="shared" ref="E4:E27" si="0">IF(J4="","", (D4/J4))</f>
        <v>11.5</v>
      </c>
      <c r="F4" s="62">
        <f t="shared" ref="F4:F35" si="1">IF(E4="","",(D4+E4)/2)</f>
        <v>11.5</v>
      </c>
      <c r="G4" s="4">
        <v>2.1739130434782608</v>
      </c>
      <c r="H4" s="35">
        <f t="shared" ref="H4:H35" si="2">IF(F4="","",(C4/F4))</f>
        <v>2.1739130434782608</v>
      </c>
      <c r="I4" s="4">
        <v>1</v>
      </c>
      <c r="J4" s="4">
        <f t="shared" ref="J4:J35" si="3">IF(I4="","",(1/I4))</f>
        <v>1</v>
      </c>
      <c r="K4" s="4">
        <f>162/141</f>
        <v>1.1489361702127661</v>
      </c>
      <c r="L4" s="4">
        <v>65</v>
      </c>
      <c r="M4" s="5">
        <f t="shared" ref="M4:M35" si="4">IF(L4="", "",RADIANS(L4))</f>
        <v>1.1344640137963142</v>
      </c>
      <c r="N4" s="6">
        <f t="shared" ref="N4:N35" si="5">IF(C4="","", ((C4-C$123)/(C$124)))</f>
        <v>-0.54072989364519541</v>
      </c>
      <c r="O4" s="6">
        <f t="shared" ref="O4:O35" si="6">IF(G4="","", ((G4-G$123)/(G$124)))</f>
        <v>-0.37704613278926269</v>
      </c>
      <c r="P4" s="6">
        <f t="shared" ref="P4:P35" si="7">IF(H4="","", ((H4-H$123)/(H$124)))</f>
        <v>-0.49168040756149384</v>
      </c>
      <c r="Q4" s="6">
        <f t="shared" ref="Q4:Q35" si="8">IF(I4="","", ((I4-I$123)/(I$124)))</f>
        <v>0.50228076115990306</v>
      </c>
      <c r="R4" s="6">
        <f t="shared" ref="R4:R35" si="9">IF(K4="","", ((K4-K$123)/(K$124)))</f>
        <v>0.46456092278883249</v>
      </c>
      <c r="S4" s="6">
        <f t="shared" ref="S4:S35" si="10">IF(L4="","", ((L4-L$123)/(L$124)))</f>
        <v>-0.21786750903975419</v>
      </c>
      <c r="T4" s="4">
        <v>0</v>
      </c>
      <c r="U4" s="4">
        <v>0</v>
      </c>
      <c r="V4" s="4">
        <v>0</v>
      </c>
      <c r="W4" s="4">
        <v>0</v>
      </c>
      <c r="X4" s="4"/>
      <c r="Y4" s="4">
        <v>0</v>
      </c>
      <c r="Z4" s="4">
        <v>0</v>
      </c>
      <c r="AA4" s="4">
        <v>2</v>
      </c>
      <c r="AB4" s="4">
        <v>2</v>
      </c>
      <c r="AC4" s="4">
        <v>2</v>
      </c>
      <c r="AD4" s="4">
        <v>0</v>
      </c>
      <c r="AE4" s="4">
        <v>0</v>
      </c>
      <c r="AF4" s="4">
        <v>0</v>
      </c>
      <c r="AG4" s="4">
        <v>0</v>
      </c>
      <c r="AH4" s="4">
        <v>0</v>
      </c>
    </row>
    <row r="5" spans="1:34" x14ac:dyDescent="0.25">
      <c r="A5" s="70" t="s">
        <v>133</v>
      </c>
      <c r="B5" s="71" t="s">
        <v>134</v>
      </c>
      <c r="C5" s="4">
        <v>26</v>
      </c>
      <c r="D5" s="33">
        <v>10.5</v>
      </c>
      <c r="E5" s="34">
        <f t="shared" si="0"/>
        <v>10.5</v>
      </c>
      <c r="F5" s="62">
        <f t="shared" si="1"/>
        <v>10.5</v>
      </c>
      <c r="G5" s="4">
        <v>2.4761904761904763</v>
      </c>
      <c r="H5" s="35">
        <f t="shared" si="2"/>
        <v>2.4761904761904763</v>
      </c>
      <c r="I5" s="4">
        <v>1</v>
      </c>
      <c r="J5" s="4">
        <f t="shared" si="3"/>
        <v>1</v>
      </c>
      <c r="K5" s="4">
        <f>2429/2072</f>
        <v>1.1722972972972974</v>
      </c>
      <c r="L5" s="4">
        <v>64</v>
      </c>
      <c r="M5" s="5">
        <f t="shared" si="4"/>
        <v>1.1170107212763709</v>
      </c>
      <c r="N5" s="6">
        <f t="shared" si="5"/>
        <v>-0.49777235564776523</v>
      </c>
      <c r="O5" s="6">
        <f t="shared" si="6"/>
        <v>0.12221286678488769</v>
      </c>
      <c r="P5" s="6">
        <f t="shared" si="7"/>
        <v>2.5989992638622925E-2</v>
      </c>
      <c r="Q5" s="6">
        <f t="shared" si="8"/>
        <v>0.50228076115990306</v>
      </c>
      <c r="R5" s="6">
        <f t="shared" si="9"/>
        <v>0.84916924827809204</v>
      </c>
      <c r="S5" s="6">
        <f t="shared" si="10"/>
        <v>-0.4052335668139419</v>
      </c>
      <c r="T5" s="4">
        <v>0</v>
      </c>
      <c r="U5" s="4">
        <v>0</v>
      </c>
      <c r="V5" s="4">
        <v>0</v>
      </c>
      <c r="W5" s="4">
        <v>0</v>
      </c>
      <c r="X5" s="4"/>
      <c r="Y5" s="4">
        <v>0</v>
      </c>
      <c r="Z5" s="4">
        <v>0</v>
      </c>
      <c r="AA5" s="4">
        <v>2</v>
      </c>
      <c r="AB5" s="4">
        <v>2</v>
      </c>
      <c r="AC5" s="4">
        <v>2</v>
      </c>
      <c r="AD5" s="4">
        <v>0</v>
      </c>
      <c r="AE5" s="4">
        <v>0</v>
      </c>
      <c r="AF5" s="4">
        <v>0</v>
      </c>
      <c r="AG5" s="4">
        <v>0</v>
      </c>
      <c r="AH5" s="4">
        <v>0</v>
      </c>
    </row>
    <row r="6" spans="1:34" x14ac:dyDescent="0.25">
      <c r="A6" s="70" t="s">
        <v>135</v>
      </c>
      <c r="B6" s="71" t="s">
        <v>136</v>
      </c>
      <c r="C6" s="4">
        <v>75</v>
      </c>
      <c r="D6" s="33">
        <v>27</v>
      </c>
      <c r="E6" s="34">
        <f t="shared" si="0"/>
        <v>31</v>
      </c>
      <c r="F6" s="62">
        <f t="shared" si="1"/>
        <v>29</v>
      </c>
      <c r="G6" s="4">
        <v>2.7777777777777777</v>
      </c>
      <c r="H6" s="35">
        <f t="shared" si="2"/>
        <v>2.5862068965517242</v>
      </c>
      <c r="I6" s="4">
        <v>1.1481481481481481</v>
      </c>
      <c r="J6" s="4">
        <f t="shared" si="3"/>
        <v>0.87096774193548387</v>
      </c>
      <c r="K6" s="4">
        <v>1.22</v>
      </c>
      <c r="L6" s="4">
        <v>57</v>
      </c>
      <c r="M6" s="5">
        <f t="shared" si="4"/>
        <v>0.99483767363676789</v>
      </c>
      <c r="N6" s="6">
        <f t="shared" si="5"/>
        <v>1.6071470062263118</v>
      </c>
      <c r="O6" s="6">
        <f t="shared" si="6"/>
        <v>0.62033200562941604</v>
      </c>
      <c r="P6" s="6">
        <f t="shared" si="7"/>
        <v>0.21440049965524532</v>
      </c>
      <c r="Q6" s="6">
        <f t="shared" si="8"/>
        <v>1.5454547250512995</v>
      </c>
      <c r="R6" s="6">
        <f t="shared" si="9"/>
        <v>1.6345276148248367</v>
      </c>
      <c r="S6" s="6">
        <f t="shared" si="10"/>
        <v>-1.7167959712332559</v>
      </c>
      <c r="T6" s="4">
        <v>0</v>
      </c>
      <c r="U6" s="4">
        <v>0</v>
      </c>
      <c r="V6" s="4">
        <v>0</v>
      </c>
      <c r="W6" s="4">
        <v>0</v>
      </c>
      <c r="X6" s="4"/>
      <c r="Y6" s="4">
        <v>1</v>
      </c>
      <c r="Z6" s="4">
        <v>0</v>
      </c>
      <c r="AA6" s="4">
        <v>2</v>
      </c>
      <c r="AB6" s="4">
        <v>0</v>
      </c>
      <c r="AC6" s="4">
        <v>3</v>
      </c>
      <c r="AD6" s="4">
        <v>0</v>
      </c>
      <c r="AE6" s="4">
        <v>0</v>
      </c>
      <c r="AF6" s="4">
        <v>0</v>
      </c>
      <c r="AG6" s="4">
        <v>0</v>
      </c>
      <c r="AH6" s="4">
        <v>0</v>
      </c>
    </row>
    <row r="7" spans="1:34" x14ac:dyDescent="0.25">
      <c r="A7" s="70" t="s">
        <v>137</v>
      </c>
      <c r="B7" s="71" t="s">
        <v>138</v>
      </c>
      <c r="C7" s="4">
        <v>37</v>
      </c>
      <c r="D7" s="33">
        <f>IF(C7="", "", IF(G7="","",C7/G7))</f>
        <v>15</v>
      </c>
      <c r="E7" s="34">
        <f t="shared" si="0"/>
        <v>14.74</v>
      </c>
      <c r="F7" s="62">
        <f t="shared" si="1"/>
        <v>14.870000000000001</v>
      </c>
      <c r="G7" s="4">
        <v>2.4666666666666668</v>
      </c>
      <c r="H7" s="35">
        <f t="shared" si="2"/>
        <v>2.488231338264963</v>
      </c>
      <c r="I7" s="4">
        <v>0.98266666666666669</v>
      </c>
      <c r="J7" s="4">
        <f t="shared" si="3"/>
        <v>1.0176390773405699</v>
      </c>
      <c r="M7" s="5" t="str">
        <f t="shared" si="4"/>
        <v/>
      </c>
      <c r="N7" s="6">
        <f t="shared" si="5"/>
        <v>-2.5239437676033684E-2</v>
      </c>
      <c r="O7" s="6">
        <f t="shared" si="6"/>
        <v>0.10648278871611315</v>
      </c>
      <c r="P7" s="6">
        <f t="shared" si="7"/>
        <v>4.6610777435311002E-2</v>
      </c>
      <c r="Q7" s="6">
        <f t="shared" si="8"/>
        <v>0.38022940738460986</v>
      </c>
      <c r="R7" s="6" t="str">
        <f t="shared" si="9"/>
        <v/>
      </c>
      <c r="S7" s="6" t="str">
        <f t="shared" si="10"/>
        <v/>
      </c>
      <c r="T7" s="4">
        <v>0</v>
      </c>
      <c r="U7" s="4">
        <v>0</v>
      </c>
      <c r="V7" s="4">
        <v>0</v>
      </c>
      <c r="W7" s="4">
        <v>0</v>
      </c>
      <c r="X7" s="4"/>
      <c r="Y7" s="4">
        <v>0</v>
      </c>
      <c r="Z7" s="4">
        <v>0</v>
      </c>
      <c r="AA7" s="4">
        <v>2</v>
      </c>
      <c r="AB7" s="4">
        <v>2</v>
      </c>
      <c r="AC7" s="4">
        <v>2</v>
      </c>
      <c r="AD7" s="4">
        <v>0</v>
      </c>
      <c r="AE7" s="4">
        <v>0</v>
      </c>
      <c r="AF7" s="4">
        <v>0</v>
      </c>
      <c r="AG7" s="4">
        <v>0</v>
      </c>
      <c r="AH7" s="4">
        <v>0</v>
      </c>
    </row>
    <row r="8" spans="1:34" x14ac:dyDescent="0.25">
      <c r="A8" s="70" t="s">
        <v>139</v>
      </c>
      <c r="B8" s="71" t="s">
        <v>140</v>
      </c>
      <c r="C8" s="4">
        <v>30</v>
      </c>
      <c r="D8" s="33">
        <f>IF(C8="", "", IF(G8="","",C8/G8))</f>
        <v>10.5</v>
      </c>
      <c r="E8" s="34">
        <f t="shared" si="0"/>
        <v>10.5</v>
      </c>
      <c r="F8" s="62">
        <f t="shared" si="1"/>
        <v>10.5</v>
      </c>
      <c r="G8" s="4">
        <v>2.8571428571428572</v>
      </c>
      <c r="H8" s="35">
        <f t="shared" si="2"/>
        <v>2.8571428571428572</v>
      </c>
      <c r="I8" s="4">
        <v>1</v>
      </c>
      <c r="J8" s="4">
        <f t="shared" si="3"/>
        <v>1</v>
      </c>
      <c r="K8" s="4">
        <v>1.1100000000000001</v>
      </c>
      <c r="L8" s="4">
        <v>70</v>
      </c>
      <c r="M8" s="5">
        <f t="shared" si="4"/>
        <v>1.2217304763960306</v>
      </c>
      <c r="N8" s="6">
        <f t="shared" si="5"/>
        <v>-0.32594220365804466</v>
      </c>
      <c r="O8" s="6">
        <f t="shared" si="6"/>
        <v>0.7514159895358713</v>
      </c>
      <c r="P8" s="6">
        <f t="shared" si="7"/>
        <v>0.67839652439767373</v>
      </c>
      <c r="Q8" s="6">
        <f t="shared" si="8"/>
        <v>0.50228076115990306</v>
      </c>
      <c r="R8" s="6">
        <f t="shared" si="9"/>
        <v>-0.17646873182969802</v>
      </c>
      <c r="S8" s="6">
        <f t="shared" si="10"/>
        <v>0.71896277983118428</v>
      </c>
      <c r="T8" s="4">
        <v>0</v>
      </c>
      <c r="U8" s="4">
        <v>0</v>
      </c>
      <c r="V8" s="4">
        <v>0</v>
      </c>
      <c r="W8" s="4">
        <v>0</v>
      </c>
      <c r="X8" s="4"/>
      <c r="Y8" s="4">
        <v>0</v>
      </c>
      <c r="Z8" s="4">
        <v>0</v>
      </c>
      <c r="AA8" s="4">
        <v>2</v>
      </c>
      <c r="AB8" s="4">
        <v>2</v>
      </c>
      <c r="AC8" s="4">
        <v>2</v>
      </c>
      <c r="AD8" s="4">
        <v>0</v>
      </c>
      <c r="AE8" s="4">
        <v>0</v>
      </c>
      <c r="AF8" s="4">
        <v>0</v>
      </c>
      <c r="AG8" s="4">
        <v>0</v>
      </c>
      <c r="AH8" s="4">
        <v>0</v>
      </c>
    </row>
    <row r="9" spans="1:34" x14ac:dyDescent="0.25">
      <c r="A9" s="70" t="s">
        <v>141</v>
      </c>
      <c r="B9" s="71" t="s">
        <v>142</v>
      </c>
      <c r="C9" s="4">
        <v>82.4</v>
      </c>
      <c r="D9" s="33">
        <v>29.85</v>
      </c>
      <c r="E9" s="34">
        <f t="shared" si="0"/>
        <v>32.835000000000001</v>
      </c>
      <c r="F9" s="62">
        <f t="shared" si="1"/>
        <v>31.342500000000001</v>
      </c>
      <c r="G9" s="4">
        <v>2.76</v>
      </c>
      <c r="H9" s="35">
        <f t="shared" si="2"/>
        <v>2.6290181064050411</v>
      </c>
      <c r="I9" s="4">
        <v>1.1000000000000001</v>
      </c>
      <c r="J9" s="4">
        <f t="shared" si="3"/>
        <v>0.90909090909090906</v>
      </c>
      <c r="K9" s="4">
        <v>1.1100000000000001</v>
      </c>
      <c r="L9" s="4">
        <v>62</v>
      </c>
      <c r="M9" s="5">
        <f t="shared" si="4"/>
        <v>1.0821041362364843</v>
      </c>
      <c r="N9" s="6">
        <f t="shared" si="5"/>
        <v>1.925032787407295</v>
      </c>
      <c r="O9" s="6">
        <f t="shared" si="6"/>
        <v>0.59096919323437003</v>
      </c>
      <c r="P9" s="6">
        <f t="shared" si="7"/>
        <v>0.28771757112487517</v>
      </c>
      <c r="Q9" s="6">
        <f t="shared" si="8"/>
        <v>1.2064231867865964</v>
      </c>
      <c r="R9" s="6">
        <f t="shared" si="9"/>
        <v>-0.17646873182969802</v>
      </c>
      <c r="S9" s="6">
        <f t="shared" si="10"/>
        <v>-0.77996568236231734</v>
      </c>
      <c r="T9" s="4">
        <v>0</v>
      </c>
      <c r="U9" s="4">
        <v>0</v>
      </c>
      <c r="V9" s="4">
        <v>0</v>
      </c>
      <c r="W9" s="4">
        <v>0</v>
      </c>
      <c r="X9" s="4"/>
      <c r="Y9" s="4">
        <v>0</v>
      </c>
      <c r="Z9" s="4">
        <v>0</v>
      </c>
      <c r="AA9" s="4">
        <v>2</v>
      </c>
      <c r="AB9" s="4">
        <v>0</v>
      </c>
      <c r="AC9" s="4">
        <v>1</v>
      </c>
      <c r="AD9" s="4">
        <v>0</v>
      </c>
      <c r="AE9" s="4">
        <v>0</v>
      </c>
      <c r="AF9" s="4">
        <v>0</v>
      </c>
      <c r="AG9" s="4">
        <v>0</v>
      </c>
      <c r="AH9" s="4">
        <v>0</v>
      </c>
    </row>
    <row r="10" spans="1:34" x14ac:dyDescent="0.25">
      <c r="A10" s="70" t="s">
        <v>141</v>
      </c>
      <c r="B10" s="71" t="s">
        <v>143</v>
      </c>
      <c r="C10" s="4">
        <v>65.5</v>
      </c>
      <c r="D10" s="33">
        <f>IF(C10="", "", IF(G10="","",C10/G10))</f>
        <v>22</v>
      </c>
      <c r="E10" s="34">
        <f t="shared" si="0"/>
        <v>24.2</v>
      </c>
      <c r="F10" s="62">
        <f t="shared" si="1"/>
        <v>23.1</v>
      </c>
      <c r="G10" s="4">
        <v>2.9772727272727271</v>
      </c>
      <c r="H10" s="35">
        <f t="shared" si="2"/>
        <v>2.8354978354978355</v>
      </c>
      <c r="I10" s="4">
        <v>1.1000000000000001</v>
      </c>
      <c r="J10" s="4">
        <f t="shared" si="3"/>
        <v>0.90909090909090906</v>
      </c>
      <c r="K10" s="4">
        <v>1.1200000000000001</v>
      </c>
      <c r="L10" s="4">
        <v>65</v>
      </c>
      <c r="M10" s="5">
        <f t="shared" si="4"/>
        <v>1.1344640137963142</v>
      </c>
      <c r="N10" s="6">
        <f t="shared" si="5"/>
        <v>1.1990503952507254</v>
      </c>
      <c r="O10" s="6">
        <f t="shared" si="6"/>
        <v>0.94982947426700481</v>
      </c>
      <c r="P10" s="6">
        <f t="shared" si="7"/>
        <v>0.64132797145681841</v>
      </c>
      <c r="Q10" s="6">
        <f t="shared" si="8"/>
        <v>1.2064231867865964</v>
      </c>
      <c r="R10" s="6">
        <f t="shared" si="9"/>
        <v>-1.1832700315649083E-2</v>
      </c>
      <c r="S10" s="6">
        <f t="shared" si="10"/>
        <v>-0.21786750903975419</v>
      </c>
      <c r="T10" s="4">
        <v>0</v>
      </c>
      <c r="U10" s="4">
        <v>0</v>
      </c>
      <c r="V10" s="4">
        <v>0</v>
      </c>
      <c r="W10" s="4">
        <v>0</v>
      </c>
      <c r="X10" s="4"/>
      <c r="Y10" s="4">
        <v>0</v>
      </c>
      <c r="Z10" s="4">
        <v>0</v>
      </c>
      <c r="AA10" s="4">
        <v>2</v>
      </c>
      <c r="AB10" s="4">
        <v>0</v>
      </c>
      <c r="AC10" s="4">
        <v>1</v>
      </c>
      <c r="AD10" s="4">
        <v>0</v>
      </c>
      <c r="AE10" s="4">
        <v>0</v>
      </c>
      <c r="AF10" s="4">
        <v>0</v>
      </c>
      <c r="AG10" s="4">
        <v>0</v>
      </c>
      <c r="AH10" s="4">
        <v>0</v>
      </c>
    </row>
    <row r="11" spans="1:34" x14ac:dyDescent="0.25">
      <c r="A11" s="72" t="s">
        <v>144</v>
      </c>
      <c r="B11" s="71" t="s">
        <v>145</v>
      </c>
      <c r="C11" s="4">
        <v>39</v>
      </c>
      <c r="D11" s="33">
        <f>IF(C11="", "", IF(G11="","",C11/G11))</f>
        <v>24.483333333333338</v>
      </c>
      <c r="E11" s="34" t="str">
        <f t="shared" si="0"/>
        <v/>
      </c>
      <c r="F11" s="62" t="str">
        <f t="shared" si="1"/>
        <v/>
      </c>
      <c r="G11" s="4">
        <v>1.5929203539823007</v>
      </c>
      <c r="H11" s="35" t="str">
        <f t="shared" si="2"/>
        <v/>
      </c>
      <c r="J11" s="4" t="str">
        <f t="shared" si="3"/>
        <v/>
      </c>
      <c r="K11" s="4">
        <f>3859/3358.5</f>
        <v>1.1490248622897126</v>
      </c>
      <c r="L11" s="4">
        <v>68</v>
      </c>
      <c r="M11" s="5">
        <f t="shared" si="4"/>
        <v>1.1868238913561442</v>
      </c>
      <c r="N11" s="6">
        <f t="shared" si="5"/>
        <v>6.0675638318826601E-2</v>
      </c>
      <c r="O11" s="6">
        <f t="shared" si="6"/>
        <v>-1.3366474709209331</v>
      </c>
      <c r="P11" s="6" t="str">
        <f t="shared" si="7"/>
        <v/>
      </c>
      <c r="Q11" s="6" t="str">
        <f t="shared" si="8"/>
        <v/>
      </c>
      <c r="R11" s="6">
        <f t="shared" si="9"/>
        <v>0.46602111394635365</v>
      </c>
      <c r="S11" s="6">
        <f t="shared" si="10"/>
        <v>0.34423066428280891</v>
      </c>
      <c r="T11" s="4">
        <v>0</v>
      </c>
      <c r="U11" s="4">
        <v>0</v>
      </c>
      <c r="V11" s="4">
        <v>0</v>
      </c>
      <c r="W11" s="4">
        <v>0</v>
      </c>
      <c r="X11" s="4"/>
      <c r="Y11" s="4" t="s">
        <v>146</v>
      </c>
      <c r="Z11" s="4">
        <v>0</v>
      </c>
      <c r="AA11" s="4">
        <v>1</v>
      </c>
      <c r="AB11" s="4">
        <v>0</v>
      </c>
      <c r="AC11" s="4">
        <v>1</v>
      </c>
      <c r="AD11" s="4">
        <v>0</v>
      </c>
      <c r="AE11" s="4">
        <v>0</v>
      </c>
      <c r="AF11" s="4">
        <v>0</v>
      </c>
      <c r="AG11" s="4">
        <v>1</v>
      </c>
      <c r="AH11" s="4">
        <v>1</v>
      </c>
    </row>
    <row r="12" spans="1:34" x14ac:dyDescent="0.25">
      <c r="A12" s="70" t="s">
        <v>144</v>
      </c>
      <c r="B12" s="71" t="s">
        <v>147</v>
      </c>
      <c r="C12" s="4">
        <v>41.1</v>
      </c>
      <c r="D12" s="33">
        <v>23.24</v>
      </c>
      <c r="E12" s="34">
        <f t="shared" si="0"/>
        <v>23.24</v>
      </c>
      <c r="F12" s="62">
        <f t="shared" si="1"/>
        <v>23.24</v>
      </c>
      <c r="G12" s="4">
        <v>1.763948498</v>
      </c>
      <c r="H12" s="35">
        <f t="shared" si="2"/>
        <v>1.7685025817555939</v>
      </c>
      <c r="I12" s="4">
        <v>1</v>
      </c>
      <c r="J12" s="4">
        <f t="shared" si="3"/>
        <v>1</v>
      </c>
      <c r="K12" s="4">
        <f>1178/1117</f>
        <v>1.054610564010743</v>
      </c>
      <c r="L12" s="4">
        <v>68</v>
      </c>
      <c r="M12" s="5">
        <f t="shared" si="4"/>
        <v>1.1868238913561442</v>
      </c>
      <c r="N12" s="6">
        <f t="shared" si="5"/>
        <v>0.15088646811342996</v>
      </c>
      <c r="O12" s="6">
        <f t="shared" si="6"/>
        <v>-1.0541674348985497</v>
      </c>
      <c r="P12" s="6">
        <f t="shared" si="7"/>
        <v>-1.18597304489871</v>
      </c>
      <c r="Q12" s="6">
        <f t="shared" si="8"/>
        <v>0.50228076115990306</v>
      </c>
      <c r="R12" s="6">
        <f t="shared" si="9"/>
        <v>-1.0883784247369692</v>
      </c>
      <c r="S12" s="6">
        <f t="shared" si="10"/>
        <v>0.34423066428280891</v>
      </c>
      <c r="T12" s="4">
        <v>0</v>
      </c>
      <c r="U12" s="4">
        <v>0</v>
      </c>
      <c r="V12" s="4">
        <v>0</v>
      </c>
      <c r="W12" s="4">
        <v>0</v>
      </c>
      <c r="X12" s="4"/>
      <c r="Y12" s="4" t="s">
        <v>146</v>
      </c>
      <c r="Z12" s="4">
        <v>0</v>
      </c>
      <c r="AA12" s="4">
        <v>1</v>
      </c>
      <c r="AB12" s="4">
        <v>0</v>
      </c>
      <c r="AC12" s="4">
        <v>1</v>
      </c>
      <c r="AD12" s="4">
        <v>0</v>
      </c>
      <c r="AE12" s="4">
        <v>0</v>
      </c>
      <c r="AF12" s="4">
        <v>0</v>
      </c>
      <c r="AG12" s="4">
        <v>1</v>
      </c>
      <c r="AH12" s="4">
        <v>1</v>
      </c>
    </row>
    <row r="13" spans="1:34" x14ac:dyDescent="0.25">
      <c r="A13" s="70" t="s">
        <v>148</v>
      </c>
      <c r="B13" s="71" t="s">
        <v>149</v>
      </c>
      <c r="C13" s="4">
        <v>100</v>
      </c>
      <c r="D13" s="33">
        <v>51</v>
      </c>
      <c r="E13" s="34" t="str">
        <f t="shared" si="0"/>
        <v/>
      </c>
      <c r="F13" s="62" t="str">
        <f t="shared" si="1"/>
        <v/>
      </c>
      <c r="G13" s="4">
        <v>1.96</v>
      </c>
      <c r="H13" s="35" t="str">
        <f t="shared" si="2"/>
        <v/>
      </c>
      <c r="J13" s="4" t="str">
        <f t="shared" si="3"/>
        <v/>
      </c>
      <c r="K13" s="4">
        <v>1.18</v>
      </c>
      <c r="L13" s="4">
        <v>65</v>
      </c>
      <c r="M13" s="5">
        <f t="shared" si="4"/>
        <v>1.1344640137963142</v>
      </c>
      <c r="N13" s="6">
        <f t="shared" si="5"/>
        <v>2.6810854561620654</v>
      </c>
      <c r="O13" s="6">
        <f t="shared" si="6"/>
        <v>-0.73035736454269529</v>
      </c>
      <c r="P13" s="6" t="str">
        <f t="shared" si="7"/>
        <v/>
      </c>
      <c r="Q13" s="6" t="str">
        <f t="shared" si="8"/>
        <v/>
      </c>
      <c r="R13" s="6">
        <f t="shared" si="9"/>
        <v>0.97598348876864094</v>
      </c>
      <c r="S13" s="6">
        <f t="shared" si="10"/>
        <v>-0.21786750903975419</v>
      </c>
      <c r="T13" s="4">
        <v>0</v>
      </c>
      <c r="U13" s="4">
        <v>0</v>
      </c>
      <c r="V13" s="4">
        <v>0</v>
      </c>
      <c r="W13" s="4">
        <v>1</v>
      </c>
      <c r="X13" s="4"/>
      <c r="Y13" s="4">
        <v>1</v>
      </c>
      <c r="Z13" s="4">
        <v>0</v>
      </c>
      <c r="AA13" s="4">
        <v>2</v>
      </c>
      <c r="AB13" s="4">
        <v>0</v>
      </c>
      <c r="AC13" s="4">
        <v>3</v>
      </c>
      <c r="AD13" s="4">
        <v>0</v>
      </c>
      <c r="AE13" s="4">
        <v>2</v>
      </c>
      <c r="AF13" s="4">
        <v>0</v>
      </c>
      <c r="AG13" s="4">
        <v>1</v>
      </c>
      <c r="AH13" s="4">
        <v>0</v>
      </c>
    </row>
    <row r="14" spans="1:34" x14ac:dyDescent="0.25">
      <c r="A14" s="70" t="s">
        <v>150</v>
      </c>
      <c r="B14" s="71" t="s">
        <v>151</v>
      </c>
      <c r="C14" s="4">
        <v>110</v>
      </c>
      <c r="D14" s="33">
        <v>49</v>
      </c>
      <c r="E14" s="34">
        <f t="shared" si="0"/>
        <v>49.647727272727273</v>
      </c>
      <c r="F14" s="62">
        <f t="shared" si="1"/>
        <v>49.32386363636364</v>
      </c>
      <c r="G14" s="4">
        <v>2.4500000000000002</v>
      </c>
      <c r="H14" s="35">
        <f t="shared" si="2"/>
        <v>2.2301578159198248</v>
      </c>
      <c r="I14" s="4">
        <v>1.0132189239332097</v>
      </c>
      <c r="J14" s="4">
        <f t="shared" si="3"/>
        <v>0.98695353627832449</v>
      </c>
      <c r="K14" s="4">
        <v>1.1299999999999999</v>
      </c>
      <c r="L14" s="4">
        <v>65</v>
      </c>
      <c r="M14" s="5">
        <f t="shared" si="4"/>
        <v>1.1344640137963142</v>
      </c>
      <c r="N14" s="6">
        <f t="shared" si="5"/>
        <v>3.1106608361363666</v>
      </c>
      <c r="O14" s="6">
        <f t="shared" si="6"/>
        <v>7.8955152095757722E-2</v>
      </c>
      <c r="P14" s="6">
        <f t="shared" si="7"/>
        <v>-0.39535745815127704</v>
      </c>
      <c r="Q14" s="6">
        <f t="shared" si="8"/>
        <v>0.59536081278495312</v>
      </c>
      <c r="R14" s="6">
        <f t="shared" si="9"/>
        <v>0.1528033311983962</v>
      </c>
      <c r="S14" s="6">
        <f t="shared" si="10"/>
        <v>-0.21786750903975419</v>
      </c>
      <c r="T14" s="4">
        <v>0</v>
      </c>
      <c r="U14" s="4">
        <v>0</v>
      </c>
      <c r="V14" s="4">
        <v>0</v>
      </c>
      <c r="W14" s="4">
        <v>1</v>
      </c>
      <c r="X14" s="4"/>
      <c r="Y14" s="4">
        <v>1</v>
      </c>
      <c r="Z14" s="4">
        <v>0</v>
      </c>
      <c r="AA14" s="4">
        <v>2</v>
      </c>
      <c r="AB14" s="4">
        <v>0</v>
      </c>
      <c r="AC14" s="4">
        <v>3</v>
      </c>
      <c r="AD14" s="4">
        <v>0</v>
      </c>
      <c r="AE14" s="4">
        <v>2</v>
      </c>
      <c r="AF14" s="4">
        <v>0</v>
      </c>
      <c r="AG14" s="4">
        <v>1</v>
      </c>
      <c r="AH14" s="4">
        <v>0</v>
      </c>
    </row>
    <row r="15" spans="1:34" x14ac:dyDescent="0.25">
      <c r="A15" s="70" t="s">
        <v>152</v>
      </c>
      <c r="B15" s="71" t="s">
        <v>153</v>
      </c>
      <c r="C15" s="73">
        <v>48</v>
      </c>
      <c r="D15" s="33">
        <f>IF(C15="", "", IF(G15="","",C15/G15))</f>
        <v>29</v>
      </c>
      <c r="E15" s="34">
        <f t="shared" si="0"/>
        <v>34</v>
      </c>
      <c r="F15" s="62">
        <f t="shared" si="1"/>
        <v>31.5</v>
      </c>
      <c r="G15" s="73">
        <v>1.6551724137931034</v>
      </c>
      <c r="H15" s="35">
        <f t="shared" si="2"/>
        <v>1.5238095238095237</v>
      </c>
      <c r="I15" s="4">
        <v>1.1724137931034482</v>
      </c>
      <c r="J15" s="4">
        <f t="shared" si="3"/>
        <v>0.85294117647058831</v>
      </c>
      <c r="L15" s="4">
        <v>60</v>
      </c>
      <c r="M15" s="5">
        <f t="shared" si="4"/>
        <v>1.0471975511965976</v>
      </c>
      <c r="N15" s="6">
        <f t="shared" si="5"/>
        <v>0.44729348029569788</v>
      </c>
      <c r="O15" s="6">
        <f t="shared" si="6"/>
        <v>-1.2338283460405082</v>
      </c>
      <c r="P15" s="6">
        <f t="shared" si="7"/>
        <v>-1.6050263367590043</v>
      </c>
      <c r="Q15" s="6">
        <f t="shared" si="8"/>
        <v>1.7163194260335104</v>
      </c>
      <c r="R15" s="6" t="str">
        <f t="shared" si="9"/>
        <v/>
      </c>
      <c r="S15" s="6">
        <f t="shared" si="10"/>
        <v>-1.1546977979106927</v>
      </c>
      <c r="T15" s="4">
        <v>0</v>
      </c>
      <c r="U15" s="4">
        <v>0</v>
      </c>
      <c r="V15" s="4">
        <v>0</v>
      </c>
      <c r="W15" s="4">
        <v>1</v>
      </c>
      <c r="X15" s="4"/>
      <c r="Y15" s="4">
        <v>1</v>
      </c>
      <c r="Z15" s="4">
        <v>0</v>
      </c>
      <c r="AA15" s="4">
        <v>2</v>
      </c>
      <c r="AB15" s="4">
        <v>0</v>
      </c>
      <c r="AC15" s="4">
        <v>2</v>
      </c>
      <c r="AD15" s="4">
        <v>0</v>
      </c>
      <c r="AE15" s="4">
        <v>1</v>
      </c>
      <c r="AF15" s="4">
        <v>0</v>
      </c>
      <c r="AG15" s="4">
        <v>1</v>
      </c>
      <c r="AH15" s="4">
        <v>0</v>
      </c>
    </row>
    <row r="16" spans="1:34" x14ac:dyDescent="0.25">
      <c r="A16" s="70" t="s">
        <v>154</v>
      </c>
      <c r="B16" s="71" t="s">
        <v>155</v>
      </c>
      <c r="C16" s="4">
        <v>63.5</v>
      </c>
      <c r="D16" s="33">
        <v>30.23</v>
      </c>
      <c r="E16" s="34" t="str">
        <f t="shared" si="0"/>
        <v/>
      </c>
      <c r="F16" s="62" t="str">
        <f t="shared" si="1"/>
        <v/>
      </c>
      <c r="G16" s="4">
        <v>2.1</v>
      </c>
      <c r="H16" s="35" t="str">
        <f t="shared" si="2"/>
        <v/>
      </c>
      <c r="J16" s="4" t="str">
        <f t="shared" si="3"/>
        <v/>
      </c>
      <c r="K16" s="4">
        <f>609/493</f>
        <v>1.2352941176470589</v>
      </c>
      <c r="L16" s="4">
        <v>60</v>
      </c>
      <c r="M16" s="5">
        <f t="shared" si="4"/>
        <v>1.0471975511965976</v>
      </c>
      <c r="N16" s="6">
        <f t="shared" si="5"/>
        <v>1.1131353192558651</v>
      </c>
      <c r="O16" s="6">
        <f t="shared" si="6"/>
        <v>-0.49912521693170858</v>
      </c>
      <c r="P16" s="6" t="str">
        <f t="shared" si="7"/>
        <v/>
      </c>
      <c r="Q16" s="6" t="str">
        <f t="shared" si="8"/>
        <v/>
      </c>
      <c r="R16" s="6">
        <f t="shared" si="9"/>
        <v>1.8863238983169126</v>
      </c>
      <c r="S16" s="6">
        <f t="shared" si="10"/>
        <v>-1.1546977979106927</v>
      </c>
      <c r="T16" s="4">
        <v>0</v>
      </c>
      <c r="U16" s="4">
        <v>0</v>
      </c>
      <c r="V16" s="4">
        <v>0</v>
      </c>
      <c r="W16" s="4">
        <v>1</v>
      </c>
      <c r="X16" s="4"/>
      <c r="Y16" s="4"/>
      <c r="Z16" s="4">
        <v>0</v>
      </c>
      <c r="AA16" s="4">
        <v>2</v>
      </c>
      <c r="AB16" s="4">
        <v>0</v>
      </c>
      <c r="AC16" s="4">
        <v>3</v>
      </c>
      <c r="AD16" s="4">
        <v>0</v>
      </c>
      <c r="AE16" s="4">
        <v>2</v>
      </c>
      <c r="AF16" s="4">
        <v>0</v>
      </c>
      <c r="AG16" s="4"/>
      <c r="AH16" s="4">
        <v>0</v>
      </c>
    </row>
    <row r="17" spans="1:34" x14ac:dyDescent="0.25">
      <c r="A17" s="70" t="s">
        <v>156</v>
      </c>
      <c r="B17" s="71" t="s">
        <v>157</v>
      </c>
      <c r="C17" s="4">
        <v>41</v>
      </c>
      <c r="D17" s="33">
        <v>18</v>
      </c>
      <c r="E17" s="34" t="str">
        <f t="shared" si="0"/>
        <v/>
      </c>
      <c r="F17" s="62" t="str">
        <f t="shared" si="1"/>
        <v/>
      </c>
      <c r="G17" s="4">
        <v>2.2777777777699999</v>
      </c>
      <c r="H17" s="35" t="str">
        <f t="shared" si="2"/>
        <v/>
      </c>
      <c r="J17" s="4" t="str">
        <f t="shared" si="3"/>
        <v/>
      </c>
      <c r="L17" s="4">
        <v>72</v>
      </c>
      <c r="M17" s="5">
        <f t="shared" si="4"/>
        <v>1.2566370614359172</v>
      </c>
      <c r="N17" s="6">
        <f t="shared" si="5"/>
        <v>0.14659071431368689</v>
      </c>
      <c r="O17" s="6">
        <f t="shared" si="6"/>
        <v>-0.20549709299409613</v>
      </c>
      <c r="P17" s="6" t="str">
        <f t="shared" si="7"/>
        <v/>
      </c>
      <c r="Q17" s="6" t="str">
        <f t="shared" si="8"/>
        <v/>
      </c>
      <c r="R17" s="6" t="str">
        <f t="shared" si="9"/>
        <v/>
      </c>
      <c r="S17" s="6">
        <f t="shared" si="10"/>
        <v>1.0936948953795598</v>
      </c>
      <c r="T17" s="4">
        <v>0</v>
      </c>
      <c r="U17" s="4">
        <v>0</v>
      </c>
      <c r="V17" s="4">
        <v>0</v>
      </c>
      <c r="W17" s="4">
        <v>1</v>
      </c>
      <c r="X17" s="4"/>
      <c r="Y17" s="4"/>
      <c r="Z17" s="4">
        <v>0</v>
      </c>
      <c r="AA17" s="4">
        <v>2</v>
      </c>
      <c r="AB17" s="4">
        <v>0</v>
      </c>
      <c r="AC17" s="4">
        <v>3</v>
      </c>
      <c r="AD17" s="4">
        <v>0</v>
      </c>
      <c r="AE17" s="4">
        <v>2</v>
      </c>
      <c r="AF17" s="4">
        <v>0</v>
      </c>
      <c r="AG17" s="4"/>
      <c r="AH17" s="4">
        <v>0</v>
      </c>
    </row>
    <row r="18" spans="1:34" s="2" customFormat="1" x14ac:dyDescent="0.25">
      <c r="A18" s="74" t="s">
        <v>135</v>
      </c>
      <c r="B18" s="75" t="s">
        <v>158</v>
      </c>
      <c r="C18" s="4">
        <v>72</v>
      </c>
      <c r="D18" s="33">
        <v>30</v>
      </c>
      <c r="E18" s="34">
        <f t="shared" si="0"/>
        <v>32</v>
      </c>
      <c r="F18" s="62">
        <f t="shared" si="1"/>
        <v>31</v>
      </c>
      <c r="G18" s="4">
        <v>2.4</v>
      </c>
      <c r="H18" s="35">
        <f t="shared" si="2"/>
        <v>2.3225806451612905</v>
      </c>
      <c r="I18" s="4">
        <v>1.0666666666666667</v>
      </c>
      <c r="J18" s="4">
        <f t="shared" si="3"/>
        <v>0.9375</v>
      </c>
      <c r="K18" s="4">
        <v>1.2</v>
      </c>
      <c r="L18" s="4">
        <v>57</v>
      </c>
      <c r="M18" s="5">
        <f t="shared" si="4"/>
        <v>0.99483767363676789</v>
      </c>
      <c r="N18" s="6">
        <f t="shared" si="5"/>
        <v>1.4782743922340214</v>
      </c>
      <c r="O18" s="6">
        <f t="shared" si="6"/>
        <v>-3.6277577653093173E-3</v>
      </c>
      <c r="P18" s="6">
        <f t="shared" si="7"/>
        <v>-0.23707715726422002</v>
      </c>
      <c r="Q18" s="6">
        <f t="shared" si="8"/>
        <v>0.97170904491103149</v>
      </c>
      <c r="R18" s="6">
        <f t="shared" si="9"/>
        <v>1.3052555517967388</v>
      </c>
      <c r="S18" s="6">
        <f t="shared" si="10"/>
        <v>-1.7167959712332559</v>
      </c>
      <c r="T18" s="4">
        <v>0</v>
      </c>
      <c r="U18" s="4">
        <v>0</v>
      </c>
      <c r="V18" s="4">
        <v>0</v>
      </c>
      <c r="W18" s="4">
        <v>0</v>
      </c>
      <c r="X18" s="4"/>
      <c r="Y18" s="4">
        <v>1</v>
      </c>
      <c r="Z18" s="4">
        <v>0</v>
      </c>
      <c r="AA18" s="4">
        <v>2</v>
      </c>
      <c r="AB18" s="4">
        <v>0</v>
      </c>
      <c r="AC18" s="4">
        <v>3</v>
      </c>
      <c r="AD18" s="4">
        <v>0</v>
      </c>
      <c r="AE18" s="4">
        <v>0</v>
      </c>
      <c r="AF18" s="4">
        <v>0</v>
      </c>
      <c r="AG18" s="4">
        <v>0</v>
      </c>
      <c r="AH18" s="4">
        <v>0</v>
      </c>
    </row>
    <row r="19" spans="1:34" x14ac:dyDescent="0.25">
      <c r="A19" s="74" t="s">
        <v>141</v>
      </c>
      <c r="B19" s="75" t="s">
        <v>159</v>
      </c>
      <c r="C19" s="4">
        <v>71</v>
      </c>
      <c r="D19" s="33">
        <v>25.1</v>
      </c>
      <c r="E19" s="34">
        <f t="shared" si="0"/>
        <v>29.299999999999997</v>
      </c>
      <c r="F19" s="62">
        <f t="shared" si="1"/>
        <v>27.2</v>
      </c>
      <c r="G19" s="4">
        <v>2.8281355932203391</v>
      </c>
      <c r="H19" s="35">
        <f t="shared" si="2"/>
        <v>2.6102941176470589</v>
      </c>
      <c r="I19" s="4">
        <v>1.1673306772908365</v>
      </c>
      <c r="J19" s="4">
        <f t="shared" si="3"/>
        <v>0.85665529010238917</v>
      </c>
      <c r="K19" s="4">
        <v>1.1200000000000001</v>
      </c>
      <c r="L19" s="4">
        <v>65</v>
      </c>
      <c r="M19" s="5">
        <f t="shared" si="4"/>
        <v>1.1344640137963142</v>
      </c>
      <c r="N19" s="6">
        <f t="shared" si="5"/>
        <v>1.4353168542365911</v>
      </c>
      <c r="O19" s="6">
        <f t="shared" si="6"/>
        <v>0.70350590429928173</v>
      </c>
      <c r="P19" s="6">
        <f t="shared" si="7"/>
        <v>0.25565148313836228</v>
      </c>
      <c r="Q19" s="6">
        <f t="shared" si="8"/>
        <v>1.6805270510531727</v>
      </c>
      <c r="R19" s="6">
        <f t="shared" si="9"/>
        <v>-1.1832700315649083E-2</v>
      </c>
      <c r="S19" s="6">
        <f t="shared" si="10"/>
        <v>-0.21786750903975419</v>
      </c>
      <c r="T19" s="4">
        <v>0</v>
      </c>
      <c r="U19" s="4">
        <v>0</v>
      </c>
      <c r="V19" s="4">
        <v>0</v>
      </c>
      <c r="W19" s="4">
        <v>0</v>
      </c>
      <c r="X19" s="4"/>
      <c r="Y19" s="4">
        <v>0</v>
      </c>
      <c r="Z19" s="4">
        <v>0</v>
      </c>
      <c r="AA19" s="4">
        <v>2</v>
      </c>
      <c r="AB19" s="4">
        <v>0</v>
      </c>
      <c r="AC19" s="4">
        <v>1</v>
      </c>
      <c r="AD19" s="4">
        <v>0</v>
      </c>
      <c r="AE19" s="4">
        <v>0</v>
      </c>
      <c r="AF19" s="4">
        <v>0</v>
      </c>
      <c r="AG19" s="4">
        <v>0</v>
      </c>
      <c r="AH19" s="4">
        <v>0</v>
      </c>
    </row>
    <row r="20" spans="1:34" x14ac:dyDescent="0.25">
      <c r="A20" s="74" t="s">
        <v>141</v>
      </c>
      <c r="B20" s="75" t="s">
        <v>159</v>
      </c>
      <c r="C20" s="4">
        <v>83.43</v>
      </c>
      <c r="D20" s="33">
        <v>29.5</v>
      </c>
      <c r="E20" s="34">
        <f t="shared" si="0"/>
        <v>32.5</v>
      </c>
      <c r="F20" s="62">
        <f t="shared" si="1"/>
        <v>31</v>
      </c>
      <c r="G20" s="4">
        <v>2.8281355932203391</v>
      </c>
      <c r="H20" s="35">
        <f t="shared" si="2"/>
        <v>2.6912903225806453</v>
      </c>
      <c r="I20" s="4">
        <v>1.1016949152542372</v>
      </c>
      <c r="J20" s="4">
        <f t="shared" si="3"/>
        <v>0.90769230769230769</v>
      </c>
      <c r="K20" s="4">
        <v>1.1200000000000001</v>
      </c>
      <c r="L20" s="4">
        <v>60</v>
      </c>
      <c r="M20" s="5">
        <f t="shared" si="4"/>
        <v>1.0471975511965976</v>
      </c>
      <c r="N20" s="6">
        <f t="shared" si="5"/>
        <v>1.9692790515446481</v>
      </c>
      <c r="O20" s="6">
        <f t="shared" si="6"/>
        <v>0.70350590429928173</v>
      </c>
      <c r="P20" s="6">
        <f t="shared" si="7"/>
        <v>0.39436292264757411</v>
      </c>
      <c r="Q20" s="6">
        <f t="shared" si="8"/>
        <v>1.2183578041700986</v>
      </c>
      <c r="R20" s="6">
        <f t="shared" si="9"/>
        <v>-1.1832700315649083E-2</v>
      </c>
      <c r="S20" s="6">
        <f t="shared" si="10"/>
        <v>-1.1546977979106927</v>
      </c>
      <c r="T20" s="4">
        <v>0</v>
      </c>
      <c r="U20" s="4">
        <v>0</v>
      </c>
      <c r="V20" s="4">
        <v>0</v>
      </c>
      <c r="W20" s="4">
        <v>0</v>
      </c>
      <c r="X20" s="4"/>
      <c r="Y20" s="4">
        <v>0</v>
      </c>
      <c r="Z20" s="4">
        <v>0</v>
      </c>
      <c r="AA20" s="4">
        <v>2</v>
      </c>
      <c r="AB20" s="4">
        <v>0</v>
      </c>
      <c r="AC20" s="4">
        <v>1</v>
      </c>
      <c r="AD20" s="4">
        <v>0</v>
      </c>
      <c r="AE20" s="4">
        <v>0</v>
      </c>
      <c r="AF20" s="4">
        <v>0</v>
      </c>
      <c r="AG20" s="4">
        <v>0</v>
      </c>
      <c r="AH20" s="4">
        <v>0</v>
      </c>
    </row>
    <row r="21" spans="1:34" x14ac:dyDescent="0.25">
      <c r="A21" s="74" t="s">
        <v>135</v>
      </c>
      <c r="B21" s="75" t="s">
        <v>160</v>
      </c>
      <c r="C21" s="4">
        <v>87.1</v>
      </c>
      <c r="D21" s="33">
        <v>35.1</v>
      </c>
      <c r="E21" s="34">
        <f t="shared" si="0"/>
        <v>44.600000000000009</v>
      </c>
      <c r="F21" s="62">
        <f t="shared" si="1"/>
        <v>39.850000000000009</v>
      </c>
      <c r="G21" s="4">
        <v>2.4814814814814814</v>
      </c>
      <c r="H21" s="35">
        <f t="shared" si="2"/>
        <v>2.1856963613550811</v>
      </c>
      <c r="I21" s="4">
        <v>1.2706552706552707</v>
      </c>
      <c r="J21" s="4">
        <f t="shared" si="3"/>
        <v>0.7869955156950672</v>
      </c>
      <c r="K21" s="4">
        <f>11.4/9.3</f>
        <v>1.2258064516129032</v>
      </c>
      <c r="L21" s="4">
        <v>58</v>
      </c>
      <c r="M21" s="5">
        <f t="shared" si="4"/>
        <v>1.0122909661567112</v>
      </c>
      <c r="N21" s="6">
        <f t="shared" si="5"/>
        <v>2.1269332159952161</v>
      </c>
      <c r="O21" s="6">
        <f t="shared" si="6"/>
        <v>0.13095179904531773</v>
      </c>
      <c r="P21" s="6">
        <f t="shared" si="7"/>
        <v>-0.47150068449633808</v>
      </c>
      <c r="Q21" s="6">
        <f t="shared" si="8"/>
        <v>2.4080793490384167</v>
      </c>
      <c r="R21" s="6">
        <f t="shared" si="9"/>
        <v>1.730122729897511</v>
      </c>
      <c r="S21" s="6">
        <f t="shared" si="10"/>
        <v>-1.5294299134590681</v>
      </c>
      <c r="T21" s="4">
        <v>0</v>
      </c>
      <c r="U21" s="4">
        <v>0</v>
      </c>
      <c r="V21" s="4">
        <v>0</v>
      </c>
      <c r="W21" s="4">
        <v>0</v>
      </c>
      <c r="X21" s="4"/>
      <c r="Y21" s="4">
        <v>1</v>
      </c>
      <c r="Z21" s="4">
        <v>0</v>
      </c>
      <c r="AA21" s="4">
        <v>2</v>
      </c>
      <c r="AB21" s="4">
        <v>0</v>
      </c>
      <c r="AC21" s="4">
        <v>3</v>
      </c>
      <c r="AD21" s="4">
        <v>0</v>
      </c>
      <c r="AE21" s="4">
        <v>0</v>
      </c>
      <c r="AF21" s="4">
        <v>0</v>
      </c>
      <c r="AG21" s="4">
        <v>0</v>
      </c>
      <c r="AH21" s="4">
        <v>0</v>
      </c>
    </row>
    <row r="22" spans="1:34" x14ac:dyDescent="0.25">
      <c r="A22" s="74" t="s">
        <v>161</v>
      </c>
      <c r="B22" s="75" t="s">
        <v>162</v>
      </c>
      <c r="C22" s="4">
        <v>110.2</v>
      </c>
      <c r="D22" s="33">
        <v>31.34</v>
      </c>
      <c r="E22" s="34">
        <f t="shared" si="0"/>
        <v>40</v>
      </c>
      <c r="F22" s="62">
        <f t="shared" si="1"/>
        <v>35.67</v>
      </c>
      <c r="G22" s="4">
        <v>3.5162731333758774</v>
      </c>
      <c r="H22" s="35">
        <f t="shared" si="2"/>
        <v>3.089430894308943</v>
      </c>
      <c r="I22" s="4">
        <v>1.2763241863433312</v>
      </c>
      <c r="J22" s="4">
        <f t="shared" si="3"/>
        <v>0.78349999999999997</v>
      </c>
      <c r="K22" s="4">
        <f>2720/2431</f>
        <v>1.118881118881119</v>
      </c>
      <c r="L22" s="4">
        <v>65</v>
      </c>
      <c r="M22" s="5">
        <f t="shared" si="4"/>
        <v>1.1344640137963142</v>
      </c>
      <c r="N22" s="6">
        <f t="shared" si="5"/>
        <v>3.119252343735853</v>
      </c>
      <c r="O22" s="6">
        <f t="shared" si="6"/>
        <v>1.8400739133129</v>
      </c>
      <c r="P22" s="6">
        <f t="shared" si="7"/>
        <v>1.0762053852263629</v>
      </c>
      <c r="Q22" s="6">
        <f t="shared" si="8"/>
        <v>2.447996589471058</v>
      </c>
      <c r="R22" s="6">
        <f t="shared" si="9"/>
        <v>-3.0253515030508091E-2</v>
      </c>
      <c r="S22" s="6">
        <f t="shared" si="10"/>
        <v>-0.21786750903975419</v>
      </c>
      <c r="T22" s="4">
        <v>0</v>
      </c>
      <c r="U22" s="4">
        <v>0</v>
      </c>
      <c r="V22" s="4">
        <v>0</v>
      </c>
      <c r="W22" s="4">
        <v>0</v>
      </c>
      <c r="X22" s="4"/>
      <c r="Y22" s="4">
        <v>1</v>
      </c>
      <c r="Z22" s="4">
        <v>0</v>
      </c>
      <c r="AA22" s="4">
        <v>2</v>
      </c>
      <c r="AB22" s="4">
        <v>0</v>
      </c>
      <c r="AC22" s="4">
        <v>2</v>
      </c>
      <c r="AD22" s="4">
        <v>0</v>
      </c>
      <c r="AE22" s="4">
        <v>0</v>
      </c>
      <c r="AF22" s="4">
        <v>0</v>
      </c>
      <c r="AG22" s="4">
        <v>0</v>
      </c>
      <c r="AH22" s="4">
        <v>0</v>
      </c>
    </row>
    <row r="23" spans="1:34" x14ac:dyDescent="0.25">
      <c r="A23" s="76" t="s">
        <v>163</v>
      </c>
      <c r="B23" s="75" t="s">
        <v>164</v>
      </c>
      <c r="C23" s="4">
        <v>63.5</v>
      </c>
      <c r="D23" s="33">
        <v>25</v>
      </c>
      <c r="E23" s="34" t="str">
        <f t="shared" si="0"/>
        <v/>
      </c>
      <c r="F23" s="62" t="str">
        <f t="shared" si="1"/>
        <v/>
      </c>
      <c r="G23" s="4">
        <v>2.54</v>
      </c>
      <c r="H23" s="35" t="str">
        <f t="shared" si="2"/>
        <v/>
      </c>
      <c r="J23" s="4" t="str">
        <f t="shared" si="3"/>
        <v/>
      </c>
      <c r="M23" s="5" t="str">
        <f t="shared" si="4"/>
        <v/>
      </c>
      <c r="N23" s="6">
        <f t="shared" si="5"/>
        <v>1.1131353192558651</v>
      </c>
      <c r="O23" s="6">
        <f t="shared" si="6"/>
        <v>0.22760438984567735</v>
      </c>
      <c r="P23" s="6" t="str">
        <f t="shared" si="7"/>
        <v/>
      </c>
      <c r="Q23" s="6" t="str">
        <f t="shared" si="8"/>
        <v/>
      </c>
      <c r="R23" s="6" t="str">
        <f t="shared" si="9"/>
        <v/>
      </c>
      <c r="S23" s="6" t="str">
        <f t="shared" si="10"/>
        <v/>
      </c>
      <c r="T23" s="4">
        <v>0</v>
      </c>
      <c r="U23" s="4">
        <v>0</v>
      </c>
      <c r="V23" s="4">
        <v>0</v>
      </c>
      <c r="W23" s="4">
        <v>0</v>
      </c>
      <c r="X23" s="4"/>
      <c r="Y23" s="4">
        <v>1</v>
      </c>
      <c r="Z23" s="4">
        <v>0</v>
      </c>
      <c r="AA23" s="4"/>
      <c r="AB23" s="4">
        <v>0</v>
      </c>
      <c r="AC23" s="4">
        <v>3</v>
      </c>
      <c r="AD23" s="4">
        <v>0</v>
      </c>
      <c r="AE23" s="4">
        <v>0</v>
      </c>
      <c r="AF23" s="4">
        <v>0</v>
      </c>
      <c r="AG23" s="4">
        <v>0</v>
      </c>
      <c r="AH23" s="4">
        <v>0</v>
      </c>
    </row>
    <row r="24" spans="1:34" x14ac:dyDescent="0.25">
      <c r="A24" s="76" t="s">
        <v>163</v>
      </c>
      <c r="B24" s="75" t="s">
        <v>165</v>
      </c>
      <c r="C24" s="4">
        <v>85</v>
      </c>
      <c r="D24" s="33">
        <v>37.799999999999997</v>
      </c>
      <c r="E24" s="34">
        <f t="shared" si="0"/>
        <v>38.130000000000003</v>
      </c>
      <c r="F24" s="62">
        <f t="shared" si="1"/>
        <v>37.965000000000003</v>
      </c>
      <c r="G24" s="4">
        <v>2.2486772486772488</v>
      </c>
      <c r="H24" s="35">
        <f t="shared" si="2"/>
        <v>2.2389042539180823</v>
      </c>
      <c r="I24" s="4">
        <v>1.0087301587301589</v>
      </c>
      <c r="J24" s="4">
        <f t="shared" si="3"/>
        <v>0.99134539732494076</v>
      </c>
      <c r="K24" s="4">
        <f>90.1/82.5</f>
        <v>1.092121212121212</v>
      </c>
      <c r="L24" s="4">
        <v>63</v>
      </c>
      <c r="M24" s="5">
        <f t="shared" si="4"/>
        <v>1.0995574287564276</v>
      </c>
      <c r="N24" s="6">
        <f t="shared" si="5"/>
        <v>2.036722386200613</v>
      </c>
      <c r="O24" s="6">
        <f t="shared" si="6"/>
        <v>-0.25356122041361628</v>
      </c>
      <c r="P24" s="6">
        <f t="shared" si="7"/>
        <v>-0.38037859579209393</v>
      </c>
      <c r="Q24" s="6">
        <f t="shared" si="8"/>
        <v>0.56375351260350459</v>
      </c>
      <c r="R24" s="6">
        <f t="shared" si="9"/>
        <v>-0.47081800029421228</v>
      </c>
      <c r="S24" s="6">
        <f t="shared" si="10"/>
        <v>-0.59259962458812965</v>
      </c>
      <c r="T24" s="4">
        <v>0</v>
      </c>
      <c r="U24" s="4">
        <v>0</v>
      </c>
      <c r="V24" s="4">
        <v>0</v>
      </c>
      <c r="W24" s="4">
        <v>0</v>
      </c>
      <c r="X24" s="4"/>
      <c r="Y24" s="4">
        <v>1</v>
      </c>
      <c r="Z24" s="4">
        <v>0</v>
      </c>
      <c r="AA24" s="4">
        <v>2</v>
      </c>
      <c r="AB24" s="4">
        <v>0</v>
      </c>
      <c r="AC24" s="4">
        <v>2</v>
      </c>
      <c r="AD24" s="4">
        <v>0</v>
      </c>
      <c r="AE24" s="4">
        <v>0</v>
      </c>
      <c r="AF24" s="4">
        <v>0</v>
      </c>
      <c r="AG24" s="4">
        <v>1</v>
      </c>
      <c r="AH24" s="4">
        <v>0</v>
      </c>
    </row>
    <row r="25" spans="1:34" x14ac:dyDescent="0.25">
      <c r="A25" s="76" t="s">
        <v>163</v>
      </c>
      <c r="B25" s="75" t="s">
        <v>166</v>
      </c>
      <c r="C25" s="4">
        <v>48.6</v>
      </c>
      <c r="D25" s="33">
        <v>21.4</v>
      </c>
      <c r="E25" s="34">
        <f t="shared" si="0"/>
        <v>24.299999999999997</v>
      </c>
      <c r="F25" s="62">
        <f t="shared" si="1"/>
        <v>22.849999999999998</v>
      </c>
      <c r="G25" s="4">
        <v>2.2710280373831777</v>
      </c>
      <c r="H25" s="35">
        <f t="shared" si="2"/>
        <v>2.1269146608315102</v>
      </c>
      <c r="I25" s="4">
        <v>1.1355140186915889</v>
      </c>
      <c r="J25" s="4">
        <f t="shared" si="3"/>
        <v>0.88065843621399176</v>
      </c>
      <c r="K25" s="4">
        <f>55.1/47.7</f>
        <v>1.1551362683438156</v>
      </c>
      <c r="L25" s="4">
        <v>61</v>
      </c>
      <c r="M25" s="5">
        <f t="shared" si="4"/>
        <v>1.064650843716541</v>
      </c>
      <c r="N25" s="6">
        <f t="shared" si="5"/>
        <v>0.47306800309415603</v>
      </c>
      <c r="O25" s="6">
        <f t="shared" si="6"/>
        <v>-0.21664535703310689</v>
      </c>
      <c r="P25" s="6">
        <f t="shared" si="7"/>
        <v>-0.57216829359122856</v>
      </c>
      <c r="Q25" s="6">
        <f t="shared" si="8"/>
        <v>1.4564924594390665</v>
      </c>
      <c r="R25" s="6">
        <f t="shared" si="9"/>
        <v>0.56663687791819839</v>
      </c>
      <c r="S25" s="6">
        <f t="shared" si="10"/>
        <v>-0.96733174013650502</v>
      </c>
      <c r="T25" s="4">
        <v>0</v>
      </c>
      <c r="U25" s="4">
        <v>0</v>
      </c>
      <c r="V25" s="4">
        <v>0</v>
      </c>
      <c r="W25" s="4">
        <v>0</v>
      </c>
      <c r="X25" s="4"/>
      <c r="Y25" s="4">
        <v>1</v>
      </c>
      <c r="Z25" s="4">
        <v>0</v>
      </c>
      <c r="AA25" s="4">
        <v>2</v>
      </c>
      <c r="AB25" s="4">
        <v>0</v>
      </c>
      <c r="AC25" s="4">
        <v>2</v>
      </c>
      <c r="AD25" s="4">
        <v>0</v>
      </c>
      <c r="AE25" s="4">
        <v>0</v>
      </c>
      <c r="AF25" s="4">
        <v>0</v>
      </c>
      <c r="AG25" s="4">
        <v>0</v>
      </c>
      <c r="AH25" s="4">
        <v>1</v>
      </c>
    </row>
    <row r="26" spans="1:34" x14ac:dyDescent="0.25">
      <c r="A26" s="76" t="s">
        <v>163</v>
      </c>
      <c r="B26" s="75" t="s">
        <v>167</v>
      </c>
      <c r="C26" s="4">
        <v>40</v>
      </c>
      <c r="D26" s="33">
        <v>17.5</v>
      </c>
      <c r="E26" s="34">
        <f t="shared" si="0"/>
        <v>19.5</v>
      </c>
      <c r="F26" s="62">
        <f t="shared" si="1"/>
        <v>18.5</v>
      </c>
      <c r="G26" s="4">
        <v>2.2857142857142856</v>
      </c>
      <c r="H26" s="35">
        <f t="shared" si="2"/>
        <v>2.1621621621621623</v>
      </c>
      <c r="I26" s="4">
        <v>1.1142857142857143</v>
      </c>
      <c r="J26" s="4">
        <f t="shared" si="3"/>
        <v>0.89743589743589736</v>
      </c>
      <c r="K26" s="4">
        <f>3319.3/3008</f>
        <v>1.1034906914893619</v>
      </c>
      <c r="L26" s="4">
        <v>62</v>
      </c>
      <c r="M26" s="5">
        <f t="shared" si="4"/>
        <v>1.0821041362364843</v>
      </c>
      <c r="N26" s="6">
        <f t="shared" si="5"/>
        <v>0.10363317631625674</v>
      </c>
      <c r="O26" s="6">
        <f t="shared" si="6"/>
        <v>-0.19238869459060445</v>
      </c>
      <c r="P26" s="6">
        <f t="shared" si="7"/>
        <v>-0.51180458083843239</v>
      </c>
      <c r="Q26" s="6">
        <f t="shared" si="8"/>
        <v>1.3070149618761235</v>
      </c>
      <c r="R26" s="6">
        <f t="shared" si="9"/>
        <v>-0.28363540393890846</v>
      </c>
      <c r="S26" s="6">
        <f t="shared" si="10"/>
        <v>-0.77996568236231734</v>
      </c>
      <c r="T26" s="4">
        <v>0</v>
      </c>
      <c r="U26" s="4">
        <v>0</v>
      </c>
      <c r="V26" s="4">
        <v>0</v>
      </c>
      <c r="W26" s="4">
        <v>0</v>
      </c>
      <c r="X26" s="4"/>
      <c r="Y26" s="4">
        <v>1</v>
      </c>
      <c r="Z26" s="4">
        <v>0</v>
      </c>
      <c r="AA26" s="4">
        <v>1</v>
      </c>
      <c r="AB26" s="4">
        <v>0</v>
      </c>
      <c r="AC26" s="4">
        <v>2</v>
      </c>
      <c r="AD26" s="4">
        <v>0</v>
      </c>
      <c r="AE26" s="4">
        <v>0</v>
      </c>
      <c r="AF26" s="4">
        <v>0</v>
      </c>
      <c r="AG26" s="4">
        <v>0</v>
      </c>
      <c r="AH26" s="4">
        <v>1</v>
      </c>
    </row>
    <row r="27" spans="1:34" x14ac:dyDescent="0.25">
      <c r="A27" s="74" t="s">
        <v>168</v>
      </c>
      <c r="B27" s="75" t="s">
        <v>169</v>
      </c>
      <c r="C27" s="4">
        <v>73.86</v>
      </c>
      <c r="D27" s="33">
        <v>37.4</v>
      </c>
      <c r="E27" s="34">
        <f t="shared" si="0"/>
        <v>37.25</v>
      </c>
      <c r="F27" s="62">
        <f t="shared" si="1"/>
        <v>37.325000000000003</v>
      </c>
      <c r="G27" s="4">
        <v>1.9748663101604278</v>
      </c>
      <c r="H27" s="35">
        <f t="shared" si="2"/>
        <v>1.9788345612860012</v>
      </c>
      <c r="I27" s="4">
        <v>0.99598930481283421</v>
      </c>
      <c r="J27" s="4">
        <f t="shared" si="3"/>
        <v>1.0040268456375838</v>
      </c>
      <c r="K27" s="4">
        <f>93.1/81.23</f>
        <v>1.1461282777299027</v>
      </c>
      <c r="L27" s="4">
        <v>60</v>
      </c>
      <c r="M27" s="5">
        <f t="shared" si="4"/>
        <v>1.0471975511965976</v>
      </c>
      <c r="N27" s="6">
        <f t="shared" si="5"/>
        <v>1.5581754129092413</v>
      </c>
      <c r="O27" s="6">
        <f t="shared" si="6"/>
        <v>-0.70580330150378989</v>
      </c>
      <c r="P27" s="6">
        <f t="shared" si="7"/>
        <v>-0.82576540702965728</v>
      </c>
      <c r="Q27" s="6">
        <f t="shared" si="8"/>
        <v>0.47403975478450089</v>
      </c>
      <c r="R27" s="6">
        <f t="shared" si="9"/>
        <v>0.41833289525915662</v>
      </c>
      <c r="S27" s="6">
        <f t="shared" si="10"/>
        <v>-1.1546977979106927</v>
      </c>
      <c r="T27" s="4">
        <v>0</v>
      </c>
      <c r="U27" s="4">
        <v>0</v>
      </c>
      <c r="V27" s="4">
        <v>0</v>
      </c>
      <c r="W27" s="4">
        <v>0</v>
      </c>
      <c r="X27" s="4"/>
      <c r="Y27" s="4">
        <v>1</v>
      </c>
      <c r="Z27" s="4">
        <v>0</v>
      </c>
      <c r="AA27" s="4">
        <v>2</v>
      </c>
      <c r="AB27" s="4">
        <v>0</v>
      </c>
      <c r="AC27" s="4">
        <v>3</v>
      </c>
      <c r="AD27" s="4">
        <v>0</v>
      </c>
      <c r="AE27" s="4">
        <v>2</v>
      </c>
      <c r="AF27" s="4">
        <v>0</v>
      </c>
      <c r="AG27" s="4">
        <v>0</v>
      </c>
      <c r="AH27" s="4">
        <v>0</v>
      </c>
    </row>
    <row r="28" spans="1:34" x14ac:dyDescent="0.25">
      <c r="A28" s="74" t="s">
        <v>152</v>
      </c>
      <c r="B28" s="75" t="s">
        <v>170</v>
      </c>
      <c r="C28" s="77">
        <v>65.61</v>
      </c>
      <c r="D28" s="77">
        <v>26.31</v>
      </c>
      <c r="E28" s="77">
        <v>27.03</v>
      </c>
      <c r="F28" s="62">
        <f t="shared" si="1"/>
        <v>26.67</v>
      </c>
      <c r="G28" s="4">
        <f>C28/D28</f>
        <v>2.4937286202964652</v>
      </c>
      <c r="H28" s="35">
        <f t="shared" si="2"/>
        <v>2.4600674915635543</v>
      </c>
      <c r="I28" s="4">
        <f>E28/D28</f>
        <v>1.0273660205245154</v>
      </c>
      <c r="J28" s="4">
        <f t="shared" si="3"/>
        <v>0.97336293007769148</v>
      </c>
      <c r="K28" s="4">
        <v>1.133</v>
      </c>
      <c r="L28" s="4">
        <v>66.5</v>
      </c>
      <c r="M28" s="5">
        <f t="shared" si="4"/>
        <v>1.1606439525762291</v>
      </c>
      <c r="N28" s="6">
        <f t="shared" si="5"/>
        <v>1.2037757244304426</v>
      </c>
      <c r="O28" s="6">
        <f t="shared" si="6"/>
        <v>0.15117988626159337</v>
      </c>
      <c r="P28" s="6">
        <f t="shared" si="7"/>
        <v>-1.6217011267705397E-3</v>
      </c>
      <c r="Q28" s="6">
        <f t="shared" si="8"/>
        <v>0.69497652187872461</v>
      </c>
      <c r="R28" s="6">
        <f t="shared" si="9"/>
        <v>0.20219414065261271</v>
      </c>
      <c r="S28" s="6">
        <f t="shared" si="10"/>
        <v>6.318157762152736E-2</v>
      </c>
      <c r="T28" s="4">
        <v>0</v>
      </c>
      <c r="U28" s="4">
        <v>0</v>
      </c>
      <c r="V28" s="4">
        <v>0</v>
      </c>
      <c r="W28" s="36">
        <v>1</v>
      </c>
      <c r="X28" s="4"/>
      <c r="Y28" s="36">
        <v>1</v>
      </c>
      <c r="Z28" s="4">
        <v>0</v>
      </c>
      <c r="AA28" s="4">
        <v>2</v>
      </c>
      <c r="AB28" s="4">
        <v>0</v>
      </c>
      <c r="AC28" s="4">
        <v>2</v>
      </c>
      <c r="AD28" s="4">
        <v>0</v>
      </c>
      <c r="AE28" s="4">
        <v>1</v>
      </c>
      <c r="AF28" s="4">
        <v>0</v>
      </c>
      <c r="AG28" s="4">
        <v>1</v>
      </c>
      <c r="AH28" s="4">
        <v>0</v>
      </c>
    </row>
    <row r="29" spans="1:34" x14ac:dyDescent="0.25">
      <c r="A29" s="76" t="s">
        <v>171</v>
      </c>
      <c r="B29" s="75" t="s">
        <v>172</v>
      </c>
      <c r="C29" s="4">
        <v>49.15</v>
      </c>
      <c r="D29" s="33">
        <v>26.7</v>
      </c>
      <c r="E29" s="34">
        <f t="shared" ref="E29:E54" si="11">IF(J29="","", (D29/J29))</f>
        <v>28.999999999999996</v>
      </c>
      <c r="F29" s="62">
        <f t="shared" si="1"/>
        <v>27.849999999999998</v>
      </c>
      <c r="G29" s="4">
        <v>1.8408239700374531</v>
      </c>
      <c r="H29" s="35">
        <f t="shared" si="2"/>
        <v>1.7648114901256733</v>
      </c>
      <c r="I29" s="4">
        <v>1.0861423220973783</v>
      </c>
      <c r="J29" s="4">
        <f t="shared" si="3"/>
        <v>0.92068965517241386</v>
      </c>
      <c r="K29" s="4">
        <f>1583.1/1283.1</f>
        <v>1.2338087444470422</v>
      </c>
      <c r="L29" s="4">
        <v>59</v>
      </c>
      <c r="M29" s="5">
        <f t="shared" si="4"/>
        <v>1.0297442586766545</v>
      </c>
      <c r="N29" s="6">
        <f t="shared" si="5"/>
        <v>0.49669464899274246</v>
      </c>
      <c r="O29" s="6">
        <f t="shared" si="6"/>
        <v>-0.92719543134263083</v>
      </c>
      <c r="P29" s="6">
        <f t="shared" si="7"/>
        <v>-1.1922942871564988</v>
      </c>
      <c r="Q29" s="6">
        <f t="shared" si="8"/>
        <v>1.108845397467541</v>
      </c>
      <c r="R29" s="6">
        <f t="shared" si="9"/>
        <v>1.8618693034201066</v>
      </c>
      <c r="S29" s="6">
        <f t="shared" si="10"/>
        <v>-1.3420638556848803</v>
      </c>
      <c r="T29" s="4">
        <v>0</v>
      </c>
      <c r="U29" s="4">
        <v>0</v>
      </c>
      <c r="V29" s="4">
        <v>0</v>
      </c>
      <c r="W29" s="4">
        <v>0</v>
      </c>
      <c r="X29" s="4"/>
      <c r="Y29" s="4">
        <v>1</v>
      </c>
      <c r="Z29" s="4">
        <v>0</v>
      </c>
      <c r="AA29" s="4">
        <v>2</v>
      </c>
      <c r="AB29" s="4">
        <v>0</v>
      </c>
      <c r="AC29" s="4">
        <v>2</v>
      </c>
      <c r="AD29" s="4">
        <v>0</v>
      </c>
      <c r="AE29" s="4">
        <v>0</v>
      </c>
      <c r="AF29" s="4">
        <v>0</v>
      </c>
      <c r="AG29" s="4">
        <v>1</v>
      </c>
      <c r="AH29" s="4">
        <v>1</v>
      </c>
    </row>
    <row r="30" spans="1:34" x14ac:dyDescent="0.25">
      <c r="A30" s="76" t="s">
        <v>171</v>
      </c>
      <c r="B30" s="75" t="s">
        <v>173</v>
      </c>
      <c r="C30" s="4">
        <v>74.430000000000007</v>
      </c>
      <c r="D30" s="33">
        <v>32.590000000000003</v>
      </c>
      <c r="E30" s="34">
        <f t="shared" si="11"/>
        <v>38.21</v>
      </c>
      <c r="F30" s="62">
        <f t="shared" si="1"/>
        <v>35.400000000000006</v>
      </c>
      <c r="G30" s="4">
        <v>2.2838293955200983</v>
      </c>
      <c r="H30" s="35">
        <f t="shared" si="2"/>
        <v>2.1025423728813557</v>
      </c>
      <c r="I30" s="4">
        <v>1.1724455354403189</v>
      </c>
      <c r="J30" s="4">
        <f t="shared" si="3"/>
        <v>0.85291808427113336</v>
      </c>
      <c r="K30" s="4">
        <f>2505.6/2122</f>
        <v>1.1807728557964183</v>
      </c>
      <c r="L30" s="4">
        <v>60</v>
      </c>
      <c r="M30" s="5">
        <f t="shared" si="4"/>
        <v>1.0471975511965976</v>
      </c>
      <c r="N30" s="6">
        <f t="shared" si="5"/>
        <v>1.5826612095677768</v>
      </c>
      <c r="O30" s="6">
        <f t="shared" si="6"/>
        <v>-0.19550188893069595</v>
      </c>
      <c r="P30" s="6">
        <f t="shared" si="7"/>
        <v>-0.61390747320428563</v>
      </c>
      <c r="Q30" s="6">
        <f t="shared" si="8"/>
        <v>1.7165429372943029</v>
      </c>
      <c r="R30" s="6">
        <f t="shared" si="9"/>
        <v>0.98870747989413621</v>
      </c>
      <c r="S30" s="6">
        <f t="shared" si="10"/>
        <v>-1.1546977979106927</v>
      </c>
      <c r="T30" s="4">
        <v>0</v>
      </c>
      <c r="U30" s="4">
        <v>0</v>
      </c>
      <c r="V30" s="4">
        <v>0</v>
      </c>
      <c r="W30" s="4">
        <v>0</v>
      </c>
      <c r="X30" s="4"/>
      <c r="Y30" s="4">
        <v>1</v>
      </c>
      <c r="Z30" s="4">
        <v>0</v>
      </c>
      <c r="AA30" s="4">
        <v>2</v>
      </c>
      <c r="AB30" s="4">
        <v>0</v>
      </c>
      <c r="AC30" s="4">
        <v>2</v>
      </c>
      <c r="AD30" s="4">
        <v>0</v>
      </c>
      <c r="AE30" s="4">
        <v>0</v>
      </c>
      <c r="AF30" s="4">
        <v>0</v>
      </c>
      <c r="AG30" s="4">
        <v>1</v>
      </c>
      <c r="AH30" s="4">
        <v>1</v>
      </c>
    </row>
    <row r="31" spans="1:34" x14ac:dyDescent="0.25">
      <c r="A31" s="74" t="s">
        <v>168</v>
      </c>
      <c r="B31" s="75" t="s">
        <v>174</v>
      </c>
      <c r="C31" s="4">
        <v>79.099999999999994</v>
      </c>
      <c r="D31" s="33">
        <v>30.21</v>
      </c>
      <c r="E31" s="34">
        <f t="shared" si="11"/>
        <v>31.33</v>
      </c>
      <c r="F31" s="62">
        <f t="shared" si="1"/>
        <v>30.77</v>
      </c>
      <c r="G31" s="4">
        <v>2.6183382985766301</v>
      </c>
      <c r="H31" s="35">
        <f t="shared" si="2"/>
        <v>2.5706857328566786</v>
      </c>
      <c r="I31" s="4">
        <v>1.0370738166170141</v>
      </c>
      <c r="J31" s="4">
        <f t="shared" si="3"/>
        <v>0.96425151611873616</v>
      </c>
      <c r="K31" s="4">
        <f>73.4/71.5</f>
        <v>1.0265734265734268</v>
      </c>
      <c r="L31" s="4">
        <v>72</v>
      </c>
      <c r="M31" s="5">
        <f t="shared" si="4"/>
        <v>1.2566370614359172</v>
      </c>
      <c r="N31" s="6">
        <f t="shared" si="5"/>
        <v>1.7832729120157751</v>
      </c>
      <c r="O31" s="6">
        <f t="shared" si="6"/>
        <v>0.35699248284614066</v>
      </c>
      <c r="P31" s="6">
        <f t="shared" si="7"/>
        <v>0.18781946464547861</v>
      </c>
      <c r="Q31" s="6">
        <f t="shared" si="8"/>
        <v>0.7633332327593384</v>
      </c>
      <c r="R31" s="6">
        <f t="shared" si="9"/>
        <v>-1.5499707290063414</v>
      </c>
      <c r="S31" s="6">
        <f t="shared" si="10"/>
        <v>1.0936948953795598</v>
      </c>
      <c r="T31" s="4">
        <v>0</v>
      </c>
      <c r="U31" s="4">
        <v>0</v>
      </c>
      <c r="V31" s="4">
        <v>0</v>
      </c>
      <c r="W31" s="4">
        <v>1</v>
      </c>
      <c r="X31" s="4"/>
      <c r="Y31" s="4">
        <v>1</v>
      </c>
      <c r="Z31" s="4">
        <v>0</v>
      </c>
      <c r="AA31" s="4">
        <v>2</v>
      </c>
      <c r="AB31" s="4">
        <v>0</v>
      </c>
      <c r="AC31" s="4">
        <v>3</v>
      </c>
      <c r="AD31" s="4">
        <v>0</v>
      </c>
      <c r="AE31" s="4">
        <v>2</v>
      </c>
      <c r="AF31" s="4">
        <v>0</v>
      </c>
      <c r="AG31" s="4">
        <v>0</v>
      </c>
      <c r="AH31" s="4">
        <v>0</v>
      </c>
    </row>
    <row r="32" spans="1:34" x14ac:dyDescent="0.25">
      <c r="A32" s="76" t="s">
        <v>171</v>
      </c>
      <c r="B32" s="75" t="s">
        <v>175</v>
      </c>
      <c r="C32" s="4">
        <v>82.24</v>
      </c>
      <c r="D32" s="33">
        <v>36</v>
      </c>
      <c r="E32" s="34">
        <f t="shared" si="11"/>
        <v>39.799999999999997</v>
      </c>
      <c r="F32" s="62">
        <f t="shared" si="1"/>
        <v>37.9</v>
      </c>
      <c r="G32" s="4">
        <v>2.2844444444444445</v>
      </c>
      <c r="H32" s="35">
        <f t="shared" si="2"/>
        <v>2.1699208443271769</v>
      </c>
      <c r="I32" s="4">
        <v>1.1055555555555554</v>
      </c>
      <c r="J32" s="4">
        <f t="shared" si="3"/>
        <v>0.90452261306532677</v>
      </c>
      <c r="K32" s="4">
        <f>81.7/70.2</f>
        <v>1.1638176638176638</v>
      </c>
      <c r="L32" s="4">
        <v>58</v>
      </c>
      <c r="M32" s="5">
        <f t="shared" si="4"/>
        <v>1.0122909661567112</v>
      </c>
      <c r="N32" s="6">
        <f t="shared" si="5"/>
        <v>1.9181595813277057</v>
      </c>
      <c r="O32" s="6">
        <f t="shared" si="6"/>
        <v>-0.19448603833310743</v>
      </c>
      <c r="P32" s="6">
        <f t="shared" si="7"/>
        <v>-0.49851731666740018</v>
      </c>
      <c r="Q32" s="6">
        <f t="shared" si="8"/>
        <v>1.245542210432522</v>
      </c>
      <c r="R32" s="6">
        <f t="shared" si="9"/>
        <v>0.70956392780003885</v>
      </c>
      <c r="S32" s="6">
        <f t="shared" si="10"/>
        <v>-1.5294299134590681</v>
      </c>
      <c r="T32" s="4">
        <v>0</v>
      </c>
      <c r="U32" s="4">
        <v>0</v>
      </c>
      <c r="V32" s="4">
        <v>0</v>
      </c>
      <c r="W32" s="4">
        <v>0</v>
      </c>
      <c r="X32" s="4"/>
      <c r="Y32" s="4">
        <v>1</v>
      </c>
      <c r="Z32" s="4">
        <v>0</v>
      </c>
      <c r="AA32" s="4">
        <v>2</v>
      </c>
      <c r="AB32" s="4">
        <v>0</v>
      </c>
      <c r="AC32" s="4">
        <v>2</v>
      </c>
      <c r="AD32" s="4">
        <v>0</v>
      </c>
      <c r="AE32" s="4">
        <v>0</v>
      </c>
      <c r="AF32" s="4">
        <v>0</v>
      </c>
      <c r="AG32" s="4">
        <v>1</v>
      </c>
      <c r="AH32" s="4">
        <v>1</v>
      </c>
    </row>
    <row r="33" spans="1:34" x14ac:dyDescent="0.25">
      <c r="A33" s="76" t="s">
        <v>171</v>
      </c>
      <c r="B33" s="75" t="s">
        <v>176</v>
      </c>
      <c r="C33" s="4">
        <v>42.79</v>
      </c>
      <c r="D33" s="33">
        <v>32.17</v>
      </c>
      <c r="E33" s="34" t="str">
        <f t="shared" si="11"/>
        <v/>
      </c>
      <c r="F33" s="62" t="str">
        <f t="shared" si="1"/>
        <v/>
      </c>
      <c r="G33" s="4">
        <v>1.3301212309605221</v>
      </c>
      <c r="H33" s="35" t="str">
        <f t="shared" si="2"/>
        <v/>
      </c>
      <c r="J33" s="4" t="str">
        <f t="shared" si="3"/>
        <v/>
      </c>
      <c r="L33" s="4">
        <v>60</v>
      </c>
      <c r="M33" s="5">
        <f t="shared" si="4"/>
        <v>1.0471975511965976</v>
      </c>
      <c r="N33" s="6">
        <f t="shared" si="5"/>
        <v>0.22348470732908679</v>
      </c>
      <c r="O33" s="6">
        <f t="shared" si="6"/>
        <v>-1.770701796682431</v>
      </c>
      <c r="P33" s="6" t="str">
        <f t="shared" si="7"/>
        <v/>
      </c>
      <c r="Q33" s="6" t="str">
        <f t="shared" si="8"/>
        <v/>
      </c>
      <c r="R33" s="6" t="str">
        <f t="shared" si="9"/>
        <v/>
      </c>
      <c r="S33" s="6">
        <f t="shared" si="10"/>
        <v>-1.1546977979106927</v>
      </c>
      <c r="T33" s="4">
        <v>0</v>
      </c>
      <c r="U33" s="4">
        <v>0</v>
      </c>
      <c r="V33" s="4">
        <v>0</v>
      </c>
      <c r="W33" s="4">
        <v>0</v>
      </c>
      <c r="X33" s="4"/>
      <c r="Y33" s="4">
        <v>1</v>
      </c>
      <c r="Z33" s="4">
        <v>0</v>
      </c>
      <c r="AA33" s="4">
        <v>2</v>
      </c>
      <c r="AB33" s="4">
        <v>1</v>
      </c>
      <c r="AC33" s="4">
        <v>2</v>
      </c>
      <c r="AD33" s="4">
        <v>0</v>
      </c>
      <c r="AE33" s="4">
        <v>0</v>
      </c>
      <c r="AF33" s="4">
        <v>0</v>
      </c>
      <c r="AG33" s="4">
        <v>1</v>
      </c>
      <c r="AH33" s="4">
        <v>1</v>
      </c>
    </row>
    <row r="34" spans="1:34" x14ac:dyDescent="0.25">
      <c r="A34" s="74" t="s">
        <v>168</v>
      </c>
      <c r="B34" s="75" t="s">
        <v>177</v>
      </c>
      <c r="C34" s="4">
        <v>61.82</v>
      </c>
      <c r="D34" s="33">
        <v>26.94</v>
      </c>
      <c r="E34" s="34">
        <f t="shared" si="11"/>
        <v>26</v>
      </c>
      <c r="F34" s="62">
        <f t="shared" si="1"/>
        <v>26.47</v>
      </c>
      <c r="G34" s="4">
        <v>2.2947290274684482</v>
      </c>
      <c r="H34" s="35">
        <f t="shared" si="2"/>
        <v>2.335474121647148</v>
      </c>
      <c r="I34" s="4">
        <v>0.96510764662212323</v>
      </c>
      <c r="J34" s="4">
        <f t="shared" si="3"/>
        <v>1.0361538461538462</v>
      </c>
      <c r="K34" s="4">
        <f>2590.1/2333.2</f>
        <v>1.1101062917881022</v>
      </c>
      <c r="L34" s="4">
        <v>68</v>
      </c>
      <c r="M34" s="5">
        <f t="shared" si="4"/>
        <v>1.1868238913561442</v>
      </c>
      <c r="N34" s="6">
        <f t="shared" si="5"/>
        <v>1.0409666554201824</v>
      </c>
      <c r="O34" s="6">
        <f t="shared" si="6"/>
        <v>-0.17749942247650838</v>
      </c>
      <c r="P34" s="6">
        <f t="shared" si="7"/>
        <v>-0.21499621303852523</v>
      </c>
      <c r="Q34" s="6">
        <f t="shared" si="8"/>
        <v>0.25658889772668436</v>
      </c>
      <c r="R34" s="6">
        <f t="shared" si="9"/>
        <v>-0.17471878601213242</v>
      </c>
      <c r="S34" s="6">
        <f t="shared" si="10"/>
        <v>0.34423066428280891</v>
      </c>
      <c r="T34" s="4">
        <v>0</v>
      </c>
      <c r="U34" s="4">
        <v>0</v>
      </c>
      <c r="V34" s="4">
        <v>0</v>
      </c>
      <c r="W34" s="4">
        <v>1</v>
      </c>
      <c r="X34" s="4"/>
      <c r="Y34" s="4">
        <v>1</v>
      </c>
      <c r="Z34" s="4">
        <v>0</v>
      </c>
      <c r="AA34" s="4">
        <v>2</v>
      </c>
      <c r="AB34" s="4">
        <v>0</v>
      </c>
      <c r="AC34" s="4">
        <v>3</v>
      </c>
      <c r="AD34" s="4">
        <v>0</v>
      </c>
      <c r="AE34" s="4">
        <v>2</v>
      </c>
      <c r="AF34" s="4">
        <v>0</v>
      </c>
      <c r="AG34" s="4">
        <v>0</v>
      </c>
      <c r="AH34" s="4">
        <v>0</v>
      </c>
    </row>
    <row r="35" spans="1:34" x14ac:dyDescent="0.25">
      <c r="A35" s="74" t="s">
        <v>168</v>
      </c>
      <c r="B35" s="75" t="s">
        <v>178</v>
      </c>
      <c r="C35" s="4">
        <v>76.319999999999993</v>
      </c>
      <c r="D35" s="33">
        <v>34.979999999999997</v>
      </c>
      <c r="E35" s="34">
        <f t="shared" si="11"/>
        <v>32.159999999999997</v>
      </c>
      <c r="F35" s="62">
        <f t="shared" si="1"/>
        <v>33.569999999999993</v>
      </c>
      <c r="G35" s="4">
        <v>2.1818181818181817</v>
      </c>
      <c r="H35" s="35">
        <f t="shared" si="2"/>
        <v>2.2734584450402147</v>
      </c>
      <c r="I35" s="4">
        <v>0.9193825042881647</v>
      </c>
      <c r="J35" s="4">
        <f t="shared" si="3"/>
        <v>1.0876865671641791</v>
      </c>
      <c r="K35" s="4">
        <f>3383.7/2994.7</f>
        <v>1.1298961498647611</v>
      </c>
      <c r="L35" s="4">
        <v>63</v>
      </c>
      <c r="M35" s="5">
        <f t="shared" si="4"/>
        <v>1.0995574287564276</v>
      </c>
      <c r="N35" s="6">
        <f t="shared" si="5"/>
        <v>1.6638509563829191</v>
      </c>
      <c r="O35" s="6">
        <f t="shared" si="6"/>
        <v>-0.36398954624996366</v>
      </c>
      <c r="P35" s="6">
        <f t="shared" si="7"/>
        <v>-0.32120222332430343</v>
      </c>
      <c r="Q35" s="6">
        <f t="shared" si="8"/>
        <v>-6.5381228624908888E-2</v>
      </c>
      <c r="R35" s="6">
        <f t="shared" si="9"/>
        <v>0.15109358378460427</v>
      </c>
      <c r="S35" s="6">
        <f t="shared" si="10"/>
        <v>-0.59259962458812965</v>
      </c>
      <c r="T35" s="4">
        <v>0</v>
      </c>
      <c r="U35" s="4">
        <v>0</v>
      </c>
      <c r="V35" s="4">
        <v>0</v>
      </c>
      <c r="W35" s="4">
        <v>1</v>
      </c>
      <c r="X35" s="4"/>
      <c r="Y35" s="4">
        <v>1</v>
      </c>
      <c r="Z35" s="4">
        <v>0</v>
      </c>
      <c r="AA35" s="4">
        <v>2</v>
      </c>
      <c r="AB35" s="4">
        <v>0</v>
      </c>
      <c r="AC35" s="4">
        <v>3</v>
      </c>
      <c r="AD35" s="4">
        <v>0</v>
      </c>
      <c r="AE35" s="4">
        <v>2</v>
      </c>
      <c r="AF35" s="4">
        <v>0</v>
      </c>
      <c r="AG35" s="4">
        <v>0</v>
      </c>
      <c r="AH35" s="4">
        <v>0</v>
      </c>
    </row>
    <row r="36" spans="1:34" x14ac:dyDescent="0.25">
      <c r="A36" s="74" t="s">
        <v>179</v>
      </c>
      <c r="B36" s="75" t="s">
        <v>180</v>
      </c>
      <c r="C36" s="4">
        <v>84.8</v>
      </c>
      <c r="D36" s="33">
        <v>38.299999999999997</v>
      </c>
      <c r="E36" s="34">
        <f t="shared" si="11"/>
        <v>37.399999999999991</v>
      </c>
      <c r="F36" s="62">
        <f t="shared" ref="F36:F67" si="12">IF(E36="","",(D36+E36)/2)</f>
        <v>37.849999999999994</v>
      </c>
      <c r="G36" s="4">
        <v>2.2140992167101827</v>
      </c>
      <c r="H36" s="35">
        <f t="shared" ref="H36:H67" si="13">IF(F36="","",(C36/F36))</f>
        <v>2.240422721268164</v>
      </c>
      <c r="I36" s="4">
        <v>0.97650130548302871</v>
      </c>
      <c r="J36" s="4">
        <f t="shared" ref="J36:J67" si="14">IF(I36="","",(1/I36))</f>
        <v>1.0240641711229947</v>
      </c>
      <c r="K36" s="4">
        <f>9.1/8</f>
        <v>1.1375</v>
      </c>
      <c r="L36" s="4">
        <v>67</v>
      </c>
      <c r="M36" s="5">
        <f t="shared" ref="M36:M67" si="15">IF(L36="", "",RADIANS(L36))</f>
        <v>1.1693705988362009</v>
      </c>
      <c r="N36" s="6">
        <f t="shared" ref="N36:N67" si="16">IF(C36="","", ((C36-C$123)/(C$124)))</f>
        <v>2.028130878601127</v>
      </c>
      <c r="O36" s="6">
        <f t="shared" ref="O36:O67" si="17">IF(G36="","", ((G36-G$123)/(G$124)))</f>
        <v>-0.31067231035580228</v>
      </c>
      <c r="P36" s="6">
        <f t="shared" ref="P36:P67" si="18">IF(H36="","", ((H36-H$123)/(H$124)))</f>
        <v>-0.37777811849627163</v>
      </c>
      <c r="Q36" s="6">
        <f t="shared" ref="Q36:Q67" si="19">IF(I36="","", ((I36-I$123)/(I$124)))</f>
        <v>0.33681648359749489</v>
      </c>
      <c r="R36" s="6">
        <f t="shared" ref="R36:R67" si="20">IF(K36="","", ((K36-K$123)/(K$124)))</f>
        <v>0.27628035483393382</v>
      </c>
      <c r="S36" s="6">
        <f t="shared" ref="S36:S67" si="21">IF(L36="","", ((L36-L$123)/(L$124)))</f>
        <v>0.15686460650862122</v>
      </c>
      <c r="T36" s="4">
        <v>0</v>
      </c>
      <c r="U36" s="4">
        <v>0</v>
      </c>
      <c r="V36" s="4">
        <v>0</v>
      </c>
      <c r="W36" s="4">
        <v>1</v>
      </c>
      <c r="X36" s="4"/>
      <c r="Y36" s="4">
        <v>1</v>
      </c>
      <c r="Z36" s="4">
        <v>0</v>
      </c>
      <c r="AA36" s="4">
        <v>2</v>
      </c>
      <c r="AB36" s="4">
        <v>0</v>
      </c>
      <c r="AC36" s="4">
        <v>3</v>
      </c>
      <c r="AD36" s="4">
        <v>0</v>
      </c>
      <c r="AE36" s="4">
        <v>2</v>
      </c>
      <c r="AF36" s="4">
        <v>0</v>
      </c>
      <c r="AG36" s="4">
        <v>0</v>
      </c>
      <c r="AH36" s="4">
        <v>0</v>
      </c>
    </row>
    <row r="37" spans="1:34" x14ac:dyDescent="0.25">
      <c r="A37" s="78" t="s">
        <v>181</v>
      </c>
      <c r="B37" s="79" t="s">
        <v>182</v>
      </c>
      <c r="C37" s="4">
        <v>30</v>
      </c>
      <c r="D37" s="33">
        <f>IF(C37="", "", IF(G37="","",C37/G37))</f>
        <v>9.1</v>
      </c>
      <c r="E37" s="34">
        <f t="shared" si="11"/>
        <v>8</v>
      </c>
      <c r="F37" s="62">
        <f t="shared" si="12"/>
        <v>8.5500000000000007</v>
      </c>
      <c r="G37" s="4">
        <v>3.296703296703297</v>
      </c>
      <c r="H37" s="35">
        <f t="shared" si="13"/>
        <v>3.5087719298245612</v>
      </c>
      <c r="I37" s="4">
        <v>0.87912087912087911</v>
      </c>
      <c r="J37" s="4">
        <f t="shared" si="14"/>
        <v>1.1375</v>
      </c>
      <c r="K37" s="4">
        <f>1444.9/1318.3</f>
        <v>1.0960327694758403</v>
      </c>
      <c r="L37" s="4">
        <v>63</v>
      </c>
      <c r="M37" s="5">
        <f t="shared" si="15"/>
        <v>1.0995574287564276</v>
      </c>
      <c r="N37" s="6">
        <f t="shared" si="16"/>
        <v>-0.32594220365804466</v>
      </c>
      <c r="O37" s="6">
        <f t="shared" si="17"/>
        <v>1.4774195927100835</v>
      </c>
      <c r="P37" s="6">
        <f t="shared" si="18"/>
        <v>1.7943550655644707</v>
      </c>
      <c r="Q37" s="6">
        <f t="shared" si="19"/>
        <v>-0.34888041267456066</v>
      </c>
      <c r="R37" s="6">
        <f t="shared" si="20"/>
        <v>-0.40641967230365411</v>
      </c>
      <c r="S37" s="6">
        <f t="shared" si="21"/>
        <v>-0.59259962458812965</v>
      </c>
      <c r="T37" s="4">
        <v>1</v>
      </c>
      <c r="U37" s="4">
        <v>0</v>
      </c>
      <c r="V37" s="4">
        <v>0</v>
      </c>
      <c r="W37" s="4">
        <v>0</v>
      </c>
      <c r="X37" s="4"/>
      <c r="Y37" s="4">
        <v>0</v>
      </c>
      <c r="Z37" s="4">
        <v>0</v>
      </c>
      <c r="AA37" s="4">
        <v>3</v>
      </c>
      <c r="AB37" s="4">
        <v>3</v>
      </c>
      <c r="AC37" s="4">
        <v>1</v>
      </c>
      <c r="AD37" s="4">
        <v>0</v>
      </c>
      <c r="AE37" s="4">
        <v>0</v>
      </c>
      <c r="AF37" s="4">
        <v>0</v>
      </c>
      <c r="AG37" s="4">
        <v>0</v>
      </c>
      <c r="AH37" s="4">
        <v>0</v>
      </c>
    </row>
    <row r="38" spans="1:34" x14ac:dyDescent="0.25">
      <c r="A38" s="80" t="s">
        <v>183</v>
      </c>
      <c r="B38" s="79" t="s">
        <v>184</v>
      </c>
      <c r="C38" s="4">
        <v>18.21</v>
      </c>
      <c r="D38" s="33">
        <v>5.73</v>
      </c>
      <c r="E38" s="34" t="str">
        <f t="shared" si="11"/>
        <v/>
      </c>
      <c r="F38" s="62" t="str">
        <f t="shared" si="12"/>
        <v/>
      </c>
      <c r="G38" s="4">
        <v>3.15</v>
      </c>
      <c r="H38" s="35" t="str">
        <f t="shared" si="13"/>
        <v/>
      </c>
      <c r="J38" s="4" t="str">
        <f t="shared" si="14"/>
        <v/>
      </c>
      <c r="M38" s="5" t="str">
        <f t="shared" si="15"/>
        <v/>
      </c>
      <c r="N38" s="6">
        <f t="shared" si="16"/>
        <v>-0.83241157664774601</v>
      </c>
      <c r="O38" s="6">
        <f t="shared" si="17"/>
        <v>1.2351158901506896</v>
      </c>
      <c r="P38" s="6" t="str">
        <f t="shared" si="18"/>
        <v/>
      </c>
      <c r="Q38" s="6" t="str">
        <f t="shared" si="19"/>
        <v/>
      </c>
      <c r="R38" s="6" t="str">
        <f t="shared" si="20"/>
        <v/>
      </c>
      <c r="S38" s="6" t="str">
        <f t="shared" si="21"/>
        <v/>
      </c>
      <c r="T38" s="4">
        <v>0</v>
      </c>
      <c r="U38" s="4">
        <v>0</v>
      </c>
      <c r="V38" s="4">
        <v>0</v>
      </c>
      <c r="W38" s="4">
        <v>0</v>
      </c>
      <c r="X38" s="4"/>
      <c r="Y38" s="4">
        <v>0</v>
      </c>
      <c r="Z38" s="4">
        <v>0</v>
      </c>
      <c r="AA38" s="4">
        <v>3</v>
      </c>
      <c r="AB38" s="4">
        <v>0</v>
      </c>
      <c r="AC38" s="4">
        <v>1</v>
      </c>
      <c r="AD38" s="4">
        <v>0</v>
      </c>
      <c r="AE38" s="4">
        <v>0</v>
      </c>
      <c r="AF38" s="4">
        <v>0</v>
      </c>
      <c r="AG38" s="4">
        <v>0</v>
      </c>
      <c r="AH38" s="4">
        <v>0</v>
      </c>
    </row>
    <row r="39" spans="1:34" x14ac:dyDescent="0.25">
      <c r="A39" s="78" t="s">
        <v>185</v>
      </c>
      <c r="B39" s="79" t="s">
        <v>186</v>
      </c>
      <c r="C39" s="4">
        <v>23.5</v>
      </c>
      <c r="D39" s="33">
        <f>IF(C39="", "", IF(G39="","",C39/G39))</f>
        <v>6</v>
      </c>
      <c r="E39" s="34">
        <f t="shared" si="11"/>
        <v>6</v>
      </c>
      <c r="F39" s="62">
        <f t="shared" si="12"/>
        <v>6</v>
      </c>
      <c r="G39" s="4">
        <v>3.9166666666666665</v>
      </c>
      <c r="H39" s="35">
        <f t="shared" si="13"/>
        <v>3.9166666666666665</v>
      </c>
      <c r="I39" s="4">
        <v>1</v>
      </c>
      <c r="J39" s="4">
        <f t="shared" si="14"/>
        <v>1</v>
      </c>
      <c r="K39" s="4">
        <f>2857.2/2660.9</f>
        <v>1.0737720320192414</v>
      </c>
      <c r="L39" s="4">
        <v>61</v>
      </c>
      <c r="M39" s="5">
        <f t="shared" si="15"/>
        <v>1.064650843716541</v>
      </c>
      <c r="N39" s="6">
        <f t="shared" si="16"/>
        <v>-0.60516620064134063</v>
      </c>
      <c r="O39" s="6">
        <f t="shared" si="17"/>
        <v>2.5013871746870442</v>
      </c>
      <c r="P39" s="6">
        <f t="shared" si="18"/>
        <v>2.4929021908525333</v>
      </c>
      <c r="Q39" s="6">
        <f t="shared" si="19"/>
        <v>0.50228076115990306</v>
      </c>
      <c r="R39" s="6">
        <f t="shared" si="20"/>
        <v>-0.77291161964671151</v>
      </c>
      <c r="S39" s="6">
        <f t="shared" si="21"/>
        <v>-0.96733174013650502</v>
      </c>
      <c r="T39" s="4">
        <v>0</v>
      </c>
      <c r="U39" s="4">
        <v>0</v>
      </c>
      <c r="V39" s="4">
        <v>0</v>
      </c>
      <c r="W39" s="4">
        <v>0</v>
      </c>
      <c r="X39" s="4"/>
      <c r="Y39" s="4">
        <v>0</v>
      </c>
      <c r="Z39" s="4">
        <v>0</v>
      </c>
      <c r="AA39" s="4">
        <v>3</v>
      </c>
      <c r="AB39" s="4">
        <v>2</v>
      </c>
      <c r="AC39" s="4">
        <v>1</v>
      </c>
      <c r="AD39" s="4">
        <v>0</v>
      </c>
      <c r="AE39" s="4">
        <v>0</v>
      </c>
      <c r="AF39" s="4">
        <v>0</v>
      </c>
      <c r="AG39" s="4">
        <v>0</v>
      </c>
      <c r="AH39" s="4">
        <v>0</v>
      </c>
    </row>
    <row r="40" spans="1:34" x14ac:dyDescent="0.25">
      <c r="A40" s="80" t="s">
        <v>187</v>
      </c>
      <c r="B40" s="79" t="s">
        <v>188</v>
      </c>
      <c r="C40" s="4">
        <v>13.5</v>
      </c>
      <c r="D40" s="33">
        <v>3.7</v>
      </c>
      <c r="E40" s="34">
        <f t="shared" si="11"/>
        <v>3.1714285714285713</v>
      </c>
      <c r="F40" s="62">
        <f t="shared" si="12"/>
        <v>3.4357142857142859</v>
      </c>
      <c r="G40" s="4">
        <v>3.64</v>
      </c>
      <c r="H40" s="35">
        <f t="shared" si="13"/>
        <v>3.929313929313929</v>
      </c>
      <c r="I40" s="4">
        <v>0.8571428571428571</v>
      </c>
      <c r="J40" s="4">
        <f t="shared" si="14"/>
        <v>1.1666666666666667</v>
      </c>
      <c r="K40" s="4">
        <f>1836.7/1622.6</f>
        <v>1.1319487242696906</v>
      </c>
      <c r="L40" s="4">
        <v>64</v>
      </c>
      <c r="M40" s="5">
        <f t="shared" si="15"/>
        <v>1.1170107212763709</v>
      </c>
      <c r="N40" s="6">
        <f t="shared" si="16"/>
        <v>-1.0347415806156419</v>
      </c>
      <c r="O40" s="6">
        <f t="shared" si="17"/>
        <v>2.0444284067891427</v>
      </c>
      <c r="P40" s="6">
        <f t="shared" si="18"/>
        <v>2.5145614773473923</v>
      </c>
      <c r="Q40" s="6">
        <f t="shared" si="19"/>
        <v>-0.50363698973537241</v>
      </c>
      <c r="R40" s="6">
        <f t="shared" si="20"/>
        <v>0.18488635422609562</v>
      </c>
      <c r="S40" s="6">
        <f t="shared" si="21"/>
        <v>-0.4052335668139419</v>
      </c>
      <c r="T40" s="4">
        <v>1</v>
      </c>
      <c r="U40" s="4">
        <v>0</v>
      </c>
      <c r="V40" s="4">
        <v>0</v>
      </c>
      <c r="W40" s="4">
        <v>0</v>
      </c>
      <c r="X40" s="4"/>
      <c r="Y40" s="4">
        <v>0</v>
      </c>
      <c r="Z40" s="4">
        <v>0</v>
      </c>
      <c r="AA40" s="4">
        <v>0</v>
      </c>
      <c r="AB40" s="4">
        <v>0</v>
      </c>
      <c r="AC40" s="4">
        <v>0</v>
      </c>
      <c r="AD40" s="4">
        <v>0</v>
      </c>
      <c r="AE40" s="4">
        <v>0</v>
      </c>
      <c r="AF40" s="4">
        <v>0</v>
      </c>
      <c r="AG40" s="4">
        <v>0</v>
      </c>
      <c r="AH40" s="4">
        <v>0</v>
      </c>
    </row>
    <row r="41" spans="1:34" x14ac:dyDescent="0.25">
      <c r="A41" s="81" t="s">
        <v>187</v>
      </c>
      <c r="B41" s="82" t="s">
        <v>188</v>
      </c>
      <c r="C41" s="4">
        <v>12</v>
      </c>
      <c r="D41" s="33">
        <v>3.5</v>
      </c>
      <c r="E41" s="34">
        <f t="shared" si="11"/>
        <v>3.310810810810811</v>
      </c>
      <c r="F41" s="62">
        <f t="shared" si="12"/>
        <v>3.4054054054054053</v>
      </c>
      <c r="G41" s="4">
        <v>3.4285714285714284</v>
      </c>
      <c r="H41" s="35">
        <f t="shared" si="13"/>
        <v>3.5238095238095242</v>
      </c>
      <c r="I41" s="4">
        <v>0.94594594594594594</v>
      </c>
      <c r="J41" s="4">
        <f t="shared" si="14"/>
        <v>1.0571428571428572</v>
      </c>
      <c r="K41" s="4">
        <f>2467.4/2050.8</f>
        <v>1.2031402379559195</v>
      </c>
      <c r="L41" s="4">
        <v>54</v>
      </c>
      <c r="M41" s="5">
        <f t="shared" si="15"/>
        <v>0.94247779607693793</v>
      </c>
      <c r="N41" s="6">
        <f t="shared" si="16"/>
        <v>-1.0991778876117873</v>
      </c>
      <c r="O41" s="6">
        <f t="shared" si="17"/>
        <v>1.6952206736623463</v>
      </c>
      <c r="P41" s="6">
        <f t="shared" si="18"/>
        <v>1.8201079549760131</v>
      </c>
      <c r="Q41" s="6">
        <f t="shared" si="19"/>
        <v>0.12166323379412326</v>
      </c>
      <c r="R41" s="6">
        <f t="shared" si="20"/>
        <v>1.3569551833039772</v>
      </c>
      <c r="S41" s="6">
        <f t="shared" si="21"/>
        <v>-2.2788941445558191</v>
      </c>
      <c r="T41" s="4">
        <v>1</v>
      </c>
      <c r="U41" s="4">
        <v>0</v>
      </c>
      <c r="V41" s="4">
        <v>0</v>
      </c>
      <c r="W41" s="4">
        <v>0</v>
      </c>
      <c r="X41" s="4"/>
      <c r="Y41" s="4">
        <v>0</v>
      </c>
      <c r="Z41" s="4">
        <v>0</v>
      </c>
      <c r="AA41" s="4">
        <v>0</v>
      </c>
      <c r="AB41" s="4">
        <v>0</v>
      </c>
      <c r="AC41" s="4">
        <v>0</v>
      </c>
      <c r="AD41" s="4">
        <v>0</v>
      </c>
      <c r="AE41" s="4">
        <v>0</v>
      </c>
      <c r="AF41" s="4">
        <v>0</v>
      </c>
      <c r="AG41" s="4">
        <v>0</v>
      </c>
      <c r="AH41" s="4">
        <v>0</v>
      </c>
    </row>
    <row r="42" spans="1:34" x14ac:dyDescent="0.25">
      <c r="A42" s="81" t="s">
        <v>187</v>
      </c>
      <c r="B42" s="82" t="s">
        <v>188</v>
      </c>
      <c r="C42" s="4">
        <v>11</v>
      </c>
      <c r="D42" s="33">
        <v>3</v>
      </c>
      <c r="E42" s="34">
        <f t="shared" si="11"/>
        <v>2.5</v>
      </c>
      <c r="F42" s="62">
        <f t="shared" si="12"/>
        <v>2.75</v>
      </c>
      <c r="G42" s="4">
        <v>3.6666666666666665</v>
      </c>
      <c r="H42" s="35">
        <f t="shared" si="13"/>
        <v>4</v>
      </c>
      <c r="I42" s="4">
        <v>0.83333333333333337</v>
      </c>
      <c r="J42" s="4">
        <f t="shared" si="14"/>
        <v>1.2</v>
      </c>
      <c r="K42" s="4">
        <f>635.1/545.7</f>
        <v>1.1638262781748212</v>
      </c>
      <c r="L42" s="4">
        <v>62</v>
      </c>
      <c r="M42" s="5">
        <f t="shared" si="15"/>
        <v>1.0821041362364843</v>
      </c>
      <c r="N42" s="6">
        <f t="shared" si="16"/>
        <v>-1.1421354256092173</v>
      </c>
      <c r="O42" s="6">
        <f t="shared" si="17"/>
        <v>2.0884726253817112</v>
      </c>
      <c r="P42" s="6">
        <f t="shared" si="18"/>
        <v>2.6356161196748258</v>
      </c>
      <c r="Q42" s="6">
        <f t="shared" si="19"/>
        <v>-0.67128994821791776</v>
      </c>
      <c r="R42" s="6">
        <f t="shared" si="20"/>
        <v>0.70970575115768242</v>
      </c>
      <c r="S42" s="6">
        <f t="shared" si="21"/>
        <v>-0.77996568236231734</v>
      </c>
      <c r="T42" s="4">
        <v>1</v>
      </c>
      <c r="U42" s="4">
        <v>0</v>
      </c>
      <c r="V42" s="4">
        <v>0</v>
      </c>
      <c r="W42" s="4">
        <v>0</v>
      </c>
      <c r="X42" s="4"/>
      <c r="Y42" s="4">
        <v>0</v>
      </c>
      <c r="Z42" s="4">
        <v>0</v>
      </c>
      <c r="AA42" s="4">
        <v>0</v>
      </c>
      <c r="AB42" s="4">
        <v>0</v>
      </c>
      <c r="AC42" s="4">
        <v>0</v>
      </c>
      <c r="AD42" s="4">
        <v>0</v>
      </c>
      <c r="AE42" s="4">
        <v>0</v>
      </c>
      <c r="AF42" s="4">
        <v>0</v>
      </c>
      <c r="AG42" s="4">
        <v>0</v>
      </c>
      <c r="AH42" s="4">
        <v>0</v>
      </c>
    </row>
    <row r="43" spans="1:34" s="30" customFormat="1" x14ac:dyDescent="0.25">
      <c r="A43" s="83" t="s">
        <v>189</v>
      </c>
      <c r="B43" s="82" t="s">
        <v>190</v>
      </c>
      <c r="C43" s="4">
        <v>35</v>
      </c>
      <c r="D43" s="33">
        <v>10</v>
      </c>
      <c r="E43" s="34">
        <f t="shared" si="11"/>
        <v>8</v>
      </c>
      <c r="F43" s="62">
        <f t="shared" si="12"/>
        <v>9</v>
      </c>
      <c r="G43" s="4">
        <v>3.5</v>
      </c>
      <c r="H43" s="35">
        <f t="shared" si="13"/>
        <v>3.8888888888888888</v>
      </c>
      <c r="I43" s="4">
        <v>0.8</v>
      </c>
      <c r="J43" s="4">
        <f t="shared" si="14"/>
        <v>1.25</v>
      </c>
      <c r="K43" s="4">
        <f>2413.4/2264.2</f>
        <v>1.0658952389364897</v>
      </c>
      <c r="L43" s="4">
        <v>68</v>
      </c>
      <c r="M43" s="5">
        <f t="shared" si="15"/>
        <v>1.1868238913561442</v>
      </c>
      <c r="N43" s="6">
        <f t="shared" si="16"/>
        <v>-0.11115451367089396</v>
      </c>
      <c r="O43" s="6">
        <f t="shared" si="17"/>
        <v>1.8131962591781561</v>
      </c>
      <c r="P43" s="6">
        <f t="shared" si="18"/>
        <v>2.4453308812451029</v>
      </c>
      <c r="Q43" s="6">
        <f t="shared" si="19"/>
        <v>-0.90600409009348193</v>
      </c>
      <c r="R43" s="6">
        <f t="shared" si="20"/>
        <v>-0.90259201506686637</v>
      </c>
      <c r="S43" s="6">
        <f t="shared" si="21"/>
        <v>0.34423066428280891</v>
      </c>
      <c r="T43" s="4">
        <v>1</v>
      </c>
      <c r="U43" s="4">
        <v>0</v>
      </c>
      <c r="V43" s="4">
        <v>0</v>
      </c>
      <c r="W43" s="4">
        <v>0</v>
      </c>
      <c r="X43" s="4"/>
      <c r="Y43" s="4">
        <v>0</v>
      </c>
      <c r="Z43" s="4">
        <v>0</v>
      </c>
      <c r="AA43" s="4">
        <v>3</v>
      </c>
      <c r="AB43" s="4">
        <v>2</v>
      </c>
      <c r="AC43" s="4">
        <v>1</v>
      </c>
      <c r="AD43" s="4">
        <v>0</v>
      </c>
      <c r="AE43" s="4">
        <v>0</v>
      </c>
      <c r="AF43" s="4">
        <v>0</v>
      </c>
      <c r="AG43" s="4">
        <v>0</v>
      </c>
      <c r="AH43" s="4">
        <v>0</v>
      </c>
    </row>
    <row r="44" spans="1:34" s="30" customFormat="1" x14ac:dyDescent="0.25">
      <c r="A44" s="81" t="s">
        <v>189</v>
      </c>
      <c r="B44" s="82" t="s">
        <v>191</v>
      </c>
      <c r="C44" s="4">
        <v>34</v>
      </c>
      <c r="D44" s="33">
        <v>6.75</v>
      </c>
      <c r="E44" s="34" t="str">
        <f t="shared" si="11"/>
        <v/>
      </c>
      <c r="F44" s="62" t="str">
        <f t="shared" si="12"/>
        <v/>
      </c>
      <c r="G44" s="4">
        <v>5.0370370370370372</v>
      </c>
      <c r="H44" s="35" t="str">
        <f t="shared" si="13"/>
        <v/>
      </c>
      <c r="I44" s="4"/>
      <c r="J44" s="4" t="str">
        <f t="shared" si="14"/>
        <v/>
      </c>
      <c r="K44" s="4"/>
      <c r="L44" s="4"/>
      <c r="M44" s="5" t="str">
        <f t="shared" si="15"/>
        <v/>
      </c>
      <c r="N44" s="6">
        <f t="shared" si="16"/>
        <v>-0.15411205166832412</v>
      </c>
      <c r="O44" s="6">
        <f t="shared" si="17"/>
        <v>4.3518560808331666</v>
      </c>
      <c r="P44" s="6" t="str">
        <f t="shared" si="18"/>
        <v/>
      </c>
      <c r="Q44" s="6" t="str">
        <f t="shared" si="19"/>
        <v/>
      </c>
      <c r="R44" s="6" t="str">
        <f t="shared" si="20"/>
        <v/>
      </c>
      <c r="S44" s="6" t="str">
        <f t="shared" si="21"/>
        <v/>
      </c>
      <c r="T44" s="4"/>
      <c r="U44" s="4">
        <v>0</v>
      </c>
      <c r="V44" s="4">
        <v>0</v>
      </c>
      <c r="W44" s="4">
        <v>0</v>
      </c>
      <c r="X44" s="4"/>
      <c r="Y44" s="4">
        <v>0</v>
      </c>
      <c r="Z44" s="4">
        <v>0</v>
      </c>
      <c r="AA44" s="4"/>
      <c r="AB44" s="4">
        <v>0</v>
      </c>
      <c r="AC44" s="4">
        <v>1</v>
      </c>
      <c r="AD44" s="4">
        <v>0</v>
      </c>
      <c r="AE44" s="4">
        <v>0</v>
      </c>
      <c r="AF44" s="4">
        <v>0</v>
      </c>
      <c r="AG44" s="4">
        <v>0</v>
      </c>
      <c r="AH44" s="4">
        <v>0</v>
      </c>
    </row>
    <row r="45" spans="1:34" s="30" customFormat="1" x14ac:dyDescent="0.25">
      <c r="A45" s="81" t="s">
        <v>189</v>
      </c>
      <c r="B45" s="82" t="s">
        <v>192</v>
      </c>
      <c r="C45" s="4">
        <v>33</v>
      </c>
      <c r="D45" s="33">
        <v>7.7</v>
      </c>
      <c r="E45" s="34" t="str">
        <f t="shared" si="11"/>
        <v/>
      </c>
      <c r="F45" s="62" t="str">
        <f t="shared" si="12"/>
        <v/>
      </c>
      <c r="G45" s="4">
        <v>4.2857142857142856</v>
      </c>
      <c r="H45" s="35" t="str">
        <f t="shared" si="13"/>
        <v/>
      </c>
      <c r="I45" s="4"/>
      <c r="J45" s="4" t="str">
        <f t="shared" si="14"/>
        <v/>
      </c>
      <c r="K45" s="4"/>
      <c r="L45" s="4"/>
      <c r="M45" s="5" t="str">
        <f t="shared" si="15"/>
        <v/>
      </c>
      <c r="N45" s="6">
        <f t="shared" si="16"/>
        <v>-0.19706958966575425</v>
      </c>
      <c r="O45" s="6">
        <f t="shared" si="17"/>
        <v>3.1109276998520596</v>
      </c>
      <c r="P45" s="6" t="str">
        <f t="shared" si="18"/>
        <v/>
      </c>
      <c r="Q45" s="6" t="str">
        <f t="shared" si="19"/>
        <v/>
      </c>
      <c r="R45" s="6" t="str">
        <f t="shared" si="20"/>
        <v/>
      </c>
      <c r="S45" s="6" t="str">
        <f t="shared" si="21"/>
        <v/>
      </c>
      <c r="T45" s="4"/>
      <c r="U45" s="4">
        <v>0</v>
      </c>
      <c r="V45" s="4">
        <v>0</v>
      </c>
      <c r="W45" s="4">
        <v>0</v>
      </c>
      <c r="X45" s="4"/>
      <c r="Y45" s="4">
        <v>0</v>
      </c>
      <c r="Z45" s="4">
        <v>0</v>
      </c>
      <c r="AA45" s="4"/>
      <c r="AB45" s="4">
        <v>0</v>
      </c>
      <c r="AC45" s="4">
        <v>1</v>
      </c>
      <c r="AD45" s="4">
        <v>0</v>
      </c>
      <c r="AE45" s="4">
        <v>0</v>
      </c>
      <c r="AF45" s="4">
        <v>0</v>
      </c>
      <c r="AG45" s="4">
        <v>0</v>
      </c>
      <c r="AH45" s="4">
        <v>0</v>
      </c>
    </row>
    <row r="46" spans="1:34" s="30" customFormat="1" x14ac:dyDescent="0.25">
      <c r="A46" s="83" t="s">
        <v>193</v>
      </c>
      <c r="B46" s="82" t="s">
        <v>70</v>
      </c>
      <c r="C46" s="4">
        <v>42.37</v>
      </c>
      <c r="D46" s="33">
        <v>12.7</v>
      </c>
      <c r="E46" s="34">
        <f t="shared" si="11"/>
        <v>12.35</v>
      </c>
      <c r="F46" s="62">
        <f t="shared" si="12"/>
        <v>12.524999999999999</v>
      </c>
      <c r="G46" s="4">
        <v>3.336220472440945</v>
      </c>
      <c r="H46" s="35">
        <f t="shared" si="13"/>
        <v>3.3828343313373255</v>
      </c>
      <c r="I46" s="4">
        <v>0.97244094488188981</v>
      </c>
      <c r="J46" s="4">
        <f t="shared" si="14"/>
        <v>1.0283400809716599</v>
      </c>
      <c r="K46" s="4">
        <f>2091/1773.4</f>
        <v>1.1790910116161046</v>
      </c>
      <c r="L46" s="4">
        <v>58</v>
      </c>
      <c r="M46" s="5">
        <f t="shared" si="15"/>
        <v>1.0122909661567112</v>
      </c>
      <c r="N46" s="6">
        <f t="shared" si="16"/>
        <v>0.20544254137016607</v>
      </c>
      <c r="O46" s="6">
        <f t="shared" si="17"/>
        <v>1.5426884599482058</v>
      </c>
      <c r="P46" s="6">
        <f t="shared" si="18"/>
        <v>1.5786784719657772</v>
      </c>
      <c r="Q46" s="6">
        <f t="shared" si="19"/>
        <v>0.30822576197144486</v>
      </c>
      <c r="R46" s="6">
        <f t="shared" si="20"/>
        <v>0.96101826474695173</v>
      </c>
      <c r="S46" s="6">
        <f t="shared" si="21"/>
        <v>-1.5294299134590681</v>
      </c>
      <c r="T46" s="4"/>
      <c r="U46" s="4">
        <v>0</v>
      </c>
      <c r="V46" s="4">
        <v>0</v>
      </c>
      <c r="W46" s="4">
        <v>0</v>
      </c>
      <c r="X46" s="4"/>
      <c r="Y46" s="4">
        <v>0</v>
      </c>
      <c r="Z46" s="4">
        <v>0</v>
      </c>
      <c r="AA46" s="4">
        <v>3</v>
      </c>
      <c r="AB46" s="4">
        <v>0</v>
      </c>
      <c r="AC46" s="4">
        <v>1</v>
      </c>
      <c r="AD46" s="4">
        <v>0</v>
      </c>
      <c r="AE46" s="4">
        <v>0</v>
      </c>
      <c r="AF46" s="4">
        <v>0</v>
      </c>
      <c r="AG46" s="4">
        <v>0</v>
      </c>
      <c r="AH46" s="4">
        <v>0</v>
      </c>
    </row>
    <row r="47" spans="1:34" s="30" customFormat="1" x14ac:dyDescent="0.25">
      <c r="A47" s="83" t="s">
        <v>189</v>
      </c>
      <c r="B47" s="82" t="s">
        <v>194</v>
      </c>
      <c r="C47" s="4">
        <v>34.54</v>
      </c>
      <c r="D47" s="33">
        <v>8.23</v>
      </c>
      <c r="E47" s="34">
        <f t="shared" si="11"/>
        <v>7.3999999999999995</v>
      </c>
      <c r="F47" s="62">
        <f t="shared" si="12"/>
        <v>7.8149999999999995</v>
      </c>
      <c r="G47" s="4">
        <v>4.1968408262454435</v>
      </c>
      <c r="H47" s="35">
        <f t="shared" si="13"/>
        <v>4.4197056941778632</v>
      </c>
      <c r="I47" s="4">
        <v>0.89914945321992712</v>
      </c>
      <c r="J47" s="4">
        <f t="shared" si="14"/>
        <v>1.1121621621621622</v>
      </c>
      <c r="K47" s="4">
        <f>2891.3/2464.6</f>
        <v>1.1731315426438369</v>
      </c>
      <c r="L47" s="4">
        <v>57</v>
      </c>
      <c r="M47" s="5">
        <f t="shared" si="15"/>
        <v>0.99483767363676789</v>
      </c>
      <c r="N47" s="6">
        <f t="shared" si="16"/>
        <v>-0.13091498114971187</v>
      </c>
      <c r="O47" s="6">
        <f t="shared" si="17"/>
        <v>2.9641391220049287</v>
      </c>
      <c r="P47" s="6">
        <f t="shared" si="18"/>
        <v>3.3543903024573503</v>
      </c>
      <c r="Q47" s="6">
        <f t="shared" si="19"/>
        <v>-0.20785072519508446</v>
      </c>
      <c r="R47" s="6">
        <f t="shared" si="20"/>
        <v>0.8629039325944251</v>
      </c>
      <c r="S47" s="6">
        <f t="shared" si="21"/>
        <v>-1.7167959712332559</v>
      </c>
      <c r="T47" s="4">
        <v>1</v>
      </c>
      <c r="U47" s="4">
        <v>0</v>
      </c>
      <c r="V47" s="4">
        <v>0</v>
      </c>
      <c r="W47" s="4">
        <v>0</v>
      </c>
      <c r="X47" s="4"/>
      <c r="Y47" s="4">
        <v>0</v>
      </c>
      <c r="Z47" s="4">
        <v>0</v>
      </c>
      <c r="AA47" s="4">
        <v>3</v>
      </c>
      <c r="AB47" s="4">
        <v>0</v>
      </c>
      <c r="AC47" s="4">
        <v>1</v>
      </c>
      <c r="AD47" s="4">
        <v>0</v>
      </c>
      <c r="AE47" s="4">
        <v>0</v>
      </c>
      <c r="AF47" s="4">
        <v>0</v>
      </c>
      <c r="AG47" s="4">
        <v>0</v>
      </c>
      <c r="AH47" s="4">
        <v>0</v>
      </c>
    </row>
    <row r="48" spans="1:34" s="30" customFormat="1" x14ac:dyDescent="0.25">
      <c r="A48" s="83" t="s">
        <v>189</v>
      </c>
      <c r="B48" s="82" t="s">
        <v>195</v>
      </c>
      <c r="C48" s="4">
        <v>15.99</v>
      </c>
      <c r="D48" s="33">
        <v>5.76</v>
      </c>
      <c r="E48" s="34">
        <f t="shared" si="11"/>
        <v>5.4499999999999993</v>
      </c>
      <c r="F48" s="62">
        <f t="shared" si="12"/>
        <v>5.6049999999999995</v>
      </c>
      <c r="G48" s="4">
        <v>2.776041666666667</v>
      </c>
      <c r="H48" s="35">
        <f t="shared" si="13"/>
        <v>2.8528099910793938</v>
      </c>
      <c r="I48" s="4">
        <v>0.94618055555555558</v>
      </c>
      <c r="J48" s="4">
        <f t="shared" si="14"/>
        <v>1.0568807339449542</v>
      </c>
      <c r="K48" s="4">
        <f>1264.3/1208.1</f>
        <v>1.0465193278702094</v>
      </c>
      <c r="L48" s="4">
        <v>70</v>
      </c>
      <c r="M48" s="5">
        <f t="shared" si="15"/>
        <v>1.2217304763960306</v>
      </c>
      <c r="N48" s="6">
        <f t="shared" si="16"/>
        <v>-0.92777731100204086</v>
      </c>
      <c r="O48" s="6">
        <f t="shared" si="17"/>
        <v>0.61746454348146307</v>
      </c>
      <c r="P48" s="6">
        <f t="shared" si="18"/>
        <v>0.67097620032994199</v>
      </c>
      <c r="Q48" s="6">
        <f t="shared" si="19"/>
        <v>0.12331521958998189</v>
      </c>
      <c r="R48" s="6">
        <f t="shared" si="20"/>
        <v>-1.22158932555902</v>
      </c>
      <c r="S48" s="6">
        <f t="shared" si="21"/>
        <v>0.71896277983118428</v>
      </c>
      <c r="T48" s="4">
        <v>1</v>
      </c>
      <c r="U48" s="4">
        <v>0</v>
      </c>
      <c r="V48" s="4">
        <v>0</v>
      </c>
      <c r="W48" s="4">
        <v>0</v>
      </c>
      <c r="X48" s="4"/>
      <c r="Y48" s="4">
        <v>0</v>
      </c>
      <c r="Z48" s="4">
        <v>0</v>
      </c>
      <c r="AA48" s="4">
        <v>3</v>
      </c>
      <c r="AB48" s="4">
        <v>2</v>
      </c>
      <c r="AC48" s="4">
        <v>1</v>
      </c>
      <c r="AD48" s="4">
        <v>0</v>
      </c>
      <c r="AE48" s="4">
        <v>0</v>
      </c>
      <c r="AF48" s="4">
        <v>0</v>
      </c>
      <c r="AG48" s="4">
        <v>0</v>
      </c>
      <c r="AH48" s="4">
        <v>0</v>
      </c>
    </row>
    <row r="49" spans="1:34" x14ac:dyDescent="0.25">
      <c r="A49" s="7" t="s">
        <v>30</v>
      </c>
      <c r="B49" s="48" t="s">
        <v>92</v>
      </c>
      <c r="C49" s="4">
        <v>17.87</v>
      </c>
      <c r="D49" s="33">
        <v>7.1</v>
      </c>
      <c r="E49" s="34">
        <f t="shared" si="11"/>
        <v>5.3944134078212294</v>
      </c>
      <c r="F49" s="62">
        <f t="shared" si="12"/>
        <v>6.2472067039106145</v>
      </c>
      <c r="G49" s="4">
        <v>2.4958</v>
      </c>
      <c r="H49" s="35">
        <f t="shared" si="13"/>
        <v>2.8604784261122291</v>
      </c>
      <c r="I49" s="4">
        <v>0.75977653631284925</v>
      </c>
      <c r="J49" s="4">
        <f t="shared" si="14"/>
        <v>1.3161764705882351</v>
      </c>
      <c r="K49" s="4">
        <f>1399/1289.8</f>
        <v>1.0846642890370601</v>
      </c>
      <c r="L49" s="4">
        <v>65</v>
      </c>
      <c r="M49" s="5">
        <f t="shared" si="15"/>
        <v>1.1344640137963142</v>
      </c>
      <c r="N49" s="6">
        <f t="shared" si="16"/>
        <v>-0.8470171395668723</v>
      </c>
      <c r="O49" s="6">
        <f t="shared" si="17"/>
        <v>0.15460109752849446</v>
      </c>
      <c r="P49" s="6">
        <f t="shared" si="18"/>
        <v>0.68410891022739517</v>
      </c>
      <c r="Q49" s="6">
        <f t="shared" si="19"/>
        <v>-1.1892345629712575</v>
      </c>
      <c r="R49" s="6">
        <f t="shared" si="20"/>
        <v>-0.59358582268223947</v>
      </c>
      <c r="S49" s="6">
        <f t="shared" si="21"/>
        <v>-0.21786750903975419</v>
      </c>
      <c r="T49" s="4">
        <v>1</v>
      </c>
      <c r="U49" s="4">
        <v>1</v>
      </c>
      <c r="V49" s="4">
        <v>0</v>
      </c>
      <c r="W49" s="4">
        <v>0</v>
      </c>
      <c r="X49" s="4"/>
      <c r="Y49" s="4">
        <v>0</v>
      </c>
      <c r="Z49" s="4">
        <v>0</v>
      </c>
      <c r="AA49" s="4">
        <v>3</v>
      </c>
      <c r="AB49" s="4">
        <v>2</v>
      </c>
      <c r="AC49" s="4">
        <v>1</v>
      </c>
      <c r="AD49" s="4">
        <v>0</v>
      </c>
      <c r="AE49" s="4">
        <v>0</v>
      </c>
      <c r="AF49" s="4">
        <v>0</v>
      </c>
      <c r="AG49" s="4">
        <v>0</v>
      </c>
      <c r="AH49" s="4">
        <v>0</v>
      </c>
    </row>
    <row r="50" spans="1:34" x14ac:dyDescent="0.25">
      <c r="A50" s="7" t="s">
        <v>10</v>
      </c>
      <c r="B50" s="48" t="s">
        <v>48</v>
      </c>
      <c r="C50" s="4">
        <v>12.87</v>
      </c>
      <c r="D50" s="33">
        <v>5</v>
      </c>
      <c r="E50" s="34" t="str">
        <f t="shared" si="11"/>
        <v/>
      </c>
      <c r="F50" s="62" t="str">
        <f t="shared" si="12"/>
        <v/>
      </c>
      <c r="G50" s="4">
        <v>2.5405982905982909</v>
      </c>
      <c r="H50" s="35" t="str">
        <f t="shared" si="13"/>
        <v/>
      </c>
      <c r="J50" s="4" t="str">
        <f t="shared" si="14"/>
        <v/>
      </c>
      <c r="M50" s="5" t="str">
        <f t="shared" si="15"/>
        <v/>
      </c>
      <c r="N50" s="6">
        <f t="shared" si="16"/>
        <v>-1.0618048295540232</v>
      </c>
      <c r="O50" s="6">
        <f t="shared" si="17"/>
        <v>0.22859256141666492</v>
      </c>
      <c r="P50" s="6" t="str">
        <f t="shared" si="18"/>
        <v/>
      </c>
      <c r="Q50" s="6" t="str">
        <f t="shared" si="19"/>
        <v/>
      </c>
      <c r="R50" s="6" t="str">
        <f t="shared" si="20"/>
        <v/>
      </c>
      <c r="S50" s="6" t="str">
        <f t="shared" si="21"/>
        <v/>
      </c>
      <c r="T50" s="4">
        <v>1</v>
      </c>
      <c r="U50" s="4">
        <v>1</v>
      </c>
      <c r="V50" s="4">
        <v>0</v>
      </c>
      <c r="W50" s="4">
        <v>0</v>
      </c>
      <c r="X50" s="4"/>
      <c r="Y50" s="4">
        <v>0</v>
      </c>
      <c r="Z50" s="4">
        <v>0</v>
      </c>
      <c r="AA50" s="4">
        <v>3</v>
      </c>
      <c r="AB50" s="4">
        <v>3</v>
      </c>
      <c r="AC50" s="4">
        <v>1</v>
      </c>
      <c r="AD50" s="4">
        <v>0</v>
      </c>
      <c r="AE50" s="4">
        <v>0</v>
      </c>
      <c r="AF50" s="4">
        <v>0</v>
      </c>
      <c r="AG50" s="4">
        <v>0</v>
      </c>
      <c r="AH50" s="4">
        <v>0</v>
      </c>
    </row>
    <row r="51" spans="1:34" x14ac:dyDescent="0.25">
      <c r="A51" s="8" t="s">
        <v>30</v>
      </c>
      <c r="B51" s="51" t="s">
        <v>31</v>
      </c>
      <c r="C51" s="4">
        <v>21.75</v>
      </c>
      <c r="D51" s="33">
        <v>8.94</v>
      </c>
      <c r="E51" s="34">
        <f t="shared" si="11"/>
        <v>6.4200000000000008</v>
      </c>
      <c r="F51" s="62">
        <f t="shared" si="12"/>
        <v>7.68</v>
      </c>
      <c r="G51" s="4">
        <v>2.4328859060402688</v>
      </c>
      <c r="H51" s="35">
        <f t="shared" si="13"/>
        <v>2.83203125</v>
      </c>
      <c r="I51" s="4">
        <v>0.71812080536912759</v>
      </c>
      <c r="J51" s="4">
        <f t="shared" si="14"/>
        <v>1.3925233644859811</v>
      </c>
      <c r="K51" s="4">
        <f>1919.4/1773.3</f>
        <v>1.0823887667061411</v>
      </c>
      <c r="L51" s="4">
        <v>70</v>
      </c>
      <c r="M51" s="5">
        <f t="shared" si="15"/>
        <v>1.2217304763960306</v>
      </c>
      <c r="N51" s="6">
        <f t="shared" si="16"/>
        <v>-0.68034189213684337</v>
      </c>
      <c r="O51" s="6">
        <f t="shared" si="17"/>
        <v>5.0688518519151265E-2</v>
      </c>
      <c r="P51" s="6">
        <f t="shared" si="18"/>
        <v>0.63539121102488461</v>
      </c>
      <c r="Q51" s="6">
        <f t="shared" si="19"/>
        <v>-1.4825502372509078</v>
      </c>
      <c r="R51" s="6">
        <f t="shared" si="20"/>
        <v>-0.63104911930064955</v>
      </c>
      <c r="S51" s="6">
        <f t="shared" si="21"/>
        <v>0.71896277983118428</v>
      </c>
      <c r="T51" s="4">
        <v>1</v>
      </c>
      <c r="U51" s="4">
        <v>1</v>
      </c>
      <c r="V51" s="4">
        <v>0</v>
      </c>
      <c r="W51" s="4">
        <v>0</v>
      </c>
      <c r="X51" s="4"/>
      <c r="Y51" s="4">
        <v>0</v>
      </c>
      <c r="Z51" s="4">
        <v>0</v>
      </c>
      <c r="AA51" s="4">
        <v>3</v>
      </c>
      <c r="AB51" s="4">
        <v>2</v>
      </c>
      <c r="AC51" s="4">
        <v>1</v>
      </c>
      <c r="AD51" s="4">
        <v>0</v>
      </c>
      <c r="AE51" s="4">
        <v>0</v>
      </c>
      <c r="AF51" s="4">
        <v>0</v>
      </c>
      <c r="AG51" s="4">
        <v>0</v>
      </c>
      <c r="AH51" s="4">
        <v>0</v>
      </c>
    </row>
    <row r="52" spans="1:34" x14ac:dyDescent="0.25">
      <c r="A52" s="9" t="s">
        <v>30</v>
      </c>
      <c r="B52" s="51" t="s">
        <v>99</v>
      </c>
      <c r="C52" s="4">
        <v>15.62</v>
      </c>
      <c r="D52" s="33">
        <v>6.88</v>
      </c>
      <c r="E52" s="34">
        <f t="shared" si="11"/>
        <v>5.52</v>
      </c>
      <c r="F52" s="62">
        <f t="shared" si="12"/>
        <v>6.1999999999999993</v>
      </c>
      <c r="G52" s="4">
        <v>2.2703488372093021</v>
      </c>
      <c r="H52" s="35">
        <f t="shared" si="13"/>
        <v>2.5193548387096776</v>
      </c>
      <c r="I52" s="4">
        <v>0.80232558139534882</v>
      </c>
      <c r="J52" s="4">
        <f t="shared" si="14"/>
        <v>1.2463768115942029</v>
      </c>
      <c r="K52" s="4">
        <f>2044.9/1886.8</f>
        <v>1.0837926648293408</v>
      </c>
      <c r="L52" s="4">
        <v>70</v>
      </c>
      <c r="M52" s="5">
        <f t="shared" si="15"/>
        <v>1.2217304763960306</v>
      </c>
      <c r="N52" s="6">
        <f t="shared" si="16"/>
        <v>-0.94367160006109019</v>
      </c>
      <c r="O52" s="6">
        <f t="shared" si="17"/>
        <v>-0.21776716356784262</v>
      </c>
      <c r="P52" s="6">
        <f t="shared" si="18"/>
        <v>9.9911861761321955E-2</v>
      </c>
      <c r="Q52" s="6">
        <f t="shared" si="19"/>
        <v>-0.88962868484634994</v>
      </c>
      <c r="R52" s="6">
        <f t="shared" si="20"/>
        <v>-0.60793589773528867</v>
      </c>
      <c r="S52" s="6">
        <f t="shared" si="21"/>
        <v>0.71896277983118428</v>
      </c>
      <c r="T52" s="4">
        <v>1</v>
      </c>
      <c r="U52" s="4">
        <v>1</v>
      </c>
      <c r="V52" s="4">
        <v>0</v>
      </c>
      <c r="W52" s="4">
        <v>0</v>
      </c>
      <c r="X52" s="4"/>
      <c r="Y52" s="4">
        <v>0</v>
      </c>
      <c r="Z52" s="4">
        <v>0</v>
      </c>
      <c r="AA52" s="4">
        <v>3</v>
      </c>
      <c r="AB52" s="4">
        <v>2</v>
      </c>
      <c r="AC52" s="4">
        <v>1</v>
      </c>
      <c r="AD52" s="4">
        <v>0</v>
      </c>
      <c r="AE52" s="4">
        <v>0</v>
      </c>
      <c r="AF52" s="4">
        <v>0</v>
      </c>
      <c r="AG52" s="4">
        <v>0</v>
      </c>
      <c r="AH52" s="4">
        <v>0</v>
      </c>
    </row>
    <row r="53" spans="1:34" x14ac:dyDescent="0.25">
      <c r="A53" s="8" t="s">
        <v>10</v>
      </c>
      <c r="B53" s="51" t="s">
        <v>11</v>
      </c>
      <c r="C53" s="4">
        <v>14.6</v>
      </c>
      <c r="D53" s="33">
        <v>6.1</v>
      </c>
      <c r="E53" s="34">
        <f t="shared" si="11"/>
        <v>4.9000000000000004</v>
      </c>
      <c r="F53" s="62">
        <f t="shared" si="12"/>
        <v>5.5</v>
      </c>
      <c r="G53" s="4">
        <v>2.3934426229508197</v>
      </c>
      <c r="H53" s="35">
        <f t="shared" si="13"/>
        <v>2.6545454545454543</v>
      </c>
      <c r="I53" s="4">
        <v>0.80327868852459028</v>
      </c>
      <c r="J53" s="4">
        <f t="shared" si="14"/>
        <v>1.2448979591836733</v>
      </c>
      <c r="K53" s="4">
        <f>168.1/163.2</f>
        <v>1.0300245098039216</v>
      </c>
      <c r="L53" s="4">
        <v>78</v>
      </c>
      <c r="M53" s="5">
        <f t="shared" si="15"/>
        <v>1.3613568165555769</v>
      </c>
      <c r="N53" s="6">
        <f t="shared" si="16"/>
        <v>-0.98748828881846884</v>
      </c>
      <c r="O53" s="6">
        <f t="shared" si="17"/>
        <v>-1.4458303320858901E-2</v>
      </c>
      <c r="P53" s="6">
        <f t="shared" si="18"/>
        <v>0.33143486887126888</v>
      </c>
      <c r="Q53" s="6">
        <f t="shared" si="19"/>
        <v>-0.88291745318768822</v>
      </c>
      <c r="R53" s="6">
        <f t="shared" si="20"/>
        <v>-1.4931534642570063</v>
      </c>
      <c r="S53" s="6">
        <f t="shared" si="21"/>
        <v>2.2178912420246859</v>
      </c>
      <c r="T53" s="4">
        <v>1</v>
      </c>
      <c r="U53" s="4">
        <v>1</v>
      </c>
      <c r="V53" s="4">
        <v>0</v>
      </c>
      <c r="W53" s="4">
        <v>0</v>
      </c>
      <c r="X53" s="4"/>
      <c r="Y53" s="4">
        <v>0</v>
      </c>
      <c r="Z53" s="4">
        <v>0</v>
      </c>
      <c r="AA53" s="4">
        <v>3</v>
      </c>
      <c r="AB53" s="4">
        <v>3</v>
      </c>
      <c r="AC53" s="4">
        <v>1</v>
      </c>
      <c r="AD53" s="4">
        <v>0</v>
      </c>
      <c r="AE53" s="4">
        <v>0</v>
      </c>
      <c r="AF53" s="4">
        <v>0</v>
      </c>
      <c r="AG53" s="4">
        <v>0</v>
      </c>
      <c r="AH53" s="4">
        <v>0</v>
      </c>
    </row>
    <row r="54" spans="1:34" x14ac:dyDescent="0.25">
      <c r="A54" s="8" t="s">
        <v>110</v>
      </c>
      <c r="B54" s="51" t="s">
        <v>70</v>
      </c>
      <c r="C54" s="4">
        <v>28.56</v>
      </c>
      <c r="D54" s="33">
        <v>11.7</v>
      </c>
      <c r="E54" s="34">
        <f t="shared" si="11"/>
        <v>11</v>
      </c>
      <c r="F54" s="62">
        <f t="shared" si="12"/>
        <v>11.35</v>
      </c>
      <c r="G54" s="4">
        <v>2.4410256410256412</v>
      </c>
      <c r="H54" s="35">
        <f t="shared" si="13"/>
        <v>2.5162995594713657</v>
      </c>
      <c r="I54" s="4">
        <v>0.94017094017094027</v>
      </c>
      <c r="J54" s="4">
        <f t="shared" si="14"/>
        <v>1.0636363636363635</v>
      </c>
      <c r="K54" s="4">
        <f>1802.9/1800.4</f>
        <v>1.0013885803154854</v>
      </c>
      <c r="L54" s="4">
        <v>77</v>
      </c>
      <c r="M54" s="5">
        <f t="shared" si="15"/>
        <v>1.3439035240356338</v>
      </c>
      <c r="N54" s="6">
        <f t="shared" si="16"/>
        <v>-0.38780105837434414</v>
      </c>
      <c r="O54" s="6">
        <f t="shared" si="17"/>
        <v>6.4132578530950946E-2</v>
      </c>
      <c r="P54" s="6">
        <f t="shared" si="18"/>
        <v>9.4679490916337997E-2</v>
      </c>
      <c r="Q54" s="6">
        <f t="shared" si="19"/>
        <v>8.0998968049916756E-2</v>
      </c>
      <c r="R54" s="6">
        <f t="shared" si="20"/>
        <v>-1.9646040432262324</v>
      </c>
      <c r="S54" s="6">
        <f t="shared" si="21"/>
        <v>2.0305251842504983</v>
      </c>
      <c r="T54" s="4">
        <v>1</v>
      </c>
      <c r="U54" s="4">
        <v>1</v>
      </c>
      <c r="V54" s="4">
        <v>0</v>
      </c>
      <c r="W54" s="4">
        <v>0</v>
      </c>
      <c r="X54" s="4"/>
      <c r="Y54" s="4">
        <v>0</v>
      </c>
      <c r="Z54" s="4">
        <v>0</v>
      </c>
      <c r="AA54" s="4">
        <v>3</v>
      </c>
      <c r="AB54" s="4">
        <v>2</v>
      </c>
      <c r="AC54" s="4">
        <v>1</v>
      </c>
      <c r="AD54" s="4">
        <v>0</v>
      </c>
      <c r="AE54" s="4">
        <v>0</v>
      </c>
      <c r="AF54" s="4">
        <v>0</v>
      </c>
      <c r="AG54" s="4">
        <v>0</v>
      </c>
      <c r="AH54" s="4">
        <v>0</v>
      </c>
    </row>
    <row r="55" spans="1:34" x14ac:dyDescent="0.25">
      <c r="A55" s="10" t="s">
        <v>30</v>
      </c>
      <c r="B55" s="51" t="s">
        <v>1</v>
      </c>
      <c r="C55" s="4">
        <v>19</v>
      </c>
      <c r="D55" s="33">
        <v>7.9</v>
      </c>
      <c r="G55" s="4">
        <f>C55/D55</f>
        <v>2.4050632911392404</v>
      </c>
      <c r="H55" s="35" t="str">
        <f t="shared" si="13"/>
        <v/>
      </c>
      <c r="N55" s="6">
        <f t="shared" si="16"/>
        <v>-0.7984751216297763</v>
      </c>
      <c r="O55" s="6">
        <f t="shared" si="17"/>
        <v>4.7350685497354458E-3</v>
      </c>
      <c r="P55" s="6" t="str">
        <f t="shared" si="18"/>
        <v/>
      </c>
      <c r="Q55" s="6" t="str">
        <f t="shared" si="19"/>
        <v/>
      </c>
      <c r="R55" s="6" t="str">
        <f t="shared" si="20"/>
        <v/>
      </c>
      <c r="S55" s="6" t="str">
        <f t="shared" si="21"/>
        <v/>
      </c>
      <c r="T55" s="4">
        <v>1</v>
      </c>
      <c r="U55" s="4">
        <v>1</v>
      </c>
      <c r="V55" s="4">
        <v>0</v>
      </c>
      <c r="W55" s="4">
        <v>0</v>
      </c>
      <c r="X55" s="4"/>
      <c r="Y55" s="4">
        <v>0</v>
      </c>
      <c r="Z55" s="4">
        <v>0</v>
      </c>
      <c r="AA55" s="4"/>
      <c r="AB55" s="4">
        <v>2</v>
      </c>
      <c r="AC55" s="4">
        <v>1</v>
      </c>
      <c r="AD55" s="4">
        <v>0</v>
      </c>
      <c r="AE55" s="4">
        <v>0</v>
      </c>
      <c r="AF55" s="4">
        <v>0</v>
      </c>
      <c r="AG55" s="4">
        <v>0</v>
      </c>
      <c r="AH55" s="4">
        <v>0</v>
      </c>
    </row>
    <row r="56" spans="1:34" x14ac:dyDescent="0.25">
      <c r="A56" s="31" t="s">
        <v>40</v>
      </c>
      <c r="B56" s="52" t="s">
        <v>89</v>
      </c>
      <c r="C56" s="4">
        <v>27.3</v>
      </c>
      <c r="D56" s="33">
        <v>9.3000000000000007</v>
      </c>
      <c r="E56" s="34" t="str">
        <f t="shared" ref="E56:E87" si="22">IF(J56="","", (D56/J56))</f>
        <v/>
      </c>
      <c r="F56" s="62" t="str">
        <f t="shared" ref="F56:F98" si="23">IF(E56="","",(D56+E56)/2)</f>
        <v/>
      </c>
      <c r="G56" s="4">
        <v>2.935483870967742</v>
      </c>
      <c r="H56" s="35" t="str">
        <f t="shared" si="13"/>
        <v/>
      </c>
      <c r="J56" s="4" t="str">
        <f t="shared" ref="J56:J87" si="24">IF(I56="","",(1/I56))</f>
        <v/>
      </c>
      <c r="K56" s="4">
        <f>3415/3282.5</f>
        <v>1.0403655750190404</v>
      </c>
      <c r="L56" s="4">
        <v>77</v>
      </c>
      <c r="M56" s="5">
        <f t="shared" ref="M56:M87" si="25">IF(L56="", "",RADIANS(L56))</f>
        <v>1.3439035240356338</v>
      </c>
      <c r="N56" s="6">
        <f t="shared" si="16"/>
        <v>-0.44192755625110602</v>
      </c>
      <c r="O56" s="6">
        <f t="shared" si="17"/>
        <v>0.88080856719837186</v>
      </c>
      <c r="P56" s="6" t="str">
        <f t="shared" si="18"/>
        <v/>
      </c>
      <c r="Q56" s="6" t="str">
        <f t="shared" si="19"/>
        <v/>
      </c>
      <c r="R56" s="6">
        <f t="shared" si="20"/>
        <v>-1.3229022703924933</v>
      </c>
      <c r="S56" s="6">
        <f t="shared" si="21"/>
        <v>2.0305251842504983</v>
      </c>
      <c r="T56" s="4">
        <v>1</v>
      </c>
      <c r="U56" s="4">
        <v>1</v>
      </c>
      <c r="V56" s="4">
        <v>2</v>
      </c>
      <c r="W56" s="4">
        <v>1</v>
      </c>
      <c r="X56" s="4">
        <v>1</v>
      </c>
      <c r="Y56" s="4">
        <v>0</v>
      </c>
      <c r="Z56" s="4">
        <v>0</v>
      </c>
      <c r="AA56" s="4">
        <v>3</v>
      </c>
      <c r="AB56" s="4">
        <v>3</v>
      </c>
      <c r="AC56" s="4">
        <v>2</v>
      </c>
      <c r="AD56" s="4">
        <v>0</v>
      </c>
      <c r="AE56" s="4">
        <v>0</v>
      </c>
      <c r="AF56" s="4">
        <v>0</v>
      </c>
      <c r="AG56" s="4">
        <v>0</v>
      </c>
      <c r="AH56" s="4">
        <v>0</v>
      </c>
    </row>
    <row r="57" spans="1:34" x14ac:dyDescent="0.25">
      <c r="A57" s="31" t="s">
        <v>40</v>
      </c>
      <c r="B57" s="52" t="s">
        <v>88</v>
      </c>
      <c r="C57" s="4">
        <v>21.27</v>
      </c>
      <c r="D57" s="33">
        <v>9.6</v>
      </c>
      <c r="E57" s="34">
        <f t="shared" si="22"/>
        <v>7.8244514106583063</v>
      </c>
      <c r="F57" s="62">
        <f t="shared" si="23"/>
        <v>8.7122257053291534</v>
      </c>
      <c r="G57" s="4">
        <v>2.2121212121212124</v>
      </c>
      <c r="H57" s="35">
        <f t="shared" si="13"/>
        <v>2.4413968048359238</v>
      </c>
      <c r="I57" s="4">
        <v>0.81504702194357359</v>
      </c>
      <c r="J57" s="4">
        <f t="shared" si="24"/>
        <v>1.226923076923077</v>
      </c>
      <c r="K57" s="4">
        <f>1922.8/1815.1</f>
        <v>1.0593355737975869</v>
      </c>
      <c r="L57" s="4">
        <v>73</v>
      </c>
      <c r="M57" s="5">
        <f t="shared" si="25"/>
        <v>1.2740903539558606</v>
      </c>
      <c r="N57" s="6">
        <f t="shared" si="16"/>
        <v>-0.70096151037560983</v>
      </c>
      <c r="O57" s="6">
        <f t="shared" si="17"/>
        <v>-0.31393929784931657</v>
      </c>
      <c r="P57" s="6">
        <f t="shared" si="18"/>
        <v>-3.3596505807295077E-2</v>
      </c>
      <c r="Q57" s="6">
        <f t="shared" si="19"/>
        <v>-0.80005162479542247</v>
      </c>
      <c r="R57" s="6">
        <f t="shared" si="20"/>
        <v>-1.0105877387198676</v>
      </c>
      <c r="S57" s="6">
        <f t="shared" si="21"/>
        <v>1.2810609531537474</v>
      </c>
      <c r="T57" s="4">
        <v>1</v>
      </c>
      <c r="U57" s="4">
        <v>1</v>
      </c>
      <c r="V57" s="4">
        <v>2</v>
      </c>
      <c r="W57" s="4">
        <v>1</v>
      </c>
      <c r="X57" s="4">
        <v>1</v>
      </c>
      <c r="Y57" s="4">
        <v>0</v>
      </c>
      <c r="Z57" s="4">
        <v>0</v>
      </c>
      <c r="AA57" s="4">
        <v>3</v>
      </c>
      <c r="AB57" s="4">
        <v>3</v>
      </c>
      <c r="AC57" s="4">
        <v>2</v>
      </c>
      <c r="AD57" s="4">
        <v>0</v>
      </c>
      <c r="AE57" s="4">
        <v>0</v>
      </c>
      <c r="AF57" s="4">
        <v>0</v>
      </c>
      <c r="AG57" s="4">
        <v>0</v>
      </c>
      <c r="AH57" s="4">
        <v>0</v>
      </c>
    </row>
    <row r="58" spans="1:34" x14ac:dyDescent="0.25">
      <c r="A58" s="31" t="s">
        <v>40</v>
      </c>
      <c r="B58" s="52" t="s">
        <v>88</v>
      </c>
      <c r="C58" s="4">
        <v>20.53</v>
      </c>
      <c r="D58" s="33">
        <v>8.4700000000000006</v>
      </c>
      <c r="E58" s="34">
        <f t="shared" si="22"/>
        <v>7.88</v>
      </c>
      <c r="F58" s="62">
        <f t="shared" si="23"/>
        <v>8.1750000000000007</v>
      </c>
      <c r="G58" s="4">
        <v>2.4238488783943328</v>
      </c>
      <c r="H58" s="35">
        <f t="shared" si="13"/>
        <v>2.5113149847094802</v>
      </c>
      <c r="I58" s="4">
        <v>0.93034238488783938</v>
      </c>
      <c r="J58" s="4">
        <f t="shared" si="24"/>
        <v>1.0748730964467006</v>
      </c>
      <c r="K58" s="4">
        <f>2799.8/2608.2</f>
        <v>1.073460624185262</v>
      </c>
      <c r="L58" s="4">
        <v>73</v>
      </c>
      <c r="M58" s="5">
        <f t="shared" si="25"/>
        <v>1.2740903539558606</v>
      </c>
      <c r="N58" s="6">
        <f t="shared" si="16"/>
        <v>-0.73275008849370804</v>
      </c>
      <c r="O58" s="6">
        <f t="shared" si="17"/>
        <v>3.5762437729225362E-2</v>
      </c>
      <c r="P58" s="6">
        <f t="shared" si="18"/>
        <v>8.6143071943012503E-2</v>
      </c>
      <c r="Q58" s="6">
        <f t="shared" si="19"/>
        <v>1.1791940475429684E-2</v>
      </c>
      <c r="R58" s="6">
        <f t="shared" si="20"/>
        <v>-0.77803851464358731</v>
      </c>
      <c r="S58" s="6">
        <f t="shared" si="21"/>
        <v>1.2810609531537474</v>
      </c>
      <c r="T58" s="4">
        <v>1</v>
      </c>
      <c r="U58" s="4">
        <v>1</v>
      </c>
      <c r="V58" s="4">
        <v>2</v>
      </c>
      <c r="W58" s="4">
        <v>1</v>
      </c>
      <c r="X58" s="4">
        <v>1</v>
      </c>
      <c r="Y58" s="4">
        <v>0</v>
      </c>
      <c r="Z58" s="4">
        <v>0</v>
      </c>
      <c r="AA58" s="4">
        <v>3</v>
      </c>
      <c r="AB58" s="4">
        <v>3</v>
      </c>
      <c r="AC58" s="4">
        <v>2</v>
      </c>
      <c r="AD58" s="4">
        <v>0</v>
      </c>
      <c r="AE58" s="4">
        <v>0</v>
      </c>
      <c r="AF58" s="4">
        <v>0</v>
      </c>
      <c r="AG58" s="4">
        <v>0</v>
      </c>
      <c r="AH58" s="4">
        <v>0</v>
      </c>
    </row>
    <row r="59" spans="1:34" x14ac:dyDescent="0.25">
      <c r="A59" s="1" t="s">
        <v>12</v>
      </c>
      <c r="B59" s="53" t="s">
        <v>81</v>
      </c>
      <c r="C59" s="4">
        <v>25</v>
      </c>
      <c r="D59" s="33">
        <v>9.36</v>
      </c>
      <c r="E59" s="34" t="str">
        <f t="shared" si="22"/>
        <v/>
      </c>
      <c r="F59" s="62" t="str">
        <f t="shared" si="23"/>
        <v/>
      </c>
      <c r="G59" s="4">
        <v>2.67</v>
      </c>
      <c r="H59" s="35" t="str">
        <f t="shared" si="13"/>
        <v/>
      </c>
      <c r="J59" s="4" t="str">
        <f t="shared" si="24"/>
        <v/>
      </c>
      <c r="M59" s="5" t="str">
        <f t="shared" si="25"/>
        <v/>
      </c>
      <c r="N59" s="6">
        <f t="shared" si="16"/>
        <v>-0.54072989364519541</v>
      </c>
      <c r="O59" s="6">
        <f t="shared" si="17"/>
        <v>0.44231995548445036</v>
      </c>
      <c r="P59" s="6" t="str">
        <f t="shared" si="18"/>
        <v/>
      </c>
      <c r="Q59" s="6" t="str">
        <f t="shared" si="19"/>
        <v/>
      </c>
      <c r="R59" s="6" t="str">
        <f t="shared" si="20"/>
        <v/>
      </c>
      <c r="S59" s="6" t="str">
        <f t="shared" si="21"/>
        <v/>
      </c>
      <c r="T59" s="4">
        <v>2</v>
      </c>
      <c r="U59" s="4">
        <v>1</v>
      </c>
      <c r="V59" s="4">
        <v>1</v>
      </c>
      <c r="W59" s="4">
        <v>0</v>
      </c>
      <c r="X59" s="4">
        <v>0</v>
      </c>
      <c r="Y59" s="4">
        <v>0</v>
      </c>
      <c r="Z59" s="4">
        <v>0</v>
      </c>
      <c r="AA59" s="4">
        <v>0</v>
      </c>
      <c r="AB59" s="4">
        <v>0</v>
      </c>
      <c r="AC59" s="4">
        <v>1</v>
      </c>
      <c r="AD59" s="4">
        <v>0</v>
      </c>
      <c r="AE59" s="4">
        <v>0</v>
      </c>
      <c r="AF59" s="4">
        <v>0</v>
      </c>
      <c r="AG59" s="4">
        <v>0</v>
      </c>
      <c r="AH59" s="4">
        <v>0</v>
      </c>
    </row>
    <row r="60" spans="1:34" x14ac:dyDescent="0.25">
      <c r="A60" s="11" t="s">
        <v>12</v>
      </c>
      <c r="B60" s="53" t="s">
        <v>63</v>
      </c>
      <c r="C60" s="4">
        <v>27.83</v>
      </c>
      <c r="D60" s="33">
        <f>IF(C60="", "", IF(G60="","",C60/G60))</f>
        <v>9.83</v>
      </c>
      <c r="E60" s="34">
        <f t="shared" si="22"/>
        <v>7.6</v>
      </c>
      <c r="F60" s="62">
        <f t="shared" si="23"/>
        <v>8.7149999999999999</v>
      </c>
      <c r="G60" s="4">
        <v>2.8311291963377414</v>
      </c>
      <c r="H60" s="35">
        <f t="shared" si="13"/>
        <v>3.1933448078026392</v>
      </c>
      <c r="I60" s="4">
        <v>0.77314343845371303</v>
      </c>
      <c r="J60" s="4">
        <f t="shared" si="24"/>
        <v>1.293421052631579</v>
      </c>
      <c r="K60" s="4">
        <f>1670.2/1469.1</f>
        <v>1.1368865291675176</v>
      </c>
      <c r="L60" s="4">
        <v>70</v>
      </c>
      <c r="M60" s="5">
        <f t="shared" si="25"/>
        <v>1.2217304763960306</v>
      </c>
      <c r="N60" s="6">
        <f t="shared" si="16"/>
        <v>-0.41916006111246817</v>
      </c>
      <c r="O60" s="6">
        <f t="shared" si="17"/>
        <v>0.70845031342736642</v>
      </c>
      <c r="P60" s="6">
        <f t="shared" si="18"/>
        <v>1.2541649394741854</v>
      </c>
      <c r="Q60" s="6">
        <f t="shared" si="19"/>
        <v>-1.0951125340054328</v>
      </c>
      <c r="R60" s="6">
        <f t="shared" si="20"/>
        <v>0.26618041450298308</v>
      </c>
      <c r="S60" s="6">
        <f t="shared" si="21"/>
        <v>0.71896277983118428</v>
      </c>
      <c r="T60" s="4">
        <v>2</v>
      </c>
      <c r="U60" s="4">
        <v>1</v>
      </c>
      <c r="V60" s="4">
        <v>1</v>
      </c>
      <c r="W60" s="4">
        <v>0</v>
      </c>
      <c r="X60" s="4">
        <v>0</v>
      </c>
      <c r="Y60" s="4">
        <v>0</v>
      </c>
      <c r="Z60" s="4">
        <v>0</v>
      </c>
      <c r="AA60" s="4">
        <v>0</v>
      </c>
      <c r="AB60" s="4">
        <v>0</v>
      </c>
      <c r="AC60" s="4">
        <v>0</v>
      </c>
      <c r="AD60" s="4">
        <v>0</v>
      </c>
      <c r="AE60" s="4">
        <v>0</v>
      </c>
      <c r="AF60" s="4">
        <v>0</v>
      </c>
      <c r="AG60" s="4">
        <v>0</v>
      </c>
      <c r="AH60" s="4">
        <v>0</v>
      </c>
    </row>
    <row r="61" spans="1:34" x14ac:dyDescent="0.25">
      <c r="A61" s="12" t="s">
        <v>9</v>
      </c>
      <c r="B61" s="53" t="s">
        <v>62</v>
      </c>
      <c r="C61" s="4">
        <v>29.84</v>
      </c>
      <c r="D61" s="33">
        <f>IF(C61="", "", IF(G61="","",C61/G61))</f>
        <v>18.63</v>
      </c>
      <c r="E61" s="34">
        <f t="shared" si="22"/>
        <v>9.85</v>
      </c>
      <c r="F61" s="62">
        <f t="shared" si="23"/>
        <v>14.239999999999998</v>
      </c>
      <c r="G61" s="4">
        <v>1.6017176596886742</v>
      </c>
      <c r="H61" s="35">
        <f t="shared" si="13"/>
        <v>2.0955056179775284</v>
      </c>
      <c r="I61" s="4">
        <v>0.52871712292002149</v>
      </c>
      <c r="J61" s="4">
        <f t="shared" si="24"/>
        <v>1.8913705583756344</v>
      </c>
      <c r="K61" s="4">
        <f>2065.8/1919.9</f>
        <v>1.0759935413302777</v>
      </c>
      <c r="L61" s="4">
        <v>70</v>
      </c>
      <c r="M61" s="5">
        <f t="shared" si="25"/>
        <v>1.2217304763960306</v>
      </c>
      <c r="N61" s="6">
        <f t="shared" si="16"/>
        <v>-0.33281540973763352</v>
      </c>
      <c r="O61" s="6">
        <f t="shared" si="17"/>
        <v>-1.3221173288375394</v>
      </c>
      <c r="P61" s="6">
        <f t="shared" si="18"/>
        <v>-0.6259583884661023</v>
      </c>
      <c r="Q61" s="6">
        <f t="shared" si="19"/>
        <v>-2.8162219210743218</v>
      </c>
      <c r="R61" s="6">
        <f t="shared" si="20"/>
        <v>-0.73633757195265959</v>
      </c>
      <c r="S61" s="6">
        <f t="shared" si="21"/>
        <v>0.71896277983118428</v>
      </c>
      <c r="T61" s="4">
        <v>2</v>
      </c>
      <c r="U61" s="4">
        <v>1</v>
      </c>
      <c r="V61" s="4">
        <v>1</v>
      </c>
      <c r="W61" s="4">
        <v>0</v>
      </c>
      <c r="X61" s="4">
        <v>0</v>
      </c>
      <c r="Y61" s="4">
        <v>0</v>
      </c>
      <c r="Z61" s="4">
        <v>0</v>
      </c>
      <c r="AA61" s="4">
        <v>0</v>
      </c>
      <c r="AB61" s="4">
        <v>0</v>
      </c>
      <c r="AC61" s="4">
        <v>0</v>
      </c>
      <c r="AD61" s="4">
        <v>0</v>
      </c>
      <c r="AE61" s="4">
        <v>0</v>
      </c>
      <c r="AF61" s="4">
        <v>0</v>
      </c>
      <c r="AG61" s="4">
        <v>0</v>
      </c>
      <c r="AH61" s="4">
        <v>0</v>
      </c>
    </row>
    <row r="62" spans="1:34" x14ac:dyDescent="0.25">
      <c r="A62" s="1" t="s">
        <v>52</v>
      </c>
      <c r="B62" s="53" t="s">
        <v>82</v>
      </c>
      <c r="C62" s="4">
        <v>50</v>
      </c>
      <c r="D62" s="33">
        <v>24</v>
      </c>
      <c r="E62" s="34" t="str">
        <f t="shared" si="22"/>
        <v/>
      </c>
      <c r="F62" s="62" t="str">
        <f t="shared" si="23"/>
        <v/>
      </c>
      <c r="G62" s="4">
        <v>2.08</v>
      </c>
      <c r="H62" s="35" t="str">
        <f t="shared" si="13"/>
        <v/>
      </c>
      <c r="J62" s="4" t="str">
        <f t="shared" si="24"/>
        <v/>
      </c>
      <c r="M62" s="5" t="str">
        <f t="shared" si="25"/>
        <v/>
      </c>
      <c r="N62" s="6">
        <f t="shared" si="16"/>
        <v>0.53320855629055819</v>
      </c>
      <c r="O62" s="6">
        <f t="shared" si="17"/>
        <v>-0.53215838087613532</v>
      </c>
      <c r="P62" s="6" t="str">
        <f t="shared" si="18"/>
        <v/>
      </c>
      <c r="Q62" s="6" t="str">
        <f t="shared" si="19"/>
        <v/>
      </c>
      <c r="R62" s="6" t="str">
        <f t="shared" si="20"/>
        <v/>
      </c>
      <c r="S62" s="6" t="str">
        <f t="shared" si="21"/>
        <v/>
      </c>
      <c r="T62" s="4">
        <v>1</v>
      </c>
      <c r="U62" s="4">
        <v>1</v>
      </c>
      <c r="V62" s="4">
        <v>1</v>
      </c>
      <c r="W62" s="4"/>
      <c r="X62" s="4"/>
      <c r="Y62" s="4"/>
      <c r="Z62" s="4">
        <v>0</v>
      </c>
      <c r="AA62" s="4">
        <v>1</v>
      </c>
      <c r="AB62" s="4">
        <v>0</v>
      </c>
      <c r="AC62" s="4"/>
      <c r="AD62" s="4"/>
      <c r="AE62" s="4"/>
      <c r="AF62" s="4"/>
      <c r="AG62" s="4">
        <v>0</v>
      </c>
      <c r="AH62" s="4">
        <v>0</v>
      </c>
    </row>
    <row r="63" spans="1:34" x14ac:dyDescent="0.25">
      <c r="A63" s="12" t="s">
        <v>52</v>
      </c>
      <c r="B63" s="53" t="s">
        <v>64</v>
      </c>
      <c r="C63" s="4">
        <v>30</v>
      </c>
      <c r="D63" s="33">
        <f>IF(C63="", "", IF(G63="","",C63/G63))</f>
        <v>13.4</v>
      </c>
      <c r="E63" s="34">
        <f t="shared" si="22"/>
        <v>11</v>
      </c>
      <c r="F63" s="62">
        <f t="shared" si="23"/>
        <v>12.2</v>
      </c>
      <c r="G63" s="4">
        <v>2.2388059701492535</v>
      </c>
      <c r="H63" s="35">
        <f t="shared" si="13"/>
        <v>2.459016393442623</v>
      </c>
      <c r="I63" s="4">
        <v>0.82089552238805963</v>
      </c>
      <c r="J63" s="4">
        <f t="shared" si="24"/>
        <v>1.2181818181818183</v>
      </c>
      <c r="K63" s="4">
        <f>1981.4/1705.6</f>
        <v>1.1617026266416512</v>
      </c>
      <c r="L63" s="4">
        <v>65</v>
      </c>
      <c r="M63" s="5">
        <f t="shared" si="25"/>
        <v>1.1344640137963142</v>
      </c>
      <c r="N63" s="6">
        <f t="shared" si="16"/>
        <v>-0.32594220365804466</v>
      </c>
      <c r="O63" s="6">
        <f t="shared" si="17"/>
        <v>-0.26986519851143465</v>
      </c>
      <c r="P63" s="6">
        <f t="shared" si="18"/>
        <v>-3.4217772357605456E-3</v>
      </c>
      <c r="Q63" s="6">
        <f t="shared" si="19"/>
        <v>-0.75886985190283052</v>
      </c>
      <c r="R63" s="6">
        <f t="shared" si="20"/>
        <v>0.67474279508369972</v>
      </c>
      <c r="S63" s="6">
        <f t="shared" si="21"/>
        <v>-0.21786750903975419</v>
      </c>
      <c r="T63" s="4">
        <v>1</v>
      </c>
      <c r="U63" s="4">
        <v>1</v>
      </c>
      <c r="V63" s="4">
        <v>1</v>
      </c>
      <c r="W63" s="4">
        <v>0</v>
      </c>
      <c r="X63" s="4">
        <v>0</v>
      </c>
      <c r="Y63" s="4">
        <v>0</v>
      </c>
      <c r="Z63" s="4">
        <v>0</v>
      </c>
      <c r="AA63" s="4">
        <v>1</v>
      </c>
      <c r="AB63" s="4">
        <v>0</v>
      </c>
      <c r="AC63" s="4">
        <v>1</v>
      </c>
      <c r="AD63" s="4">
        <v>0</v>
      </c>
      <c r="AE63" s="4">
        <v>0</v>
      </c>
      <c r="AF63" s="4">
        <v>0</v>
      </c>
      <c r="AG63" s="4">
        <v>0</v>
      </c>
      <c r="AH63" s="4">
        <v>0</v>
      </c>
    </row>
    <row r="64" spans="1:34" x14ac:dyDescent="0.25">
      <c r="A64" s="1" t="s">
        <v>209</v>
      </c>
      <c r="B64" s="53" t="s">
        <v>65</v>
      </c>
      <c r="C64" s="4">
        <v>25</v>
      </c>
      <c r="D64" s="33">
        <v>10.8</v>
      </c>
      <c r="E64" s="34" t="str">
        <f t="shared" si="22"/>
        <v/>
      </c>
      <c r="F64" s="62" t="str">
        <f t="shared" si="23"/>
        <v/>
      </c>
      <c r="G64" s="4">
        <v>2.3084994753410286</v>
      </c>
      <c r="H64" s="35" t="str">
        <f t="shared" si="13"/>
        <v/>
      </c>
      <c r="J64" s="4" t="str">
        <f t="shared" si="24"/>
        <v/>
      </c>
      <c r="M64" s="5" t="str">
        <f t="shared" si="25"/>
        <v/>
      </c>
      <c r="N64" s="6">
        <f t="shared" si="16"/>
        <v>-0.54072989364519541</v>
      </c>
      <c r="O64" s="6">
        <f t="shared" si="17"/>
        <v>-0.15475534936835186</v>
      </c>
      <c r="P64" s="6" t="str">
        <f t="shared" si="18"/>
        <v/>
      </c>
      <c r="Q64" s="6" t="str">
        <f t="shared" si="19"/>
        <v/>
      </c>
      <c r="R64" s="6" t="str">
        <f t="shared" si="20"/>
        <v/>
      </c>
      <c r="S64" s="6" t="str">
        <f t="shared" si="21"/>
        <v/>
      </c>
      <c r="T64" s="4">
        <v>1</v>
      </c>
      <c r="U64" s="4">
        <v>1</v>
      </c>
      <c r="V64" s="4"/>
      <c r="W64" s="4"/>
      <c r="X64" s="4"/>
      <c r="Y64" s="4">
        <v>0</v>
      </c>
      <c r="Z64" s="4">
        <v>0</v>
      </c>
      <c r="AA64" s="4">
        <v>0</v>
      </c>
      <c r="AB64" s="4"/>
      <c r="AC64" s="4">
        <v>0</v>
      </c>
      <c r="AD64" s="4">
        <v>0</v>
      </c>
      <c r="AE64" s="4">
        <v>0</v>
      </c>
      <c r="AF64" s="4">
        <v>0</v>
      </c>
      <c r="AG64" s="4">
        <v>0</v>
      </c>
      <c r="AH64" s="4">
        <v>0</v>
      </c>
    </row>
    <row r="65" spans="1:34" x14ac:dyDescent="0.25">
      <c r="A65" s="13" t="s">
        <v>54</v>
      </c>
      <c r="B65" s="53" t="s">
        <v>83</v>
      </c>
      <c r="C65" s="4">
        <v>32.83</v>
      </c>
      <c r="D65" s="33">
        <v>12.33</v>
      </c>
      <c r="E65" s="34" t="str">
        <f t="shared" si="22"/>
        <v/>
      </c>
      <c r="F65" s="62" t="str">
        <f t="shared" si="23"/>
        <v/>
      </c>
      <c r="G65" s="4">
        <v>2.6620111731843576</v>
      </c>
      <c r="H65" s="35" t="str">
        <f t="shared" si="13"/>
        <v/>
      </c>
      <c r="J65" s="4" t="str">
        <f t="shared" si="24"/>
        <v/>
      </c>
      <c r="M65" s="5" t="str">
        <f t="shared" si="25"/>
        <v/>
      </c>
      <c r="N65" s="6">
        <f t="shared" si="16"/>
        <v>-0.20437237112531745</v>
      </c>
      <c r="O65" s="6">
        <f t="shared" si="17"/>
        <v>0.42912514418821318</v>
      </c>
      <c r="P65" s="6" t="str">
        <f t="shared" si="18"/>
        <v/>
      </c>
      <c r="Q65" s="6" t="str">
        <f t="shared" si="19"/>
        <v/>
      </c>
      <c r="R65" s="6" t="str">
        <f t="shared" si="20"/>
        <v/>
      </c>
      <c r="S65" s="6" t="str">
        <f t="shared" si="21"/>
        <v/>
      </c>
      <c r="T65" s="4">
        <v>2</v>
      </c>
      <c r="U65" s="4">
        <v>1</v>
      </c>
      <c r="V65" s="4">
        <v>1</v>
      </c>
      <c r="W65" s="4">
        <v>0</v>
      </c>
      <c r="X65" s="4">
        <v>0</v>
      </c>
      <c r="Y65" s="4">
        <v>0</v>
      </c>
      <c r="Z65" s="4">
        <v>0</v>
      </c>
      <c r="AA65" s="4"/>
      <c r="AB65" s="4">
        <v>0</v>
      </c>
      <c r="AC65" s="4">
        <v>1</v>
      </c>
      <c r="AD65" s="4">
        <v>0</v>
      </c>
      <c r="AE65" s="4">
        <v>0</v>
      </c>
      <c r="AF65" s="4">
        <v>1</v>
      </c>
      <c r="AG65" s="4">
        <v>0</v>
      </c>
      <c r="AH65" s="4">
        <v>0</v>
      </c>
    </row>
    <row r="66" spans="1:34" x14ac:dyDescent="0.25">
      <c r="A66" s="1" t="s">
        <v>45</v>
      </c>
      <c r="B66" s="53" t="s">
        <v>46</v>
      </c>
      <c r="C66" s="4">
        <v>34.9</v>
      </c>
      <c r="D66" s="33">
        <v>18.2</v>
      </c>
      <c r="E66" s="34">
        <f t="shared" si="22"/>
        <v>15.9</v>
      </c>
      <c r="F66" s="62">
        <f t="shared" si="23"/>
        <v>17.05</v>
      </c>
      <c r="G66" s="4">
        <v>1.9175824175824177</v>
      </c>
      <c r="H66" s="35">
        <f t="shared" si="13"/>
        <v>2.0469208211143695</v>
      </c>
      <c r="I66" s="4">
        <v>0.87362637362637363</v>
      </c>
      <c r="J66" s="4">
        <f t="shared" si="24"/>
        <v>1.1446540880503144</v>
      </c>
      <c r="K66" s="4">
        <f>3708.7/3269.9</f>
        <v>1.1341937062295482</v>
      </c>
      <c r="L66" s="4">
        <v>65</v>
      </c>
      <c r="M66" s="5">
        <f t="shared" si="25"/>
        <v>1.1344640137963142</v>
      </c>
      <c r="N66" s="6">
        <f t="shared" si="16"/>
        <v>-0.11545026747063704</v>
      </c>
      <c r="O66" s="6">
        <f t="shared" si="17"/>
        <v>-0.80041671224900657</v>
      </c>
      <c r="P66" s="6">
        <f t="shared" si="18"/>
        <v>-0.70916311536259513</v>
      </c>
      <c r="Q66" s="6">
        <f t="shared" si="19"/>
        <v>-0.38756955693976342</v>
      </c>
      <c r="R66" s="6">
        <f t="shared" si="20"/>
        <v>0.22184684629525367</v>
      </c>
      <c r="S66" s="6">
        <f t="shared" si="21"/>
        <v>-0.21786750903975419</v>
      </c>
      <c r="T66" s="4">
        <v>0</v>
      </c>
      <c r="U66" s="4">
        <v>1</v>
      </c>
      <c r="V66" s="4">
        <v>2</v>
      </c>
      <c r="W66" s="4">
        <v>1</v>
      </c>
      <c r="X66" s="4">
        <v>1</v>
      </c>
      <c r="Y66" s="4">
        <v>0</v>
      </c>
      <c r="Z66" s="4">
        <v>1</v>
      </c>
      <c r="AA66" s="4">
        <v>3</v>
      </c>
      <c r="AB66" s="4">
        <v>3</v>
      </c>
      <c r="AC66" s="4">
        <v>1</v>
      </c>
      <c r="AD66" s="4">
        <v>1</v>
      </c>
      <c r="AE66" s="4">
        <v>0</v>
      </c>
      <c r="AF66" s="4">
        <v>0</v>
      </c>
      <c r="AG66" s="4">
        <v>0</v>
      </c>
      <c r="AH66" s="4">
        <v>1</v>
      </c>
    </row>
    <row r="67" spans="1:34" x14ac:dyDescent="0.25">
      <c r="A67" s="1" t="s">
        <v>20</v>
      </c>
      <c r="B67" s="53" t="s">
        <v>69</v>
      </c>
      <c r="C67" s="4">
        <v>28</v>
      </c>
      <c r="D67" s="33">
        <v>14.62</v>
      </c>
      <c r="E67" s="34">
        <f t="shared" si="22"/>
        <v>14.03</v>
      </c>
      <c r="F67" s="62">
        <f t="shared" si="23"/>
        <v>14.324999999999999</v>
      </c>
      <c r="G67" s="4">
        <v>1.915</v>
      </c>
      <c r="H67" s="35">
        <f t="shared" si="13"/>
        <v>1.9546247818499127</v>
      </c>
      <c r="I67" s="4">
        <v>0.95964432284541723</v>
      </c>
      <c r="J67" s="4">
        <f t="shared" si="24"/>
        <v>1.0420527441197434</v>
      </c>
      <c r="K67" s="4">
        <f>1511/1304.9</f>
        <v>1.157943137405165</v>
      </c>
      <c r="L67" s="4">
        <v>64</v>
      </c>
      <c r="M67" s="5">
        <f t="shared" si="25"/>
        <v>1.1170107212763709</v>
      </c>
      <c r="N67" s="6">
        <f t="shared" si="16"/>
        <v>-0.41185727965290497</v>
      </c>
      <c r="O67" s="6">
        <f t="shared" si="17"/>
        <v>-0.80468198341765507</v>
      </c>
      <c r="P67" s="6">
        <f t="shared" si="18"/>
        <v>-0.86722627990060119</v>
      </c>
      <c r="Q67" s="6">
        <f t="shared" si="19"/>
        <v>0.21811931716554692</v>
      </c>
      <c r="R67" s="6">
        <f t="shared" si="20"/>
        <v>0.6128480562422115</v>
      </c>
      <c r="S67" s="6">
        <f t="shared" si="21"/>
        <v>-0.4052335668139419</v>
      </c>
      <c r="T67" s="4">
        <v>0</v>
      </c>
      <c r="U67" s="4">
        <v>1</v>
      </c>
      <c r="V67" s="4">
        <v>2</v>
      </c>
      <c r="W67" s="4">
        <v>1</v>
      </c>
      <c r="X67" s="4">
        <v>1</v>
      </c>
      <c r="Y67" s="4">
        <v>0</v>
      </c>
      <c r="Z67" s="4">
        <v>1</v>
      </c>
      <c r="AA67" s="4">
        <v>3</v>
      </c>
      <c r="AB67" s="4">
        <v>3</v>
      </c>
      <c r="AC67" s="4">
        <v>1</v>
      </c>
      <c r="AD67" s="4">
        <v>0</v>
      </c>
      <c r="AE67" s="4">
        <v>0</v>
      </c>
      <c r="AF67" s="4">
        <v>0</v>
      </c>
      <c r="AG67" s="4">
        <v>0</v>
      </c>
      <c r="AH67" s="4">
        <v>1</v>
      </c>
    </row>
    <row r="68" spans="1:34" x14ac:dyDescent="0.25">
      <c r="A68" s="13" t="s">
        <v>68</v>
      </c>
      <c r="B68" s="53" t="s">
        <v>67</v>
      </c>
      <c r="C68" s="4">
        <v>23.26</v>
      </c>
      <c r="D68" s="33">
        <v>13</v>
      </c>
      <c r="E68" s="34">
        <f t="shared" si="22"/>
        <v>12.72</v>
      </c>
      <c r="F68" s="62">
        <f t="shared" si="23"/>
        <v>12.86</v>
      </c>
      <c r="G68" s="4">
        <v>1.8972267536704732</v>
      </c>
      <c r="H68" s="35">
        <f t="shared" ref="H68:H76" si="26">IF(F68="","",(C68/F68))</f>
        <v>1.808709175738725</v>
      </c>
      <c r="I68" s="4">
        <v>0.97846153846153849</v>
      </c>
      <c r="J68" s="4">
        <f t="shared" si="24"/>
        <v>1.0220125786163521</v>
      </c>
      <c r="K68" s="4">
        <f>3738/3197</f>
        <v>1.1692211448232719</v>
      </c>
      <c r="L68" s="4">
        <v>59</v>
      </c>
      <c r="M68" s="5">
        <f t="shared" si="25"/>
        <v>1.0297442586766545</v>
      </c>
      <c r="N68" s="6">
        <f t="shared" ref="N68:N99" si="27">IF(C68="","", ((C68-C$123)/(C$124)))</f>
        <v>-0.61547600976072381</v>
      </c>
      <c r="O68" s="6">
        <f t="shared" ref="O68:O99" si="28">IF(G68="","", ((G68-G$123)/(G$124)))</f>
        <v>-0.83403731140905202</v>
      </c>
      <c r="P68" s="6">
        <f t="shared" ref="P68:P99" si="29">IF(H68="","", ((H68-H$123)/(H$124)))</f>
        <v>-1.1171165529959655</v>
      </c>
      <c r="Q68" s="6">
        <f t="shared" ref="Q68:Q99" si="30">IF(I68="","", ((I68-I$123)/(I$124)))</f>
        <v>0.35061931564030802</v>
      </c>
      <c r="R68" s="6">
        <f t="shared" ref="R68:R99" si="31">IF(K68="","", ((K68-K$123)/(K$124)))</f>
        <v>0.79852469471252407</v>
      </c>
      <c r="S68" s="6">
        <f t="shared" ref="S68:S99" si="32">IF(L68="","", ((L68-L$123)/(L$124)))</f>
        <v>-1.3420638556848803</v>
      </c>
      <c r="T68" s="4">
        <v>0</v>
      </c>
      <c r="U68" s="4">
        <v>1</v>
      </c>
      <c r="V68" s="4">
        <v>1</v>
      </c>
      <c r="W68" s="4">
        <v>0</v>
      </c>
      <c r="X68" s="4">
        <v>0</v>
      </c>
      <c r="Y68" s="4">
        <v>0</v>
      </c>
      <c r="Z68" s="4">
        <v>1</v>
      </c>
      <c r="AA68" s="4">
        <v>3</v>
      </c>
      <c r="AB68" s="4">
        <v>3</v>
      </c>
      <c r="AC68" s="4">
        <v>1</v>
      </c>
      <c r="AD68" s="4">
        <v>0</v>
      </c>
      <c r="AE68" s="4">
        <v>0</v>
      </c>
      <c r="AF68" s="4">
        <v>0</v>
      </c>
      <c r="AG68" s="4">
        <v>0</v>
      </c>
      <c r="AH68" s="4">
        <v>1</v>
      </c>
    </row>
    <row r="69" spans="1:34" x14ac:dyDescent="0.25">
      <c r="A69" s="1" t="s">
        <v>49</v>
      </c>
      <c r="B69" s="53" t="s">
        <v>50</v>
      </c>
      <c r="C69" s="4">
        <v>29.26</v>
      </c>
      <c r="D69" s="33">
        <v>10.9</v>
      </c>
      <c r="E69" s="34">
        <f t="shared" si="22"/>
        <v>6.9999999999999991</v>
      </c>
      <c r="F69" s="62">
        <f t="shared" si="23"/>
        <v>8.9499999999999993</v>
      </c>
      <c r="G69" s="4">
        <v>2.69</v>
      </c>
      <c r="H69" s="35">
        <f t="shared" si="26"/>
        <v>3.2692737430167602</v>
      </c>
      <c r="I69" s="4">
        <v>0.64220183486238525</v>
      </c>
      <c r="J69" s="4">
        <f t="shared" si="24"/>
        <v>1.5571428571428574</v>
      </c>
      <c r="K69" s="4">
        <f>2041.8/1957.6</f>
        <v>1.0430118512464241</v>
      </c>
      <c r="L69" s="4">
        <v>73</v>
      </c>
      <c r="M69" s="5">
        <f t="shared" si="25"/>
        <v>1.2740903539558606</v>
      </c>
      <c r="N69" s="6">
        <f t="shared" si="27"/>
        <v>-0.35773078177614293</v>
      </c>
      <c r="O69" s="6">
        <f t="shared" si="28"/>
        <v>0.47535311942887698</v>
      </c>
      <c r="P69" s="6">
        <f t="shared" si="29"/>
        <v>1.3841983393425916</v>
      </c>
      <c r="Q69" s="6">
        <f t="shared" si="30"/>
        <v>-2.0171279176878967</v>
      </c>
      <c r="R69" s="6">
        <f t="shared" si="31"/>
        <v>-1.2793350287558498</v>
      </c>
      <c r="S69" s="6">
        <f t="shared" si="32"/>
        <v>1.2810609531537474</v>
      </c>
      <c r="T69" s="4">
        <v>2</v>
      </c>
      <c r="U69" s="4">
        <v>1</v>
      </c>
      <c r="V69" s="4">
        <v>2</v>
      </c>
      <c r="W69" s="4">
        <v>1</v>
      </c>
      <c r="X69" s="4">
        <v>1</v>
      </c>
      <c r="Y69" s="4">
        <v>0</v>
      </c>
      <c r="Z69" s="4">
        <v>0</v>
      </c>
      <c r="AA69" s="4">
        <v>0</v>
      </c>
      <c r="AB69" s="4">
        <v>0</v>
      </c>
      <c r="AC69" s="4">
        <v>0</v>
      </c>
      <c r="AD69" s="4">
        <v>0</v>
      </c>
      <c r="AE69" s="4">
        <v>0</v>
      </c>
      <c r="AF69" s="4">
        <v>1</v>
      </c>
      <c r="AG69" s="4">
        <v>0</v>
      </c>
      <c r="AH69" s="4">
        <v>0</v>
      </c>
    </row>
    <row r="70" spans="1:34" x14ac:dyDescent="0.25">
      <c r="A70" s="12" t="s">
        <v>22</v>
      </c>
      <c r="B70" s="53" t="s">
        <v>51</v>
      </c>
      <c r="C70" s="4">
        <v>47.9</v>
      </c>
      <c r="D70" s="33">
        <v>21.84</v>
      </c>
      <c r="E70" s="34">
        <f t="shared" si="22"/>
        <v>17.11</v>
      </c>
      <c r="F70" s="62">
        <f t="shared" si="23"/>
        <v>19.475000000000001</v>
      </c>
      <c r="G70" s="4">
        <v>2.193223443223443</v>
      </c>
      <c r="H70" s="35">
        <f t="shared" si="26"/>
        <v>2.4595635430038509</v>
      </c>
      <c r="I70" s="4">
        <v>0.78342490842490842</v>
      </c>
      <c r="J70" s="4">
        <f t="shared" si="24"/>
        <v>1.2764465225014612</v>
      </c>
      <c r="M70" s="5" t="str">
        <f t="shared" si="25"/>
        <v/>
      </c>
      <c r="N70" s="6">
        <f t="shared" si="27"/>
        <v>0.44299772649595481</v>
      </c>
      <c r="O70" s="6">
        <f t="shared" si="28"/>
        <v>-0.34515195275851174</v>
      </c>
      <c r="P70" s="6">
        <f t="shared" si="29"/>
        <v>-2.4847468733257836E-3</v>
      </c>
      <c r="Q70" s="6">
        <f t="shared" si="30"/>
        <v>-1.0227163419601777</v>
      </c>
      <c r="R70" s="6" t="str">
        <f t="shared" si="31"/>
        <v/>
      </c>
      <c r="S70" s="6" t="str">
        <f t="shared" si="32"/>
        <v/>
      </c>
      <c r="T70" s="4">
        <v>1</v>
      </c>
      <c r="U70" s="4">
        <v>1</v>
      </c>
      <c r="V70" s="4">
        <v>2</v>
      </c>
      <c r="W70" s="4">
        <v>1</v>
      </c>
      <c r="X70" s="4">
        <v>1</v>
      </c>
      <c r="Y70" s="4">
        <v>0</v>
      </c>
      <c r="Z70" s="4">
        <v>0</v>
      </c>
      <c r="AA70" s="4">
        <v>0</v>
      </c>
      <c r="AB70" s="4">
        <v>0</v>
      </c>
      <c r="AC70" s="4">
        <v>0</v>
      </c>
      <c r="AD70" s="4">
        <v>0</v>
      </c>
      <c r="AE70" s="4">
        <v>0</v>
      </c>
      <c r="AF70" s="4">
        <v>0</v>
      </c>
      <c r="AG70" s="4">
        <v>0</v>
      </c>
      <c r="AH70" s="4">
        <v>0</v>
      </c>
    </row>
    <row r="71" spans="1:34" x14ac:dyDescent="0.25">
      <c r="A71" s="1" t="s">
        <v>25</v>
      </c>
      <c r="B71" s="53" t="s">
        <v>27</v>
      </c>
      <c r="C71" s="4">
        <v>54.17</v>
      </c>
      <c r="D71" s="33">
        <v>22.8</v>
      </c>
      <c r="E71" s="34">
        <f t="shared" si="22"/>
        <v>16.248620236530883</v>
      </c>
      <c r="F71" s="62">
        <f t="shared" si="23"/>
        <v>19.52431011826544</v>
      </c>
      <c r="G71" s="4">
        <v>2.3758771929824563</v>
      </c>
      <c r="H71" s="35">
        <f t="shared" si="26"/>
        <v>2.7744898371247815</v>
      </c>
      <c r="I71" s="4">
        <v>0.71265878230398605</v>
      </c>
      <c r="J71" s="4">
        <f t="shared" si="24"/>
        <v>1.40319606637984</v>
      </c>
      <c r="K71" s="4">
        <f>2815.1/2577.8</f>
        <v>1.0920552409030955</v>
      </c>
      <c r="L71" s="4">
        <v>67</v>
      </c>
      <c r="M71" s="5">
        <f t="shared" si="25"/>
        <v>1.1693705988362009</v>
      </c>
      <c r="N71" s="6">
        <f t="shared" si="27"/>
        <v>0.7123414897398419</v>
      </c>
      <c r="O71" s="6">
        <f t="shared" si="28"/>
        <v>-4.3470389715823572E-2</v>
      </c>
      <c r="P71" s="6">
        <f t="shared" si="29"/>
        <v>0.5368476778079877</v>
      </c>
      <c r="Q71" s="6">
        <f t="shared" si="30"/>
        <v>-1.5210106589500849</v>
      </c>
      <c r="R71" s="6">
        <f t="shared" si="31"/>
        <v>-0.47190412424869843</v>
      </c>
      <c r="S71" s="6">
        <f t="shared" si="32"/>
        <v>0.15686460650862122</v>
      </c>
      <c r="T71" s="4">
        <v>1</v>
      </c>
      <c r="U71" s="4">
        <v>1</v>
      </c>
      <c r="V71" s="4">
        <v>3</v>
      </c>
      <c r="W71" s="4">
        <v>1</v>
      </c>
      <c r="X71" s="4">
        <v>1</v>
      </c>
      <c r="Y71" s="4">
        <v>0</v>
      </c>
      <c r="Z71" s="4">
        <v>0</v>
      </c>
      <c r="AA71" s="4">
        <v>0</v>
      </c>
      <c r="AB71" s="4">
        <v>0</v>
      </c>
      <c r="AC71" s="4">
        <v>0</v>
      </c>
      <c r="AD71" s="4">
        <v>0</v>
      </c>
      <c r="AE71" s="4">
        <v>0</v>
      </c>
      <c r="AF71" s="4">
        <v>0</v>
      </c>
      <c r="AG71" s="4">
        <v>0</v>
      </c>
      <c r="AH71" s="4">
        <v>0</v>
      </c>
    </row>
    <row r="72" spans="1:34" x14ac:dyDescent="0.25">
      <c r="A72" s="1" t="s">
        <v>111</v>
      </c>
      <c r="B72" s="53" t="s">
        <v>93</v>
      </c>
      <c r="C72" s="4">
        <f>11.39+8.45</f>
        <v>19.84</v>
      </c>
      <c r="D72" s="33">
        <f>7.76</f>
        <v>7.76</v>
      </c>
      <c r="E72" s="34" t="str">
        <f t="shared" si="22"/>
        <v/>
      </c>
      <c r="F72" s="62" t="str">
        <f t="shared" si="23"/>
        <v/>
      </c>
      <c r="G72" s="4">
        <v>2.5567010309278353</v>
      </c>
      <c r="H72" s="35" t="str">
        <f t="shared" si="26"/>
        <v/>
      </c>
      <c r="J72" s="4" t="str">
        <f t="shared" si="24"/>
        <v/>
      </c>
      <c r="M72" s="5" t="str">
        <f t="shared" si="25"/>
        <v/>
      </c>
      <c r="N72" s="6">
        <f t="shared" si="27"/>
        <v>-0.76239078971193497</v>
      </c>
      <c r="O72" s="6">
        <f t="shared" si="28"/>
        <v>0.25518878447968346</v>
      </c>
      <c r="P72" s="6" t="str">
        <f t="shared" si="29"/>
        <v/>
      </c>
      <c r="Q72" s="6" t="str">
        <f t="shared" si="30"/>
        <v/>
      </c>
      <c r="R72" s="6" t="str">
        <f t="shared" si="31"/>
        <v/>
      </c>
      <c r="S72" s="6" t="str">
        <f t="shared" si="32"/>
        <v/>
      </c>
      <c r="T72" s="4">
        <v>1</v>
      </c>
      <c r="U72" s="4">
        <v>1</v>
      </c>
      <c r="V72" s="4">
        <v>2</v>
      </c>
      <c r="W72" s="4">
        <v>1</v>
      </c>
      <c r="X72" s="4">
        <v>1</v>
      </c>
      <c r="Y72" s="4">
        <v>0</v>
      </c>
      <c r="Z72" s="4">
        <v>0</v>
      </c>
      <c r="AA72" s="4">
        <v>3</v>
      </c>
      <c r="AB72" s="4">
        <v>3</v>
      </c>
      <c r="AC72" s="4">
        <v>2</v>
      </c>
      <c r="AD72" s="4">
        <v>0</v>
      </c>
      <c r="AE72" s="4">
        <v>0</v>
      </c>
      <c r="AF72" s="4">
        <v>0</v>
      </c>
      <c r="AG72" s="4">
        <v>0</v>
      </c>
      <c r="AH72" s="4">
        <v>0</v>
      </c>
    </row>
    <row r="73" spans="1:34" x14ac:dyDescent="0.25">
      <c r="A73" s="1" t="s">
        <v>111</v>
      </c>
      <c r="B73" s="53" t="s">
        <v>94</v>
      </c>
      <c r="C73" s="4">
        <v>22.5</v>
      </c>
      <c r="D73" s="33">
        <v>9.9499999999999993</v>
      </c>
      <c r="E73" s="34" t="str">
        <f t="shared" si="22"/>
        <v/>
      </c>
      <c r="F73" s="62" t="str">
        <f t="shared" si="23"/>
        <v/>
      </c>
      <c r="G73" s="4">
        <v>2.2613065326633168</v>
      </c>
      <c r="H73" s="35" t="str">
        <f t="shared" si="26"/>
        <v/>
      </c>
      <c r="J73" s="4" t="str">
        <f t="shared" si="24"/>
        <v/>
      </c>
      <c r="K73" s="4">
        <f>986/935.4</f>
        <v>1.0540945050245885</v>
      </c>
      <c r="L73" s="4">
        <v>70</v>
      </c>
      <c r="M73" s="5">
        <f t="shared" si="25"/>
        <v>1.2217304763960306</v>
      </c>
      <c r="N73" s="6">
        <f t="shared" si="27"/>
        <v>-0.64812373863877071</v>
      </c>
      <c r="O73" s="6">
        <f t="shared" si="28"/>
        <v>-0.23270195999299098</v>
      </c>
      <c r="P73" s="6" t="str">
        <f t="shared" si="29"/>
        <v/>
      </c>
      <c r="Q73" s="6" t="str">
        <f t="shared" si="30"/>
        <v/>
      </c>
      <c r="R73" s="6">
        <f t="shared" si="31"/>
        <v>-1.0968746150877347</v>
      </c>
      <c r="S73" s="6">
        <f t="shared" si="32"/>
        <v>0.71896277983118428</v>
      </c>
      <c r="T73" s="4">
        <v>1</v>
      </c>
      <c r="U73" s="4">
        <v>1</v>
      </c>
      <c r="V73" s="4">
        <v>2</v>
      </c>
      <c r="W73" s="4">
        <v>1</v>
      </c>
      <c r="X73" s="4">
        <v>1</v>
      </c>
      <c r="Y73" s="4">
        <v>0</v>
      </c>
      <c r="Z73" s="4">
        <v>0</v>
      </c>
      <c r="AA73" s="4">
        <v>3</v>
      </c>
      <c r="AB73" s="4">
        <v>3</v>
      </c>
      <c r="AC73" s="4">
        <v>2</v>
      </c>
      <c r="AD73" s="4">
        <v>0</v>
      </c>
      <c r="AE73" s="4">
        <v>0</v>
      </c>
      <c r="AF73" s="4">
        <v>0</v>
      </c>
      <c r="AG73" s="4">
        <v>0</v>
      </c>
      <c r="AH73" s="4">
        <v>0</v>
      </c>
    </row>
    <row r="74" spans="1:34" x14ac:dyDescent="0.25">
      <c r="A74" s="14" t="s">
        <v>52</v>
      </c>
      <c r="B74" s="52" t="s">
        <v>53</v>
      </c>
      <c r="C74" s="4">
        <v>32.18</v>
      </c>
      <c r="D74" s="33">
        <v>15.440000000000001</v>
      </c>
      <c r="E74" s="34">
        <f t="shared" si="22"/>
        <v>11.900000000000002</v>
      </c>
      <c r="F74" s="62">
        <f t="shared" si="23"/>
        <v>13.670000000000002</v>
      </c>
      <c r="G74" s="4">
        <v>2.0841968911917097</v>
      </c>
      <c r="H74" s="35">
        <f t="shared" si="26"/>
        <v>2.354059985369422</v>
      </c>
      <c r="I74" s="4">
        <v>0.77072538860103634</v>
      </c>
      <c r="J74" s="4">
        <f t="shared" si="24"/>
        <v>1.2974789915966385</v>
      </c>
      <c r="K74" s="4">
        <f>5691/4975</f>
        <v>1.1439195979899497</v>
      </c>
      <c r="L74" s="4">
        <v>67.5</v>
      </c>
      <c r="M74" s="5">
        <f t="shared" si="25"/>
        <v>1.1780972450961724</v>
      </c>
      <c r="N74" s="6">
        <f t="shared" si="27"/>
        <v>-0.232294770823647</v>
      </c>
      <c r="O74" s="6">
        <f t="shared" si="28"/>
        <v>-0.52522655113650207</v>
      </c>
      <c r="P74" s="6">
        <f t="shared" si="29"/>
        <v>-0.183166673450188</v>
      </c>
      <c r="Q74" s="6">
        <f t="shared" si="30"/>
        <v>-1.1121390488909331</v>
      </c>
      <c r="R74" s="6">
        <f t="shared" si="31"/>
        <v>0.38197006853202264</v>
      </c>
      <c r="S74" s="6">
        <f t="shared" si="32"/>
        <v>0.25054763539571506</v>
      </c>
      <c r="T74" s="4">
        <v>1</v>
      </c>
      <c r="U74" s="4">
        <v>1</v>
      </c>
      <c r="V74" s="4">
        <v>1</v>
      </c>
      <c r="W74" s="4">
        <v>0</v>
      </c>
      <c r="X74" s="4">
        <v>0</v>
      </c>
      <c r="Y74" s="4">
        <v>0</v>
      </c>
      <c r="Z74" s="4">
        <v>0</v>
      </c>
      <c r="AA74" s="4">
        <v>0</v>
      </c>
      <c r="AB74" s="4">
        <v>0</v>
      </c>
      <c r="AC74" s="4">
        <v>0</v>
      </c>
      <c r="AD74" s="4">
        <v>0</v>
      </c>
      <c r="AE74" s="4">
        <v>0</v>
      </c>
      <c r="AF74" s="4">
        <v>0</v>
      </c>
      <c r="AG74" s="4">
        <v>0</v>
      </c>
      <c r="AH74" s="4">
        <v>0</v>
      </c>
    </row>
    <row r="75" spans="1:34" x14ac:dyDescent="0.25">
      <c r="A75" s="15" t="s">
        <v>32</v>
      </c>
      <c r="B75" s="52" t="s">
        <v>33</v>
      </c>
      <c r="C75" s="4">
        <v>31.61</v>
      </c>
      <c r="D75" s="33">
        <v>11.2</v>
      </c>
      <c r="E75" s="34">
        <f t="shared" si="22"/>
        <v>6.9999999999999991</v>
      </c>
      <c r="F75" s="62">
        <f t="shared" si="23"/>
        <v>9.1</v>
      </c>
      <c r="G75" s="4">
        <v>2.8223214285714286</v>
      </c>
      <c r="H75" s="35">
        <f t="shared" si="26"/>
        <v>3.4736263736263737</v>
      </c>
      <c r="I75" s="4">
        <v>0.625</v>
      </c>
      <c r="J75" s="4">
        <f t="shared" si="24"/>
        <v>1.6</v>
      </c>
      <c r="K75" s="4">
        <f>1606.8/1447.9</f>
        <v>1.10974514814559</v>
      </c>
      <c r="L75" s="4">
        <v>66</v>
      </c>
      <c r="M75" s="5">
        <f t="shared" si="25"/>
        <v>1.1519173063162575</v>
      </c>
      <c r="N75" s="6">
        <f t="shared" si="27"/>
        <v>-0.2567805674821822</v>
      </c>
      <c r="O75" s="6">
        <f t="shared" si="28"/>
        <v>0.69390289159691421</v>
      </c>
      <c r="P75" s="6">
        <f t="shared" si="29"/>
        <v>1.7341659406962147</v>
      </c>
      <c r="Q75" s="6">
        <f t="shared" si="30"/>
        <v>-2.1382533349401944</v>
      </c>
      <c r="R75" s="6">
        <f t="shared" si="31"/>
        <v>-0.18066451162310551</v>
      </c>
      <c r="S75" s="6">
        <f t="shared" si="32"/>
        <v>-3.0501451265566491E-2</v>
      </c>
      <c r="T75" s="4">
        <v>2</v>
      </c>
      <c r="U75" s="4">
        <v>1</v>
      </c>
      <c r="V75" s="4">
        <v>1</v>
      </c>
      <c r="W75" s="4">
        <v>0</v>
      </c>
      <c r="X75" s="4">
        <v>0</v>
      </c>
      <c r="Y75" s="4">
        <v>0</v>
      </c>
      <c r="Z75" s="4">
        <v>0</v>
      </c>
      <c r="AA75" s="4">
        <v>0</v>
      </c>
      <c r="AB75" s="4">
        <v>0</v>
      </c>
      <c r="AC75" s="4">
        <v>0</v>
      </c>
      <c r="AD75" s="4">
        <v>0</v>
      </c>
      <c r="AE75" s="4">
        <v>0</v>
      </c>
      <c r="AF75" s="4">
        <v>0</v>
      </c>
      <c r="AG75" s="4">
        <v>0</v>
      </c>
      <c r="AH75" s="4">
        <v>0</v>
      </c>
    </row>
    <row r="76" spans="1:34" x14ac:dyDescent="0.25">
      <c r="A76" s="15" t="s">
        <v>32</v>
      </c>
      <c r="B76" s="52" t="s">
        <v>33</v>
      </c>
      <c r="C76" s="4">
        <v>27.89</v>
      </c>
      <c r="D76" s="33">
        <v>11.59</v>
      </c>
      <c r="E76" s="34">
        <f t="shared" si="22"/>
        <v>8.39</v>
      </c>
      <c r="F76" s="62">
        <f t="shared" si="23"/>
        <v>9.99</v>
      </c>
      <c r="G76" s="4">
        <v>2.4063848144952544</v>
      </c>
      <c r="H76" s="35">
        <f t="shared" si="26"/>
        <v>2.7917917917917916</v>
      </c>
      <c r="I76" s="4">
        <v>0.72389991371872309</v>
      </c>
      <c r="J76" s="4">
        <f t="shared" si="24"/>
        <v>1.3814064362336114</v>
      </c>
      <c r="K76" s="4">
        <f>3630.3/3276.6</f>
        <v>1.1079472624061528</v>
      </c>
      <c r="L76" s="4">
        <v>70</v>
      </c>
      <c r="M76" s="5">
        <f t="shared" si="25"/>
        <v>1.2217304763960306</v>
      </c>
      <c r="N76" s="6">
        <f t="shared" si="27"/>
        <v>-0.41658260883262227</v>
      </c>
      <c r="O76" s="6">
        <f t="shared" si="28"/>
        <v>6.9177734335153923E-3</v>
      </c>
      <c r="P76" s="6">
        <f t="shared" si="29"/>
        <v>0.56647843692999822</v>
      </c>
      <c r="Q76" s="6">
        <f t="shared" si="30"/>
        <v>-1.4418570835384714</v>
      </c>
      <c r="R76" s="6">
        <f t="shared" si="31"/>
        <v>-0.2102641889487693</v>
      </c>
      <c r="S76" s="6">
        <f t="shared" si="32"/>
        <v>0.71896277983118428</v>
      </c>
      <c r="T76" s="4">
        <v>2</v>
      </c>
      <c r="U76" s="4">
        <v>1</v>
      </c>
      <c r="V76" s="4">
        <v>1</v>
      </c>
      <c r="W76" s="4">
        <v>0</v>
      </c>
      <c r="X76" s="4">
        <v>0</v>
      </c>
      <c r="Y76" s="4">
        <v>0</v>
      </c>
      <c r="Z76" s="4">
        <v>0</v>
      </c>
      <c r="AA76" s="4">
        <v>0</v>
      </c>
      <c r="AB76" s="4">
        <v>0</v>
      </c>
      <c r="AC76" s="4">
        <v>0</v>
      </c>
      <c r="AD76" s="4">
        <v>0</v>
      </c>
      <c r="AE76" s="4">
        <v>0</v>
      </c>
      <c r="AF76" s="4">
        <v>0</v>
      </c>
      <c r="AG76" s="4">
        <v>0</v>
      </c>
      <c r="AH76" s="4">
        <v>0</v>
      </c>
    </row>
    <row r="77" spans="1:34" x14ac:dyDescent="0.25">
      <c r="A77" s="3" t="s">
        <v>61</v>
      </c>
      <c r="B77" s="52" t="s">
        <v>85</v>
      </c>
      <c r="D77" s="33">
        <v>12.7</v>
      </c>
      <c r="E77" s="34">
        <f t="shared" si="22"/>
        <v>10.65</v>
      </c>
      <c r="F77" s="62">
        <f t="shared" si="23"/>
        <v>11.675000000000001</v>
      </c>
      <c r="I77" s="30">
        <v>0.8385826771653544</v>
      </c>
      <c r="J77" s="4">
        <f t="shared" si="24"/>
        <v>1.192488262910798</v>
      </c>
      <c r="M77" s="5" t="str">
        <f t="shared" si="25"/>
        <v/>
      </c>
      <c r="N77" s="6" t="str">
        <f t="shared" si="27"/>
        <v/>
      </c>
      <c r="O77" s="6" t="str">
        <f t="shared" si="28"/>
        <v/>
      </c>
      <c r="P77" s="6" t="str">
        <f t="shared" si="29"/>
        <v/>
      </c>
      <c r="Q77" s="6">
        <f t="shared" si="30"/>
        <v>-0.63432709122963971</v>
      </c>
      <c r="R77" s="6" t="str">
        <f t="shared" si="31"/>
        <v/>
      </c>
      <c r="S77" s="6" t="str">
        <f t="shared" si="32"/>
        <v/>
      </c>
      <c r="T77" s="4">
        <v>1</v>
      </c>
      <c r="U77" s="4">
        <v>1</v>
      </c>
      <c r="V77" s="4">
        <v>1</v>
      </c>
      <c r="W77" s="4"/>
      <c r="X77" s="4"/>
      <c r="Y77" s="4">
        <v>0</v>
      </c>
      <c r="Z77" s="4">
        <v>0</v>
      </c>
      <c r="AA77" s="4">
        <v>0</v>
      </c>
      <c r="AB77" s="4">
        <v>0</v>
      </c>
      <c r="AC77" s="4">
        <v>0</v>
      </c>
      <c r="AD77" s="4"/>
      <c r="AE77" s="4">
        <v>0</v>
      </c>
      <c r="AF77" s="4">
        <v>0</v>
      </c>
      <c r="AG77" s="4">
        <v>0</v>
      </c>
      <c r="AH77" s="4">
        <v>0</v>
      </c>
    </row>
    <row r="78" spans="1:34" x14ac:dyDescent="0.25">
      <c r="A78" s="15" t="s">
        <v>210</v>
      </c>
      <c r="B78" s="52" t="s">
        <v>84</v>
      </c>
      <c r="D78" s="33">
        <v>22</v>
      </c>
      <c r="E78" s="34">
        <f t="shared" si="22"/>
        <v>18.930000000000003</v>
      </c>
      <c r="F78" s="62">
        <f t="shared" si="23"/>
        <v>20.465000000000003</v>
      </c>
      <c r="I78" s="4">
        <v>0.86045454545454547</v>
      </c>
      <c r="J78" s="4">
        <f t="shared" si="24"/>
        <v>1.1621764395139988</v>
      </c>
      <c r="M78" s="5" t="str">
        <f t="shared" si="25"/>
        <v/>
      </c>
      <c r="N78" s="6" t="str">
        <f t="shared" si="27"/>
        <v/>
      </c>
      <c r="O78" s="6" t="str">
        <f t="shared" si="28"/>
        <v/>
      </c>
      <c r="P78" s="6" t="str">
        <f t="shared" si="29"/>
        <v/>
      </c>
      <c r="Q78" s="6">
        <f t="shared" si="30"/>
        <v>-0.48031798732825426</v>
      </c>
      <c r="R78" s="6" t="str">
        <f t="shared" si="31"/>
        <v/>
      </c>
      <c r="S78" s="6" t="str">
        <f t="shared" si="32"/>
        <v/>
      </c>
      <c r="T78" s="4">
        <v>1</v>
      </c>
      <c r="U78" s="4">
        <v>1</v>
      </c>
      <c r="V78" s="4">
        <v>2</v>
      </c>
      <c r="W78" s="4">
        <v>1</v>
      </c>
      <c r="X78" s="4">
        <v>1</v>
      </c>
      <c r="Y78" s="4">
        <v>0</v>
      </c>
      <c r="Z78" s="4">
        <v>0</v>
      </c>
      <c r="AA78" s="4">
        <v>0</v>
      </c>
      <c r="AB78" s="4">
        <v>0</v>
      </c>
      <c r="AC78" s="4">
        <v>0</v>
      </c>
      <c r="AD78" s="4"/>
      <c r="AE78" s="4">
        <v>0</v>
      </c>
      <c r="AF78" s="4">
        <v>0</v>
      </c>
      <c r="AG78" s="4">
        <v>0</v>
      </c>
      <c r="AH78" s="4">
        <v>0</v>
      </c>
    </row>
    <row r="79" spans="1:34" x14ac:dyDescent="0.25">
      <c r="A79" s="15" t="s">
        <v>211</v>
      </c>
      <c r="B79" s="52" t="s">
        <v>56</v>
      </c>
      <c r="C79" s="4">
        <v>23.47</v>
      </c>
      <c r="D79" s="33">
        <v>11.75</v>
      </c>
      <c r="E79" s="34">
        <f t="shared" si="22"/>
        <v>10.91</v>
      </c>
      <c r="F79" s="62">
        <f t="shared" si="23"/>
        <v>11.33</v>
      </c>
      <c r="G79" s="4">
        <v>1.9974468085106383</v>
      </c>
      <c r="H79" s="35">
        <f t="shared" ref="H79:H114" si="33">IF(F79="","",(C79/F79))</f>
        <v>2.0714916151809355</v>
      </c>
      <c r="I79" s="4">
        <v>0.92851063829787239</v>
      </c>
      <c r="J79" s="4">
        <f t="shared" si="24"/>
        <v>1.0769935838680109</v>
      </c>
      <c r="K79" s="4">
        <f>1839.9/1758.8</f>
        <v>1.046110984762338</v>
      </c>
      <c r="L79" s="4">
        <v>73</v>
      </c>
      <c r="M79" s="5">
        <f t="shared" si="25"/>
        <v>1.2740903539558606</v>
      </c>
      <c r="N79" s="6">
        <f t="shared" si="27"/>
        <v>-0.60645492678126356</v>
      </c>
      <c r="O79" s="6">
        <f t="shared" si="28"/>
        <v>-0.66850803630632194</v>
      </c>
      <c r="P79" s="6">
        <f t="shared" si="29"/>
        <v>-0.6670839806963178</v>
      </c>
      <c r="Q79" s="6">
        <f t="shared" si="30"/>
        <v>-1.1061643944980872E-3</v>
      </c>
      <c r="R79" s="6">
        <f t="shared" si="31"/>
        <v>-1.2283121244366262</v>
      </c>
      <c r="S79" s="6">
        <f t="shared" si="32"/>
        <v>1.2810609531537474</v>
      </c>
      <c r="T79" s="4">
        <v>1</v>
      </c>
      <c r="U79" s="4">
        <v>1</v>
      </c>
      <c r="V79" s="4">
        <v>2</v>
      </c>
      <c r="W79" s="4">
        <v>1</v>
      </c>
      <c r="X79" s="4">
        <v>1</v>
      </c>
      <c r="Y79" s="4">
        <v>0</v>
      </c>
      <c r="Z79" s="4">
        <v>1</v>
      </c>
      <c r="AA79" s="4">
        <v>3</v>
      </c>
      <c r="AB79" s="4">
        <v>3</v>
      </c>
      <c r="AC79" s="4">
        <v>1</v>
      </c>
      <c r="AD79" s="4">
        <v>0</v>
      </c>
      <c r="AE79" s="4">
        <v>0</v>
      </c>
      <c r="AF79" s="4">
        <v>0</v>
      </c>
      <c r="AG79" s="4">
        <v>0</v>
      </c>
      <c r="AH79" s="4">
        <v>0</v>
      </c>
    </row>
    <row r="80" spans="1:34" x14ac:dyDescent="0.25">
      <c r="A80" s="15" t="s">
        <v>211</v>
      </c>
      <c r="B80" s="52" t="s">
        <v>70</v>
      </c>
      <c r="C80" s="4">
        <v>38.85</v>
      </c>
      <c r="D80" s="33">
        <v>13.78</v>
      </c>
      <c r="E80" s="34">
        <f t="shared" si="22"/>
        <v>13.12</v>
      </c>
      <c r="F80" s="62">
        <f t="shared" si="23"/>
        <v>13.45</v>
      </c>
      <c r="G80" s="4">
        <v>2.8193033381712631</v>
      </c>
      <c r="H80" s="35">
        <f t="shared" si="33"/>
        <v>2.8884758364312271</v>
      </c>
      <c r="I80" s="4">
        <v>0.95210449927431062</v>
      </c>
      <c r="J80" s="4">
        <f t="shared" si="24"/>
        <v>1.0503048780487805</v>
      </c>
      <c r="K80" s="4">
        <f>2243.7/1965.4</f>
        <v>1.1415996743665411</v>
      </c>
      <c r="L80" s="4">
        <v>67</v>
      </c>
      <c r="M80" s="5">
        <f t="shared" si="25"/>
        <v>1.1693705988362009</v>
      </c>
      <c r="N80" s="6">
        <f t="shared" si="27"/>
        <v>5.4232007619212139E-2</v>
      </c>
      <c r="O80" s="6">
        <f t="shared" si="28"/>
        <v>0.68891803784752581</v>
      </c>
      <c r="P80" s="6">
        <f t="shared" si="29"/>
        <v>0.73205635530908297</v>
      </c>
      <c r="Q80" s="6">
        <f t="shared" si="30"/>
        <v>0.16502822058398375</v>
      </c>
      <c r="R80" s="6">
        <f t="shared" si="31"/>
        <v>0.34377576665465415</v>
      </c>
      <c r="S80" s="6">
        <f t="shared" si="32"/>
        <v>0.15686460650862122</v>
      </c>
      <c r="T80" s="4">
        <v>2</v>
      </c>
      <c r="U80" s="4">
        <v>1</v>
      </c>
      <c r="V80" s="4">
        <v>1</v>
      </c>
      <c r="W80" s="4">
        <v>0</v>
      </c>
      <c r="X80" s="4">
        <v>0</v>
      </c>
      <c r="Y80" s="4">
        <v>0</v>
      </c>
      <c r="Z80" s="4">
        <v>0</v>
      </c>
      <c r="AA80" s="4">
        <v>0</v>
      </c>
      <c r="AB80" s="4">
        <v>0</v>
      </c>
      <c r="AC80" s="4">
        <v>1</v>
      </c>
      <c r="AD80" s="4">
        <v>0</v>
      </c>
      <c r="AE80" s="4">
        <v>0</v>
      </c>
      <c r="AF80" s="4">
        <v>0</v>
      </c>
      <c r="AG80" s="4">
        <v>0</v>
      </c>
      <c r="AH80" s="4">
        <v>0</v>
      </c>
    </row>
    <row r="81" spans="1:34" x14ac:dyDescent="0.25">
      <c r="A81" s="14" t="s">
        <v>112</v>
      </c>
      <c r="B81" s="52" t="s">
        <v>36</v>
      </c>
      <c r="C81" s="4">
        <v>29.23</v>
      </c>
      <c r="D81" s="33">
        <v>14.71</v>
      </c>
      <c r="E81" s="34">
        <f t="shared" si="22"/>
        <v>12.2</v>
      </c>
      <c r="F81" s="62">
        <f t="shared" si="23"/>
        <v>13.455</v>
      </c>
      <c r="G81" s="4">
        <v>1.9870836165873556</v>
      </c>
      <c r="H81" s="35">
        <f t="shared" si="33"/>
        <v>2.172426607209216</v>
      </c>
      <c r="I81" s="4">
        <v>0.82936777702243358</v>
      </c>
      <c r="J81" s="4">
        <f t="shared" si="24"/>
        <v>1.2057377049180329</v>
      </c>
      <c r="K81" s="4">
        <f>4246.6/4237</f>
        <v>1.0022657540712769</v>
      </c>
      <c r="L81" s="4">
        <v>77</v>
      </c>
      <c r="M81" s="5">
        <f t="shared" si="25"/>
        <v>1.3439035240356338</v>
      </c>
      <c r="N81" s="6">
        <f t="shared" si="27"/>
        <v>-0.35901950791606585</v>
      </c>
      <c r="O81" s="6">
        <f t="shared" si="28"/>
        <v>-0.68562448719578983</v>
      </c>
      <c r="P81" s="6">
        <f t="shared" si="29"/>
        <v>-0.49422602948028577</v>
      </c>
      <c r="Q81" s="6">
        <f t="shared" si="30"/>
        <v>-0.6992131126150799</v>
      </c>
      <c r="R81" s="6">
        <f t="shared" si="31"/>
        <v>-1.950162602616053</v>
      </c>
      <c r="S81" s="6">
        <f t="shared" si="32"/>
        <v>2.0305251842504983</v>
      </c>
      <c r="T81" s="4">
        <v>1</v>
      </c>
      <c r="U81" s="4">
        <v>1</v>
      </c>
      <c r="V81" s="4">
        <v>2</v>
      </c>
      <c r="W81" s="4">
        <v>1</v>
      </c>
      <c r="X81" s="4">
        <v>1</v>
      </c>
      <c r="Y81" s="4">
        <v>0</v>
      </c>
      <c r="Z81" s="4">
        <v>1</v>
      </c>
      <c r="AA81" s="4">
        <v>3</v>
      </c>
      <c r="AB81" s="4">
        <v>3</v>
      </c>
      <c r="AC81" s="4">
        <v>1</v>
      </c>
      <c r="AD81" s="4">
        <v>0</v>
      </c>
      <c r="AE81" s="4">
        <v>0</v>
      </c>
      <c r="AF81" s="4">
        <v>0</v>
      </c>
      <c r="AG81" s="4">
        <v>0</v>
      </c>
      <c r="AH81" s="4">
        <v>1</v>
      </c>
    </row>
    <row r="82" spans="1:34" x14ac:dyDescent="0.25">
      <c r="A82" s="14" t="s">
        <v>113</v>
      </c>
      <c r="B82" s="52" t="s">
        <v>58</v>
      </c>
      <c r="C82" s="4">
        <v>27.1</v>
      </c>
      <c r="D82" s="33">
        <v>12.2</v>
      </c>
      <c r="E82" s="34">
        <f t="shared" si="22"/>
        <v>8.5</v>
      </c>
      <c r="F82" s="62">
        <f t="shared" si="23"/>
        <v>10.35</v>
      </c>
      <c r="G82" s="4">
        <v>2.2213114754098364</v>
      </c>
      <c r="H82" s="35">
        <f t="shared" si="33"/>
        <v>2.6183574879227054</v>
      </c>
      <c r="I82" s="4">
        <v>0.69672131147540983</v>
      </c>
      <c r="J82" s="4">
        <f t="shared" si="24"/>
        <v>1.4352941176470588</v>
      </c>
      <c r="K82" s="4">
        <f>2004.9/1826.1</f>
        <v>1.0979135863315264</v>
      </c>
      <c r="L82" s="4">
        <v>68</v>
      </c>
      <c r="M82" s="5">
        <f t="shared" si="25"/>
        <v>1.1868238913561442</v>
      </c>
      <c r="N82" s="6">
        <f t="shared" si="27"/>
        <v>-0.45051906385059204</v>
      </c>
      <c r="O82" s="6">
        <f t="shared" si="28"/>
        <v>-0.29876012415403841</v>
      </c>
      <c r="P82" s="6">
        <f t="shared" si="29"/>
        <v>0.26946054615739912</v>
      </c>
      <c r="Q82" s="6">
        <f t="shared" si="30"/>
        <v>-1.633233152625968</v>
      </c>
      <c r="R82" s="6">
        <f t="shared" si="31"/>
        <v>-0.37545464999116529</v>
      </c>
      <c r="S82" s="6">
        <f t="shared" si="32"/>
        <v>0.34423066428280891</v>
      </c>
      <c r="T82" s="4">
        <v>0</v>
      </c>
      <c r="U82" s="4">
        <v>1</v>
      </c>
      <c r="V82" s="4">
        <v>2</v>
      </c>
      <c r="W82" s="4">
        <v>1</v>
      </c>
      <c r="X82" s="4">
        <v>1</v>
      </c>
      <c r="Y82" s="4">
        <v>0</v>
      </c>
      <c r="Z82" s="4">
        <v>1</v>
      </c>
      <c r="AA82" s="4">
        <v>3</v>
      </c>
      <c r="AB82" s="4">
        <v>3</v>
      </c>
      <c r="AC82" s="4">
        <v>1</v>
      </c>
      <c r="AD82" s="4">
        <v>0</v>
      </c>
      <c r="AE82" s="4">
        <v>0</v>
      </c>
      <c r="AF82" s="4">
        <v>0</v>
      </c>
      <c r="AG82" s="4">
        <v>0</v>
      </c>
      <c r="AH82" s="4">
        <v>1</v>
      </c>
    </row>
    <row r="83" spans="1:34" x14ac:dyDescent="0.25">
      <c r="A83" s="14" t="s">
        <v>114</v>
      </c>
      <c r="B83" s="52" t="s">
        <v>59</v>
      </c>
      <c r="C83" s="4">
        <v>23.6</v>
      </c>
      <c r="D83" s="33">
        <v>11.1</v>
      </c>
      <c r="E83" s="34" t="str">
        <f t="shared" si="22"/>
        <v/>
      </c>
      <c r="F83" s="62" t="str">
        <f t="shared" si="23"/>
        <v/>
      </c>
      <c r="G83" s="4">
        <v>2.1261261261261262</v>
      </c>
      <c r="H83" s="35" t="str">
        <f t="shared" si="33"/>
        <v/>
      </c>
      <c r="J83" s="4" t="str">
        <f t="shared" si="24"/>
        <v/>
      </c>
      <c r="K83" s="4">
        <f>3451/3177.2</f>
        <v>1.0861765076167695</v>
      </c>
      <c r="L83" s="4">
        <v>72</v>
      </c>
      <c r="M83" s="5">
        <f t="shared" si="25"/>
        <v>1.2566370614359172</v>
      </c>
      <c r="N83" s="6">
        <f t="shared" si="27"/>
        <v>-0.60087044684159752</v>
      </c>
      <c r="O83" s="6">
        <f t="shared" si="28"/>
        <v>-0.45597378655385407</v>
      </c>
      <c r="P83" s="6" t="str">
        <f t="shared" si="29"/>
        <v/>
      </c>
      <c r="Q83" s="6" t="str">
        <f t="shared" si="30"/>
        <v/>
      </c>
      <c r="R83" s="6">
        <f t="shared" si="31"/>
        <v>-0.56868925610772281</v>
      </c>
      <c r="S83" s="6">
        <f t="shared" si="32"/>
        <v>1.0936948953795598</v>
      </c>
      <c r="T83" s="4">
        <v>2</v>
      </c>
      <c r="U83" s="4">
        <v>1</v>
      </c>
      <c r="V83" s="4">
        <v>1</v>
      </c>
      <c r="W83" s="4">
        <v>0</v>
      </c>
      <c r="X83" s="4">
        <v>0</v>
      </c>
      <c r="Y83" s="4">
        <v>0</v>
      </c>
      <c r="Z83" s="4">
        <v>0</v>
      </c>
      <c r="AA83" s="4">
        <v>0</v>
      </c>
      <c r="AB83" s="4">
        <v>0</v>
      </c>
      <c r="AC83" s="4">
        <v>0</v>
      </c>
      <c r="AD83" s="4">
        <v>0</v>
      </c>
      <c r="AE83" s="4">
        <v>0</v>
      </c>
      <c r="AF83" s="4">
        <v>0</v>
      </c>
      <c r="AG83" s="4">
        <v>0</v>
      </c>
      <c r="AH83" s="4">
        <v>0</v>
      </c>
    </row>
    <row r="84" spans="1:34" x14ac:dyDescent="0.25">
      <c r="A84" s="14" t="s">
        <v>113</v>
      </c>
      <c r="B84" s="52" t="s">
        <v>60</v>
      </c>
      <c r="C84" s="4">
        <v>23.5</v>
      </c>
      <c r="D84" s="33">
        <v>10.5</v>
      </c>
      <c r="E84" s="34" t="str">
        <f t="shared" si="22"/>
        <v/>
      </c>
      <c r="F84" s="62" t="str">
        <f t="shared" si="23"/>
        <v/>
      </c>
      <c r="G84" s="4">
        <v>2.2380952380952381</v>
      </c>
      <c r="H84" s="35" t="str">
        <f t="shared" si="33"/>
        <v/>
      </c>
      <c r="J84" s="4" t="str">
        <f t="shared" si="24"/>
        <v/>
      </c>
      <c r="M84" s="5" t="str">
        <f t="shared" si="25"/>
        <v/>
      </c>
      <c r="N84" s="6">
        <f t="shared" si="27"/>
        <v>-0.60516620064134063</v>
      </c>
      <c r="O84" s="6">
        <f t="shared" si="28"/>
        <v>-0.27103908493447715</v>
      </c>
      <c r="P84" s="6" t="str">
        <f t="shared" si="29"/>
        <v/>
      </c>
      <c r="Q84" s="6" t="str">
        <f t="shared" si="30"/>
        <v/>
      </c>
      <c r="R84" s="6" t="str">
        <f t="shared" si="31"/>
        <v/>
      </c>
      <c r="S84" s="6" t="str">
        <f t="shared" si="32"/>
        <v/>
      </c>
      <c r="T84" s="4">
        <v>1</v>
      </c>
      <c r="U84" s="4">
        <v>1</v>
      </c>
      <c r="V84" s="4">
        <v>2</v>
      </c>
      <c r="W84" s="4">
        <v>1</v>
      </c>
      <c r="X84" s="4">
        <v>1</v>
      </c>
      <c r="Y84" s="4">
        <v>0</v>
      </c>
      <c r="Z84" s="4">
        <v>1</v>
      </c>
      <c r="AA84" s="4">
        <v>3</v>
      </c>
      <c r="AB84" s="4">
        <v>3</v>
      </c>
      <c r="AC84" s="4">
        <v>1</v>
      </c>
      <c r="AD84" s="4">
        <v>1</v>
      </c>
      <c r="AE84" s="4">
        <v>0</v>
      </c>
      <c r="AF84" s="4">
        <v>0</v>
      </c>
      <c r="AG84" s="4">
        <v>0</v>
      </c>
      <c r="AH84" s="4">
        <v>0</v>
      </c>
    </row>
    <row r="85" spans="1:34" x14ac:dyDescent="0.25">
      <c r="A85" s="15" t="s">
        <v>212</v>
      </c>
      <c r="B85" s="52" t="s">
        <v>86</v>
      </c>
      <c r="C85" s="4">
        <v>14</v>
      </c>
      <c r="D85" s="33">
        <v>6.45</v>
      </c>
      <c r="E85" s="34">
        <f t="shared" si="22"/>
        <v>5.25</v>
      </c>
      <c r="F85" s="62">
        <f t="shared" si="23"/>
        <v>5.85</v>
      </c>
      <c r="G85" s="4">
        <v>2.1705426356589146</v>
      </c>
      <c r="H85" s="35">
        <f t="shared" si="33"/>
        <v>2.3931623931623931</v>
      </c>
      <c r="I85" s="4">
        <v>0.81395348837209303</v>
      </c>
      <c r="J85" s="4">
        <f t="shared" si="24"/>
        <v>1.2285714285714286</v>
      </c>
      <c r="K85" s="4">
        <f>3124.1/2640.3</f>
        <v>1.1832367533992347</v>
      </c>
      <c r="L85" s="4">
        <v>68</v>
      </c>
      <c r="M85" s="5">
        <f t="shared" si="25"/>
        <v>1.1868238913561442</v>
      </c>
      <c r="N85" s="6">
        <f t="shared" si="27"/>
        <v>-1.0132628116169269</v>
      </c>
      <c r="O85" s="6">
        <f t="shared" si="28"/>
        <v>-0.38261289449206465</v>
      </c>
      <c r="P85" s="6">
        <f t="shared" si="29"/>
        <v>-0.116201174539632</v>
      </c>
      <c r="Q85" s="6">
        <f t="shared" si="30"/>
        <v>-0.80775165861068787</v>
      </c>
      <c r="R85" s="6">
        <f t="shared" si="31"/>
        <v>1.0292721122326032</v>
      </c>
      <c r="S85" s="6">
        <f t="shared" si="32"/>
        <v>0.34423066428280891</v>
      </c>
      <c r="T85" s="4">
        <v>2</v>
      </c>
      <c r="U85" s="4">
        <v>1</v>
      </c>
      <c r="V85" s="4"/>
      <c r="W85" s="4"/>
      <c r="X85" s="4"/>
      <c r="Y85" s="4"/>
      <c r="Z85" s="4">
        <v>0</v>
      </c>
      <c r="AA85" s="4">
        <v>1</v>
      </c>
      <c r="AB85" s="4">
        <v>0</v>
      </c>
      <c r="AC85" s="4">
        <v>1</v>
      </c>
      <c r="AD85" s="4">
        <v>0</v>
      </c>
      <c r="AE85" s="4">
        <v>0</v>
      </c>
      <c r="AF85" s="4">
        <v>1</v>
      </c>
      <c r="AG85" s="4">
        <v>0</v>
      </c>
      <c r="AH85" s="4">
        <v>1</v>
      </c>
    </row>
    <row r="86" spans="1:34" x14ac:dyDescent="0.25">
      <c r="A86" s="15" t="s">
        <v>212</v>
      </c>
      <c r="B86" s="52" t="s">
        <v>87</v>
      </c>
      <c r="C86" s="4">
        <v>16</v>
      </c>
      <c r="D86" s="33">
        <v>7.3</v>
      </c>
      <c r="E86" s="34">
        <f t="shared" si="22"/>
        <v>5.7</v>
      </c>
      <c r="F86" s="62">
        <f t="shared" si="23"/>
        <v>6.5</v>
      </c>
      <c r="G86" s="4">
        <v>2.1917808219178081</v>
      </c>
      <c r="H86" s="35">
        <f t="shared" si="33"/>
        <v>2.4615384615384617</v>
      </c>
      <c r="I86" s="4">
        <v>0.78082191780821919</v>
      </c>
      <c r="J86" s="4">
        <f t="shared" si="24"/>
        <v>1.2807017543859649</v>
      </c>
      <c r="K86" s="4">
        <f>1513/1432</f>
        <v>1.0565642458100559</v>
      </c>
      <c r="L86" s="4">
        <v>71.5</v>
      </c>
      <c r="M86" s="5">
        <f t="shared" si="25"/>
        <v>1.2479104151759457</v>
      </c>
      <c r="N86" s="6">
        <f t="shared" si="27"/>
        <v>-0.92734773562206663</v>
      </c>
      <c r="O86" s="6">
        <f t="shared" si="28"/>
        <v>-0.34753467006344974</v>
      </c>
      <c r="P86" s="6">
        <f t="shared" si="29"/>
        <v>8.9743372481336796E-4</v>
      </c>
      <c r="Q86" s="6">
        <f t="shared" si="30"/>
        <v>-1.0410451032273684</v>
      </c>
      <c r="R86" s="6">
        <f t="shared" si="31"/>
        <v>-1.0562137829089593</v>
      </c>
      <c r="S86" s="6">
        <f t="shared" si="32"/>
        <v>1.0000118664924658</v>
      </c>
      <c r="T86" s="4">
        <v>2</v>
      </c>
      <c r="U86" s="4">
        <v>1</v>
      </c>
      <c r="V86" s="4"/>
      <c r="W86" s="4"/>
      <c r="X86" s="4"/>
      <c r="Y86" s="4"/>
      <c r="Z86" s="4">
        <v>0</v>
      </c>
      <c r="AA86" s="4">
        <v>1</v>
      </c>
      <c r="AB86" s="4">
        <v>0</v>
      </c>
      <c r="AC86" s="4">
        <v>1</v>
      </c>
      <c r="AD86" s="4">
        <v>0</v>
      </c>
      <c r="AE86" s="4">
        <v>0</v>
      </c>
      <c r="AF86" s="4">
        <v>1</v>
      </c>
      <c r="AG86" s="4">
        <v>0</v>
      </c>
      <c r="AH86" s="4">
        <v>1</v>
      </c>
    </row>
    <row r="87" spans="1:34" x14ac:dyDescent="0.25">
      <c r="A87" s="14" t="s">
        <v>45</v>
      </c>
      <c r="B87" s="52" t="s">
        <v>47</v>
      </c>
      <c r="C87" s="4">
        <v>26.54</v>
      </c>
      <c r="D87" s="33">
        <v>15.53</v>
      </c>
      <c r="E87" s="34">
        <f t="shared" si="22"/>
        <v>15.000000000000002</v>
      </c>
      <c r="F87" s="62">
        <f t="shared" si="23"/>
        <v>15.265000000000001</v>
      </c>
      <c r="G87" s="4">
        <v>1.7089504185447522</v>
      </c>
      <c r="H87" s="35">
        <f t="shared" si="33"/>
        <v>1.7386177530298066</v>
      </c>
      <c r="I87" s="30">
        <v>0.9658725048293626</v>
      </c>
      <c r="J87" s="4">
        <f t="shared" si="24"/>
        <v>1.0353333333333332</v>
      </c>
      <c r="K87" s="30">
        <f>1905.1/1728.9</f>
        <v>1.1019145121175313</v>
      </c>
      <c r="L87" s="4">
        <v>65</v>
      </c>
      <c r="M87" s="5">
        <f t="shared" si="25"/>
        <v>1.1344640137963142</v>
      </c>
      <c r="N87" s="6">
        <f t="shared" si="27"/>
        <v>-0.47457528512915303</v>
      </c>
      <c r="O87" s="6">
        <f t="shared" si="28"/>
        <v>-1.1450054636622398</v>
      </c>
      <c r="P87" s="6">
        <f t="shared" si="29"/>
        <v>-1.2371528207343709</v>
      </c>
      <c r="Q87" s="6">
        <f t="shared" si="30"/>
        <v>0.26197458885974451</v>
      </c>
      <c r="R87" s="6">
        <f t="shared" si="31"/>
        <v>-0.3095849956121568</v>
      </c>
      <c r="S87" s="6">
        <f t="shared" si="32"/>
        <v>-0.21786750903975419</v>
      </c>
      <c r="T87" s="4">
        <v>0</v>
      </c>
      <c r="U87" s="4">
        <v>1</v>
      </c>
      <c r="V87" s="4">
        <v>2</v>
      </c>
      <c r="W87" s="4">
        <v>1</v>
      </c>
      <c r="X87" s="4">
        <v>1</v>
      </c>
      <c r="Y87" s="4">
        <v>0</v>
      </c>
      <c r="Z87" s="4">
        <v>1</v>
      </c>
      <c r="AA87" s="4">
        <v>3</v>
      </c>
      <c r="AB87" s="4">
        <v>3</v>
      </c>
      <c r="AC87" s="4">
        <v>2</v>
      </c>
      <c r="AD87" s="4">
        <v>1</v>
      </c>
      <c r="AE87" s="4">
        <v>0</v>
      </c>
      <c r="AF87" s="4">
        <v>0</v>
      </c>
      <c r="AG87" s="4">
        <v>0</v>
      </c>
      <c r="AH87" s="4">
        <v>1</v>
      </c>
    </row>
    <row r="88" spans="1:34" x14ac:dyDescent="0.25">
      <c r="A88" s="14" t="s">
        <v>45</v>
      </c>
      <c r="B88" s="52" t="s">
        <v>46</v>
      </c>
      <c r="C88" s="4">
        <v>31.35</v>
      </c>
      <c r="D88" s="33">
        <v>18.04</v>
      </c>
      <c r="E88" s="34">
        <f t="shared" ref="E88:E119" si="34">IF(J88="","", (D88/J88))</f>
        <v>15.149999999999999</v>
      </c>
      <c r="F88" s="62">
        <f t="shared" si="23"/>
        <v>16.594999999999999</v>
      </c>
      <c r="G88" s="4">
        <v>1.7378048780487807</v>
      </c>
      <c r="H88" s="35">
        <f t="shared" si="33"/>
        <v>1.8891232298885208</v>
      </c>
      <c r="I88" s="4">
        <v>0.83980044345898008</v>
      </c>
      <c r="J88" s="4">
        <f t="shared" ref="J88:J119" si="35">IF(I88="","",(1/I88))</f>
        <v>1.1907590759075908</v>
      </c>
      <c r="K88" s="4">
        <f>1749.2/1575.2</f>
        <v>1.1104621635347893</v>
      </c>
      <c r="L88" s="4">
        <v>71</v>
      </c>
      <c r="M88" s="5">
        <f t="shared" ref="M88:M119" si="36">IF(L88="", "",RADIANS(L88))</f>
        <v>1.2391837689159739</v>
      </c>
      <c r="N88" s="6">
        <f t="shared" si="27"/>
        <v>-0.26794952736151395</v>
      </c>
      <c r="O88" s="6">
        <f t="shared" si="28"/>
        <v>-1.0973477590960201</v>
      </c>
      <c r="P88" s="6">
        <f t="shared" si="29"/>
        <v>-0.97940208579301458</v>
      </c>
      <c r="Q88" s="6">
        <f t="shared" si="30"/>
        <v>-0.62575228211123957</v>
      </c>
      <c r="R88" s="6">
        <f t="shared" si="31"/>
        <v>-0.16885985480187765</v>
      </c>
      <c r="S88" s="6">
        <f t="shared" si="32"/>
        <v>0.90632883760537197</v>
      </c>
      <c r="T88" s="4">
        <v>0</v>
      </c>
      <c r="U88" s="4">
        <v>1</v>
      </c>
      <c r="V88" s="4">
        <v>2</v>
      </c>
      <c r="W88" s="4">
        <v>1</v>
      </c>
      <c r="X88" s="4">
        <v>1</v>
      </c>
      <c r="Y88" s="4">
        <v>0</v>
      </c>
      <c r="Z88" s="4">
        <v>1</v>
      </c>
      <c r="AA88" s="4">
        <v>3</v>
      </c>
      <c r="AB88" s="4">
        <v>3</v>
      </c>
      <c r="AC88" s="4">
        <v>2</v>
      </c>
      <c r="AD88" s="4">
        <v>1</v>
      </c>
      <c r="AE88" s="4">
        <v>0</v>
      </c>
      <c r="AF88" s="4">
        <v>0</v>
      </c>
      <c r="AG88" s="4">
        <v>0</v>
      </c>
      <c r="AH88" s="4">
        <v>1</v>
      </c>
    </row>
    <row r="89" spans="1:34" x14ac:dyDescent="0.25">
      <c r="A89" s="14" t="s">
        <v>20</v>
      </c>
      <c r="B89" s="52" t="s">
        <v>69</v>
      </c>
      <c r="C89" s="4">
        <v>21.97</v>
      </c>
      <c r="D89" s="33">
        <v>12</v>
      </c>
      <c r="E89" s="34">
        <f t="shared" si="34"/>
        <v>11.78</v>
      </c>
      <c r="F89" s="62">
        <f t="shared" si="23"/>
        <v>11.89</v>
      </c>
      <c r="G89" s="4">
        <v>1.8308333333333333</v>
      </c>
      <c r="H89" s="35">
        <f t="shared" si="33"/>
        <v>1.8477712363330527</v>
      </c>
      <c r="I89" s="4">
        <v>0.98166666666666658</v>
      </c>
      <c r="J89" s="4">
        <f t="shared" si="35"/>
        <v>1.0186757215619695</v>
      </c>
      <c r="K89" s="4">
        <f>1490.5/1304.9</f>
        <v>1.1422331213119779</v>
      </c>
      <c r="L89" s="4">
        <v>65</v>
      </c>
      <c r="M89" s="5">
        <f t="shared" si="36"/>
        <v>1.1344640137963142</v>
      </c>
      <c r="N89" s="6">
        <f t="shared" si="27"/>
        <v>-0.67089123377740878</v>
      </c>
      <c r="O89" s="6">
        <f t="shared" si="28"/>
        <v>-0.94369654835045069</v>
      </c>
      <c r="P89" s="6">
        <f t="shared" si="29"/>
        <v>-1.050220151372234</v>
      </c>
      <c r="Q89" s="6">
        <f t="shared" si="30"/>
        <v>0.37318798312834217</v>
      </c>
      <c r="R89" s="6">
        <f t="shared" si="31"/>
        <v>0.3542045857817947</v>
      </c>
      <c r="S89" s="6">
        <f t="shared" si="32"/>
        <v>-0.21786750903975419</v>
      </c>
      <c r="T89" s="4">
        <v>0</v>
      </c>
      <c r="U89" s="4">
        <v>1</v>
      </c>
      <c r="V89" s="4">
        <v>2</v>
      </c>
      <c r="W89" s="4">
        <v>1</v>
      </c>
      <c r="X89" s="4">
        <v>1</v>
      </c>
      <c r="Y89" s="4">
        <v>0</v>
      </c>
      <c r="Z89" s="4">
        <v>1</v>
      </c>
      <c r="AA89" s="4">
        <v>3</v>
      </c>
      <c r="AB89" s="4">
        <v>3</v>
      </c>
      <c r="AC89" s="4">
        <v>2</v>
      </c>
      <c r="AD89" s="4">
        <v>0</v>
      </c>
      <c r="AE89" s="4">
        <v>0</v>
      </c>
      <c r="AF89" s="4">
        <v>0</v>
      </c>
      <c r="AG89" s="4">
        <v>0</v>
      </c>
      <c r="AH89" s="4">
        <v>1</v>
      </c>
    </row>
    <row r="90" spans="1:34" x14ac:dyDescent="0.25">
      <c r="A90" s="14" t="s">
        <v>115</v>
      </c>
      <c r="B90" s="52" t="s">
        <v>21</v>
      </c>
      <c r="C90" s="4">
        <v>47</v>
      </c>
      <c r="D90" s="33">
        <v>19.84</v>
      </c>
      <c r="E90" s="34">
        <f t="shared" si="34"/>
        <v>17.84</v>
      </c>
      <c r="F90" s="62">
        <f t="shared" si="23"/>
        <v>18.84</v>
      </c>
      <c r="G90" s="4">
        <v>2.368951612903226</v>
      </c>
      <c r="H90" s="35">
        <f t="shared" si="33"/>
        <v>2.4946921443736731</v>
      </c>
      <c r="I90" s="4">
        <v>0.89919354838709675</v>
      </c>
      <c r="J90" s="4">
        <f t="shared" si="35"/>
        <v>1.1121076233183858</v>
      </c>
      <c r="K90" s="4">
        <f>1687.1/1570.7</f>
        <v>1.0741070860126058</v>
      </c>
      <c r="L90" s="4">
        <v>70</v>
      </c>
      <c r="M90" s="5">
        <f t="shared" si="36"/>
        <v>1.2217304763960306</v>
      </c>
      <c r="N90" s="6">
        <f t="shared" si="27"/>
        <v>0.40433594229826775</v>
      </c>
      <c r="O90" s="6">
        <f t="shared" si="28"/>
        <v>-5.4909080824197015E-2</v>
      </c>
      <c r="P90" s="6">
        <f t="shared" si="29"/>
        <v>5.7675341712908085E-2</v>
      </c>
      <c r="Q90" s="6">
        <f t="shared" si="30"/>
        <v>-0.20754023241539207</v>
      </c>
      <c r="R90" s="6">
        <f t="shared" si="31"/>
        <v>-0.76739542366566627</v>
      </c>
      <c r="S90" s="6">
        <f t="shared" si="32"/>
        <v>0.71896277983118428</v>
      </c>
      <c r="T90" s="4">
        <v>1</v>
      </c>
      <c r="U90" s="4">
        <v>1</v>
      </c>
      <c r="V90" s="4">
        <v>2</v>
      </c>
      <c r="W90" s="4">
        <v>1</v>
      </c>
      <c r="X90" s="4">
        <v>1</v>
      </c>
      <c r="Y90" s="4">
        <v>0</v>
      </c>
      <c r="Z90" s="4">
        <v>0</v>
      </c>
      <c r="AA90" s="4">
        <v>0</v>
      </c>
      <c r="AB90" s="4">
        <v>0</v>
      </c>
      <c r="AC90" s="4">
        <v>0</v>
      </c>
      <c r="AD90" s="4">
        <v>0</v>
      </c>
      <c r="AE90" s="4">
        <v>0</v>
      </c>
      <c r="AF90" s="4">
        <v>0</v>
      </c>
      <c r="AG90" s="4">
        <v>0</v>
      </c>
      <c r="AH90" s="4">
        <v>0</v>
      </c>
    </row>
    <row r="91" spans="1:34" x14ac:dyDescent="0.25">
      <c r="A91" s="14" t="s">
        <v>116</v>
      </c>
      <c r="B91" s="52" t="s">
        <v>29</v>
      </c>
      <c r="C91" s="4">
        <v>53.2</v>
      </c>
      <c r="D91" s="33">
        <v>24.6</v>
      </c>
      <c r="E91" s="34">
        <f t="shared" si="34"/>
        <v>21.2</v>
      </c>
      <c r="F91" s="62">
        <f t="shared" si="23"/>
        <v>22.9</v>
      </c>
      <c r="G91" s="4">
        <v>2.1626016260162602</v>
      </c>
      <c r="H91" s="35">
        <f t="shared" si="33"/>
        <v>2.3231441048034935</v>
      </c>
      <c r="I91" s="4">
        <v>0.86178861788617878</v>
      </c>
      <c r="J91" s="4">
        <f t="shared" si="35"/>
        <v>1.1603773584905661</v>
      </c>
      <c r="K91" s="4">
        <f>2465.5/2267.6</f>
        <v>1.0872728876345035</v>
      </c>
      <c r="L91" s="4">
        <v>70</v>
      </c>
      <c r="M91" s="5">
        <f t="shared" si="36"/>
        <v>1.2217304763960306</v>
      </c>
      <c r="N91" s="6">
        <f t="shared" si="27"/>
        <v>0.67067267788233476</v>
      </c>
      <c r="O91" s="6">
        <f t="shared" si="28"/>
        <v>-0.39572872816256849</v>
      </c>
      <c r="P91" s="6">
        <f t="shared" si="29"/>
        <v>-0.23611219479296081</v>
      </c>
      <c r="Q91" s="6">
        <f t="shared" si="30"/>
        <v>-0.47092421734853451</v>
      </c>
      <c r="R91" s="6">
        <f t="shared" si="31"/>
        <v>-0.55063889059262106</v>
      </c>
      <c r="S91" s="6">
        <f t="shared" si="32"/>
        <v>0.71896277983118428</v>
      </c>
      <c r="T91" s="4">
        <v>1</v>
      </c>
      <c r="U91" s="4">
        <v>1</v>
      </c>
      <c r="V91" s="4">
        <v>3</v>
      </c>
      <c r="W91" s="4">
        <v>1</v>
      </c>
      <c r="X91" s="4">
        <v>1</v>
      </c>
      <c r="Y91" s="4">
        <v>0</v>
      </c>
      <c r="Z91" s="4">
        <v>0</v>
      </c>
      <c r="AA91" s="4">
        <v>0</v>
      </c>
      <c r="AB91" s="4">
        <v>0</v>
      </c>
      <c r="AC91" s="4">
        <v>0</v>
      </c>
      <c r="AD91" s="4">
        <v>0</v>
      </c>
      <c r="AE91" s="4">
        <v>0</v>
      </c>
      <c r="AF91" s="4">
        <v>0</v>
      </c>
      <c r="AG91" s="4">
        <v>0</v>
      </c>
      <c r="AH91" s="4">
        <v>0</v>
      </c>
    </row>
    <row r="92" spans="1:34" x14ac:dyDescent="0.25">
      <c r="A92" s="14" t="s">
        <v>116</v>
      </c>
      <c r="B92" s="52" t="s">
        <v>26</v>
      </c>
      <c r="C92" s="4">
        <v>50.47</v>
      </c>
      <c r="D92" s="33">
        <v>19.8</v>
      </c>
      <c r="E92" s="34">
        <f t="shared" si="34"/>
        <v>16.107299999999999</v>
      </c>
      <c r="F92" s="62">
        <f t="shared" si="23"/>
        <v>17.95365</v>
      </c>
      <c r="G92" s="4">
        <v>2.5489898989898987</v>
      </c>
      <c r="H92" s="35">
        <f t="shared" si="33"/>
        <v>2.8111275423103379</v>
      </c>
      <c r="I92" s="4">
        <v>0.8135</v>
      </c>
      <c r="J92" s="4">
        <f t="shared" si="35"/>
        <v>1.2292562999385372</v>
      </c>
      <c r="K92" s="4">
        <f>3015.1/2877.1</f>
        <v>1.0479649647214209</v>
      </c>
      <c r="L92" s="4">
        <v>71</v>
      </c>
      <c r="M92" s="5">
        <f t="shared" si="36"/>
        <v>1.2391837689159739</v>
      </c>
      <c r="N92" s="6">
        <f t="shared" si="27"/>
        <v>0.5533985991493503</v>
      </c>
      <c r="O92" s="6">
        <f t="shared" si="28"/>
        <v>0.24245263020453525</v>
      </c>
      <c r="P92" s="6">
        <f t="shared" si="29"/>
        <v>0.59959220800875124</v>
      </c>
      <c r="Q92" s="6">
        <f t="shared" si="30"/>
        <v>-0.81094486263387866</v>
      </c>
      <c r="R92" s="6">
        <f t="shared" si="31"/>
        <v>-1.1977889341396279</v>
      </c>
      <c r="S92" s="6">
        <f t="shared" si="32"/>
        <v>0.90632883760537197</v>
      </c>
      <c r="T92" s="4">
        <v>1</v>
      </c>
      <c r="U92" s="4">
        <v>1</v>
      </c>
      <c r="V92" s="4">
        <v>3</v>
      </c>
      <c r="W92" s="4">
        <v>1</v>
      </c>
      <c r="X92" s="4">
        <v>1</v>
      </c>
      <c r="Y92" s="4">
        <v>0</v>
      </c>
      <c r="Z92" s="4">
        <v>0</v>
      </c>
      <c r="AA92" s="4">
        <v>0</v>
      </c>
      <c r="AB92" s="4">
        <v>0</v>
      </c>
      <c r="AC92" s="4">
        <v>0</v>
      </c>
      <c r="AD92" s="4">
        <v>0</v>
      </c>
      <c r="AE92" s="4">
        <v>0</v>
      </c>
      <c r="AF92" s="4">
        <v>0</v>
      </c>
      <c r="AG92" s="4">
        <v>0</v>
      </c>
      <c r="AH92" s="4">
        <v>0</v>
      </c>
    </row>
    <row r="93" spans="1:34" x14ac:dyDescent="0.25">
      <c r="A93" s="14" t="s">
        <v>91</v>
      </c>
      <c r="B93" s="52" t="s">
        <v>90</v>
      </c>
      <c r="C93" s="4">
        <v>26.55</v>
      </c>
      <c r="D93" s="33">
        <v>12.36</v>
      </c>
      <c r="E93" s="34">
        <f t="shared" si="34"/>
        <v>11.36</v>
      </c>
      <c r="F93" s="62">
        <f t="shared" si="23"/>
        <v>11.86</v>
      </c>
      <c r="G93" s="4">
        <v>2.1480582524271847</v>
      </c>
      <c r="H93" s="35">
        <f t="shared" si="33"/>
        <v>2.2386172006745366</v>
      </c>
      <c r="I93" s="4">
        <v>0.91909385113268605</v>
      </c>
      <c r="J93" s="4">
        <f t="shared" si="35"/>
        <v>1.0880281690140845</v>
      </c>
      <c r="K93" s="4">
        <f>1707.7/1600</f>
        <v>1.0673125000000001</v>
      </c>
      <c r="L93" s="4">
        <v>69.5</v>
      </c>
      <c r="M93" s="5">
        <f t="shared" si="36"/>
        <v>1.2130038301360591</v>
      </c>
      <c r="N93" s="6">
        <f t="shared" si="27"/>
        <v>-0.47414570974917863</v>
      </c>
      <c r="O93" s="6">
        <f t="shared" si="28"/>
        <v>-0.4197494103662171</v>
      </c>
      <c r="P93" s="6">
        <f t="shared" si="29"/>
        <v>-0.38087019374610503</v>
      </c>
      <c r="Q93" s="6">
        <f t="shared" si="30"/>
        <v>-6.7413757955544301E-2</v>
      </c>
      <c r="R93" s="6">
        <f t="shared" si="31"/>
        <v>-0.87925879135529361</v>
      </c>
      <c r="S93" s="6">
        <f t="shared" si="32"/>
        <v>0.6252797509440905</v>
      </c>
      <c r="T93" s="4">
        <v>0</v>
      </c>
      <c r="U93" s="4">
        <v>1</v>
      </c>
      <c r="V93" s="4">
        <v>2</v>
      </c>
      <c r="W93" s="4">
        <v>1</v>
      </c>
      <c r="X93" s="4"/>
      <c r="Y93" s="4">
        <v>0</v>
      </c>
      <c r="Z93" s="4">
        <v>1</v>
      </c>
      <c r="AA93" s="4">
        <v>3</v>
      </c>
      <c r="AB93" s="4">
        <v>3</v>
      </c>
      <c r="AC93" s="4">
        <v>2</v>
      </c>
      <c r="AD93" s="4">
        <v>1</v>
      </c>
      <c r="AE93" s="4">
        <v>0</v>
      </c>
      <c r="AF93" s="4">
        <v>0</v>
      </c>
      <c r="AG93" s="4">
        <v>0</v>
      </c>
      <c r="AH93" s="4">
        <v>1</v>
      </c>
    </row>
    <row r="94" spans="1:34" x14ac:dyDescent="0.25">
      <c r="A94" s="14" t="s">
        <v>28</v>
      </c>
      <c r="B94" s="52" t="s">
        <v>55</v>
      </c>
      <c r="C94" s="4">
        <v>28.87</v>
      </c>
      <c r="D94" s="33">
        <v>12.919999999999998</v>
      </c>
      <c r="E94" s="34">
        <f t="shared" si="34"/>
        <v>12.529999999999998</v>
      </c>
      <c r="F94" s="62">
        <f t="shared" si="23"/>
        <v>12.724999999999998</v>
      </c>
      <c r="G94" s="4">
        <v>2.2345201238390096</v>
      </c>
      <c r="H94" s="35">
        <f t="shared" si="33"/>
        <v>2.2687622789783894</v>
      </c>
      <c r="I94" s="4">
        <v>0.9698142414860681</v>
      </c>
      <c r="J94" s="4">
        <f t="shared" si="35"/>
        <v>1.0311252992817239</v>
      </c>
      <c r="K94" s="4">
        <f>2137.6/1803.1</f>
        <v>1.1855138372802396</v>
      </c>
      <c r="L94" s="4">
        <v>61</v>
      </c>
      <c r="M94" s="5">
        <f t="shared" si="36"/>
        <v>1.064650843716541</v>
      </c>
      <c r="N94" s="6">
        <f t="shared" si="27"/>
        <v>-0.37448422159514072</v>
      </c>
      <c r="O94" s="6">
        <f t="shared" si="28"/>
        <v>-0.27694395170177993</v>
      </c>
      <c r="P94" s="6">
        <f t="shared" si="29"/>
        <v>-0.32924472303332325</v>
      </c>
      <c r="Q94" s="6">
        <f t="shared" si="30"/>
        <v>0.28973002896608713</v>
      </c>
      <c r="R94" s="6">
        <f t="shared" si="31"/>
        <v>1.0667611175919287</v>
      </c>
      <c r="S94" s="6">
        <f t="shared" si="32"/>
        <v>-0.96733174013650502</v>
      </c>
      <c r="T94" s="4">
        <v>0</v>
      </c>
      <c r="U94" s="4">
        <v>1</v>
      </c>
      <c r="V94" s="4">
        <v>2</v>
      </c>
      <c r="W94" s="4">
        <v>1</v>
      </c>
      <c r="X94" s="4"/>
      <c r="Y94" s="4">
        <v>0</v>
      </c>
      <c r="Z94" s="4">
        <v>1</v>
      </c>
      <c r="AA94" s="4">
        <v>3</v>
      </c>
      <c r="AB94" s="4">
        <v>3</v>
      </c>
      <c r="AC94" s="4">
        <v>2</v>
      </c>
      <c r="AD94" s="4">
        <v>0</v>
      </c>
      <c r="AE94" s="4">
        <v>0</v>
      </c>
      <c r="AF94" s="4">
        <v>0</v>
      </c>
      <c r="AG94" s="4">
        <v>0</v>
      </c>
      <c r="AH94" s="4">
        <v>1</v>
      </c>
    </row>
    <row r="95" spans="1:34" x14ac:dyDescent="0.25">
      <c r="A95" s="14" t="s">
        <v>28</v>
      </c>
      <c r="B95" s="52" t="s">
        <v>55</v>
      </c>
      <c r="C95" s="4">
        <v>21.66</v>
      </c>
      <c r="D95" s="33">
        <v>12</v>
      </c>
      <c r="E95" s="34">
        <f t="shared" si="34"/>
        <v>11.62</v>
      </c>
      <c r="F95" s="62">
        <f t="shared" si="23"/>
        <v>11.809999999999999</v>
      </c>
      <c r="G95" s="4">
        <v>1.8049999999999999</v>
      </c>
      <c r="H95" s="35">
        <f t="shared" si="33"/>
        <v>1.8340389500423373</v>
      </c>
      <c r="I95" s="4">
        <v>0.96833333333333327</v>
      </c>
      <c r="J95" s="4">
        <f t="shared" si="35"/>
        <v>1.0327022375215147</v>
      </c>
      <c r="K95" s="4">
        <f>1846.6/1567</f>
        <v>1.1784301212507977</v>
      </c>
      <c r="L95" s="4">
        <v>62</v>
      </c>
      <c r="M95" s="5">
        <f t="shared" si="36"/>
        <v>1.0821041362364843</v>
      </c>
      <c r="N95" s="6">
        <f t="shared" si="27"/>
        <v>-0.68420807055661204</v>
      </c>
      <c r="O95" s="6">
        <f t="shared" si="28"/>
        <v>-0.98636438511200175</v>
      </c>
      <c r="P95" s="6">
        <f t="shared" si="29"/>
        <v>-1.0737376137113601</v>
      </c>
      <c r="Q95" s="6">
        <f t="shared" si="30"/>
        <v>0.27930232637811664</v>
      </c>
      <c r="R95" s="6">
        <f t="shared" si="31"/>
        <v>0.95013762804595159</v>
      </c>
      <c r="S95" s="6">
        <f t="shared" si="32"/>
        <v>-0.77996568236231734</v>
      </c>
      <c r="T95" s="4">
        <v>0</v>
      </c>
      <c r="U95" s="4">
        <v>1</v>
      </c>
      <c r="V95" s="4">
        <v>2</v>
      </c>
      <c r="W95" s="4">
        <v>1</v>
      </c>
      <c r="X95" s="4">
        <v>1</v>
      </c>
      <c r="Y95" s="4">
        <v>0</v>
      </c>
      <c r="Z95" s="4">
        <v>1</v>
      </c>
      <c r="AA95" s="4">
        <v>3</v>
      </c>
      <c r="AB95" s="4">
        <v>3</v>
      </c>
      <c r="AC95" s="4">
        <v>2</v>
      </c>
      <c r="AD95" s="4">
        <v>0</v>
      </c>
      <c r="AE95" s="4">
        <v>0</v>
      </c>
      <c r="AF95" s="4">
        <v>0</v>
      </c>
      <c r="AG95" s="4">
        <v>0</v>
      </c>
      <c r="AH95" s="4">
        <v>1</v>
      </c>
    </row>
    <row r="96" spans="1:34" x14ac:dyDescent="0.25">
      <c r="A96" s="15" t="s">
        <v>117</v>
      </c>
      <c r="B96" s="52" t="s">
        <v>16</v>
      </c>
      <c r="C96" s="4">
        <v>22.79</v>
      </c>
      <c r="D96" s="33">
        <v>9.3800000000000008</v>
      </c>
      <c r="E96" s="34">
        <f t="shared" si="34"/>
        <v>6.17</v>
      </c>
      <c r="F96" s="62">
        <f t="shared" si="23"/>
        <v>7.7750000000000004</v>
      </c>
      <c r="G96" s="4">
        <v>2.4296375266524519</v>
      </c>
      <c r="H96" s="35">
        <f t="shared" si="33"/>
        <v>2.9311897106109321</v>
      </c>
      <c r="I96" s="4">
        <v>0.65778251599147119</v>
      </c>
      <c r="J96" s="4">
        <f t="shared" si="35"/>
        <v>1.5202593192868721</v>
      </c>
      <c r="K96" s="4">
        <f>2582.7/2536.7</f>
        <v>1.0181337958765324</v>
      </c>
      <c r="L96" s="4">
        <v>80</v>
      </c>
      <c r="M96" s="5">
        <f t="shared" si="36"/>
        <v>1.3962634015954636</v>
      </c>
      <c r="N96" s="6">
        <f t="shared" si="27"/>
        <v>-0.63566605261951603</v>
      </c>
      <c r="O96" s="6">
        <f t="shared" si="28"/>
        <v>4.5323306075578738E-2</v>
      </c>
      <c r="P96" s="6">
        <f t="shared" si="29"/>
        <v>0.80520673290196443</v>
      </c>
      <c r="Q96" s="6">
        <f t="shared" si="30"/>
        <v>-1.9074177316563907</v>
      </c>
      <c r="R96" s="6">
        <f t="shared" si="31"/>
        <v>-1.6889174595444245</v>
      </c>
      <c r="S96" s="6">
        <f t="shared" si="32"/>
        <v>2.5926233575730615</v>
      </c>
      <c r="T96" s="4">
        <v>2</v>
      </c>
      <c r="U96" s="4">
        <v>1</v>
      </c>
      <c r="V96" s="4">
        <v>2</v>
      </c>
      <c r="W96" s="4">
        <v>1</v>
      </c>
      <c r="X96" s="4">
        <v>1</v>
      </c>
      <c r="Y96" s="4">
        <v>0</v>
      </c>
      <c r="Z96" s="4">
        <v>0</v>
      </c>
      <c r="AA96" s="4">
        <v>0</v>
      </c>
      <c r="AB96" s="4">
        <v>0</v>
      </c>
      <c r="AC96" s="4">
        <v>1</v>
      </c>
      <c r="AD96" s="4">
        <v>0</v>
      </c>
      <c r="AE96" s="4">
        <v>0</v>
      </c>
      <c r="AF96" s="4">
        <v>0</v>
      </c>
      <c r="AG96" s="4">
        <v>0</v>
      </c>
      <c r="AH96" s="4">
        <v>1</v>
      </c>
    </row>
    <row r="97" spans="1:36" x14ac:dyDescent="0.25">
      <c r="A97" s="14" t="s">
        <v>22</v>
      </c>
      <c r="B97" s="52" t="s">
        <v>23</v>
      </c>
      <c r="C97" s="4">
        <v>49.29</v>
      </c>
      <c r="D97" s="33">
        <v>22.84</v>
      </c>
      <c r="E97" s="34">
        <f t="shared" si="34"/>
        <v>21.31</v>
      </c>
      <c r="F97" s="62">
        <f t="shared" si="23"/>
        <v>22.074999999999999</v>
      </c>
      <c r="G97" s="4">
        <v>2.1580560420315238</v>
      </c>
      <c r="H97" s="35">
        <f t="shared" si="33"/>
        <v>2.2328425821064553</v>
      </c>
      <c r="I97" s="4">
        <v>0.93301225919439579</v>
      </c>
      <c r="J97" s="4">
        <f t="shared" si="35"/>
        <v>1.0717972782731113</v>
      </c>
      <c r="K97" s="4">
        <f>2981.7/2665.5</f>
        <v>1.1186268992684298</v>
      </c>
      <c r="L97" s="4">
        <v>66</v>
      </c>
      <c r="M97" s="5">
        <f t="shared" si="36"/>
        <v>1.1519173063162575</v>
      </c>
      <c r="N97" s="6">
        <f t="shared" si="27"/>
        <v>0.50270870431238268</v>
      </c>
      <c r="O97" s="6">
        <f t="shared" si="28"/>
        <v>-0.40323647921211631</v>
      </c>
      <c r="P97" s="6">
        <f t="shared" si="29"/>
        <v>-0.39075961578571766</v>
      </c>
      <c r="Q97" s="6">
        <f t="shared" si="30"/>
        <v>3.0591658178799816E-2</v>
      </c>
      <c r="R97" s="6">
        <f t="shared" si="31"/>
        <v>-3.4438885847125643E-2</v>
      </c>
      <c r="S97" s="6">
        <f t="shared" si="32"/>
        <v>-3.0501451265566491E-2</v>
      </c>
      <c r="T97" s="4">
        <v>1</v>
      </c>
      <c r="U97" s="4">
        <v>1</v>
      </c>
      <c r="V97" s="4">
        <v>2</v>
      </c>
      <c r="W97" s="4">
        <v>1</v>
      </c>
      <c r="X97" s="4">
        <v>1</v>
      </c>
      <c r="Y97" s="4">
        <v>0</v>
      </c>
      <c r="Z97" s="4">
        <v>0</v>
      </c>
      <c r="AA97" s="4">
        <v>0</v>
      </c>
      <c r="AB97" s="4">
        <v>0</v>
      </c>
      <c r="AC97" s="4">
        <v>0</v>
      </c>
      <c r="AD97" s="4"/>
      <c r="AE97" s="4">
        <v>0</v>
      </c>
      <c r="AF97" s="4">
        <v>0</v>
      </c>
      <c r="AG97" s="4">
        <v>0</v>
      </c>
      <c r="AH97" s="4">
        <v>0</v>
      </c>
    </row>
    <row r="98" spans="1:36" x14ac:dyDescent="0.25">
      <c r="A98" s="16" t="s">
        <v>213</v>
      </c>
      <c r="B98" s="54" t="s">
        <v>71</v>
      </c>
      <c r="D98" s="33" t="str">
        <f>IF(C98="", "", IF(G98="","",C98/G98))</f>
        <v/>
      </c>
      <c r="E98" s="34" t="str">
        <f t="shared" si="34"/>
        <v/>
      </c>
      <c r="F98" s="62" t="str">
        <f t="shared" si="23"/>
        <v/>
      </c>
      <c r="H98" s="35" t="str">
        <f t="shared" si="33"/>
        <v/>
      </c>
      <c r="J98" s="4" t="str">
        <f t="shared" si="35"/>
        <v/>
      </c>
      <c r="M98" s="5" t="str">
        <f t="shared" si="36"/>
        <v/>
      </c>
      <c r="N98" s="6" t="str">
        <f t="shared" si="27"/>
        <v/>
      </c>
      <c r="O98" s="6" t="str">
        <f t="shared" si="28"/>
        <v/>
      </c>
      <c r="P98" s="6" t="str">
        <f t="shared" si="29"/>
        <v/>
      </c>
      <c r="Q98" s="6" t="str">
        <f t="shared" si="30"/>
        <v/>
      </c>
      <c r="R98" s="6" t="str">
        <f t="shared" si="31"/>
        <v/>
      </c>
      <c r="S98" s="6" t="str">
        <f t="shared" si="32"/>
        <v/>
      </c>
      <c r="T98" s="4">
        <v>0</v>
      </c>
      <c r="U98" s="4">
        <v>1</v>
      </c>
      <c r="V98" s="4">
        <v>0</v>
      </c>
      <c r="W98" s="4">
        <v>0</v>
      </c>
      <c r="X98" s="4"/>
      <c r="Y98" s="4">
        <v>0</v>
      </c>
      <c r="Z98" s="4">
        <v>0</v>
      </c>
      <c r="AA98" s="4">
        <v>3</v>
      </c>
      <c r="AB98" s="4">
        <v>3</v>
      </c>
      <c r="AC98" s="4">
        <v>1</v>
      </c>
      <c r="AD98" s="4">
        <v>0</v>
      </c>
      <c r="AE98" s="4">
        <v>0</v>
      </c>
      <c r="AF98" s="4">
        <v>0</v>
      </c>
      <c r="AG98" s="4">
        <v>0</v>
      </c>
      <c r="AH98" s="4">
        <v>0</v>
      </c>
    </row>
    <row r="99" spans="1:36" x14ac:dyDescent="0.25">
      <c r="A99" s="17" t="s">
        <v>80</v>
      </c>
      <c r="B99" s="54" t="s">
        <v>72</v>
      </c>
      <c r="C99" s="4">
        <v>30</v>
      </c>
      <c r="D99" s="33">
        <f>IF(C99="", "", IF(G99="","",C99/G99))</f>
        <v>10</v>
      </c>
      <c r="E99" s="34" t="str">
        <f t="shared" si="34"/>
        <v/>
      </c>
      <c r="F99" s="63">
        <v>10</v>
      </c>
      <c r="G99" s="4">
        <v>3</v>
      </c>
      <c r="H99" s="35">
        <f t="shared" si="33"/>
        <v>3</v>
      </c>
      <c r="J99" s="4" t="str">
        <f t="shared" si="35"/>
        <v/>
      </c>
      <c r="M99" s="5" t="str">
        <f t="shared" si="36"/>
        <v/>
      </c>
      <c r="N99" s="6">
        <f t="shared" si="27"/>
        <v>-0.32594220365804466</v>
      </c>
      <c r="O99" s="6">
        <f t="shared" si="28"/>
        <v>0.98736716056748997</v>
      </c>
      <c r="P99" s="6">
        <f t="shared" si="29"/>
        <v>0.92304897380731765</v>
      </c>
      <c r="Q99" s="6" t="str">
        <f t="shared" si="30"/>
        <v/>
      </c>
      <c r="R99" s="6" t="str">
        <f t="shared" si="31"/>
        <v/>
      </c>
      <c r="S99" s="6" t="str">
        <f t="shared" si="32"/>
        <v/>
      </c>
      <c r="T99" s="4">
        <v>0</v>
      </c>
      <c r="U99" s="4">
        <v>1</v>
      </c>
      <c r="V99" s="4"/>
      <c r="W99" s="4"/>
      <c r="X99" s="4"/>
      <c r="Y99" s="4"/>
      <c r="Z99" s="4">
        <v>0</v>
      </c>
      <c r="AA99" s="4">
        <v>3</v>
      </c>
      <c r="AB99" s="4">
        <v>3</v>
      </c>
      <c r="AC99" s="4">
        <v>2</v>
      </c>
      <c r="AD99" s="4">
        <v>0</v>
      </c>
      <c r="AE99" s="4">
        <v>0</v>
      </c>
      <c r="AF99" s="4">
        <v>0</v>
      </c>
      <c r="AG99" s="4"/>
      <c r="AH99" s="4">
        <v>0</v>
      </c>
    </row>
    <row r="100" spans="1:36" x14ac:dyDescent="0.25">
      <c r="A100" s="17" t="s">
        <v>79</v>
      </c>
      <c r="B100" s="54" t="s">
        <v>73</v>
      </c>
      <c r="C100" s="4">
        <v>20</v>
      </c>
      <c r="D100" s="33">
        <v>7.3</v>
      </c>
      <c r="E100" s="34">
        <f t="shared" si="34"/>
        <v>6.6999999999999993</v>
      </c>
      <c r="F100" s="62">
        <f t="shared" ref="F100:F114" si="37">IF(E100="","",(D100+E100)/2)</f>
        <v>7</v>
      </c>
      <c r="G100" s="4">
        <v>2.7397260273972601</v>
      </c>
      <c r="H100" s="35">
        <f t="shared" si="33"/>
        <v>2.8571428571428572</v>
      </c>
      <c r="I100" s="4">
        <v>0.9178082191780822</v>
      </c>
      <c r="J100" s="4">
        <f t="shared" si="35"/>
        <v>1.0895522388059702</v>
      </c>
      <c r="K100" s="4">
        <f>1808.1/1309.2</f>
        <v>1.3810724106324472</v>
      </c>
      <c r="L100" s="4">
        <v>65</v>
      </c>
      <c r="M100" s="5">
        <f t="shared" si="36"/>
        <v>1.1344640137963142</v>
      </c>
      <c r="N100" s="6">
        <f t="shared" ref="N100:N122" si="38">IF(C100="","", ((C100-C$123)/(C$124)))</f>
        <v>-0.75551758363234611</v>
      </c>
      <c r="O100" s="6">
        <f t="shared" ref="O100:O109" si="39">IF(G100="","", ((G100-G$123)/(G$124)))</f>
        <v>0.55748352019481429</v>
      </c>
      <c r="P100" s="6">
        <f t="shared" ref="P100:P109" si="40">IF(H100="","", ((H100-H$123)/(H$124)))</f>
        <v>0.67839652439767373</v>
      </c>
      <c r="Q100" s="6">
        <f t="shared" ref="Q100:Q109" si="41">IF(I100="","", ((I100-I$123)/(I$124)))</f>
        <v>-7.646643798532371E-2</v>
      </c>
      <c r="R100" s="6">
        <f t="shared" ref="R100:R110" si="42">IF(K100="","", ((K100-K$123)/(K$124)))</f>
        <v>4.2863598621175765</v>
      </c>
      <c r="S100" s="6">
        <f t="shared" ref="S100:S110" si="43">IF(L100="","", ((L100-L$123)/(L$124)))</f>
        <v>-0.21786750903975419</v>
      </c>
      <c r="T100" s="4">
        <v>0</v>
      </c>
      <c r="U100" s="4">
        <v>1</v>
      </c>
      <c r="V100" s="4">
        <v>0</v>
      </c>
      <c r="W100" s="4">
        <v>0</v>
      </c>
      <c r="X100" s="4">
        <v>0</v>
      </c>
      <c r="Y100" s="4">
        <v>0</v>
      </c>
      <c r="Z100" s="4">
        <v>0</v>
      </c>
      <c r="AA100" s="4">
        <v>3</v>
      </c>
      <c r="AB100" s="4">
        <v>3</v>
      </c>
      <c r="AC100" s="4">
        <v>1</v>
      </c>
      <c r="AD100" s="4">
        <v>0</v>
      </c>
      <c r="AE100" s="4">
        <v>0</v>
      </c>
      <c r="AF100" s="4">
        <v>0</v>
      </c>
      <c r="AG100" s="4">
        <v>0</v>
      </c>
      <c r="AH100" s="4">
        <v>0</v>
      </c>
    </row>
    <row r="101" spans="1:36" x14ac:dyDescent="0.25">
      <c r="A101" s="17" t="s">
        <v>79</v>
      </c>
      <c r="B101" s="54" t="s">
        <v>74</v>
      </c>
      <c r="D101" s="33" t="str">
        <f>IF(C101="", "", IF(G101="","",C101/G101))</f>
        <v/>
      </c>
      <c r="E101" s="34" t="str">
        <f t="shared" si="34"/>
        <v/>
      </c>
      <c r="F101" s="62" t="str">
        <f t="shared" si="37"/>
        <v/>
      </c>
      <c r="H101" s="35" t="str">
        <f t="shared" si="33"/>
        <v/>
      </c>
      <c r="J101" s="4" t="str">
        <f t="shared" si="35"/>
        <v/>
      </c>
      <c r="M101" s="5" t="str">
        <f t="shared" si="36"/>
        <v/>
      </c>
      <c r="N101" s="6" t="str">
        <f t="shared" si="38"/>
        <v/>
      </c>
      <c r="O101" s="6" t="str">
        <f t="shared" si="39"/>
        <v/>
      </c>
      <c r="P101" s="6" t="str">
        <f t="shared" si="40"/>
        <v/>
      </c>
      <c r="Q101" s="6" t="str">
        <f t="shared" si="41"/>
        <v/>
      </c>
      <c r="R101" s="6" t="str">
        <f t="shared" si="42"/>
        <v/>
      </c>
      <c r="S101" s="6" t="str">
        <f t="shared" si="43"/>
        <v/>
      </c>
      <c r="T101" s="4">
        <v>0</v>
      </c>
      <c r="U101" s="4">
        <v>1</v>
      </c>
      <c r="V101" s="4">
        <v>0</v>
      </c>
      <c r="W101" s="4">
        <v>0</v>
      </c>
      <c r="X101" s="4">
        <v>0</v>
      </c>
      <c r="Y101" s="4">
        <v>0</v>
      </c>
      <c r="Z101" s="4">
        <v>0</v>
      </c>
      <c r="AA101" s="4">
        <v>3</v>
      </c>
      <c r="AB101" s="4">
        <v>3</v>
      </c>
      <c r="AC101" s="4">
        <v>1</v>
      </c>
      <c r="AD101" s="4">
        <v>0</v>
      </c>
      <c r="AE101" s="4">
        <v>0</v>
      </c>
      <c r="AF101" s="4">
        <v>0</v>
      </c>
      <c r="AG101" s="4">
        <v>0</v>
      </c>
      <c r="AH101" s="4">
        <v>0</v>
      </c>
    </row>
    <row r="102" spans="1:36" x14ac:dyDescent="0.25">
      <c r="A102" s="17" t="s">
        <v>78</v>
      </c>
      <c r="B102" s="54" t="s">
        <v>75</v>
      </c>
      <c r="D102" s="33" t="str">
        <f>IF(C102="", "", IF(G102="","",C102/G102))</f>
        <v/>
      </c>
      <c r="E102" s="34" t="str">
        <f t="shared" si="34"/>
        <v/>
      </c>
      <c r="F102" s="62" t="str">
        <f t="shared" si="37"/>
        <v/>
      </c>
      <c r="H102" s="35" t="str">
        <f t="shared" si="33"/>
        <v/>
      </c>
      <c r="J102" s="4" t="str">
        <f t="shared" si="35"/>
        <v/>
      </c>
      <c r="M102" s="5" t="str">
        <f t="shared" si="36"/>
        <v/>
      </c>
      <c r="N102" s="6" t="str">
        <f t="shared" si="38"/>
        <v/>
      </c>
      <c r="O102" s="6" t="str">
        <f t="shared" si="39"/>
        <v/>
      </c>
      <c r="P102" s="6" t="str">
        <f t="shared" si="40"/>
        <v/>
      </c>
      <c r="Q102" s="6" t="str">
        <f t="shared" si="41"/>
        <v/>
      </c>
      <c r="R102" s="6" t="str">
        <f t="shared" si="42"/>
        <v/>
      </c>
      <c r="S102" s="6" t="str">
        <f t="shared" si="43"/>
        <v/>
      </c>
      <c r="T102" s="4">
        <v>0</v>
      </c>
      <c r="U102" s="4">
        <v>1</v>
      </c>
      <c r="V102" s="4">
        <v>0</v>
      </c>
      <c r="W102" s="4">
        <v>0</v>
      </c>
      <c r="X102" s="4">
        <v>0</v>
      </c>
      <c r="Y102" s="4">
        <v>0</v>
      </c>
      <c r="Z102" s="4">
        <v>1</v>
      </c>
      <c r="AA102" s="4">
        <v>3</v>
      </c>
      <c r="AB102" s="4">
        <v>3</v>
      </c>
      <c r="AC102" s="4">
        <v>2</v>
      </c>
      <c r="AD102" s="4">
        <v>0</v>
      </c>
      <c r="AE102" s="4">
        <v>0</v>
      </c>
      <c r="AF102" s="4">
        <v>0</v>
      </c>
      <c r="AG102" s="4">
        <v>1</v>
      </c>
      <c r="AH102" s="4">
        <v>0</v>
      </c>
    </row>
    <row r="103" spans="1:36" x14ac:dyDescent="0.25">
      <c r="A103" s="17" t="s">
        <v>104</v>
      </c>
      <c r="B103" s="54" t="s">
        <v>76</v>
      </c>
      <c r="C103" s="4">
        <v>37</v>
      </c>
      <c r="D103" s="33">
        <v>16</v>
      </c>
      <c r="E103" s="34">
        <f t="shared" si="34"/>
        <v>16</v>
      </c>
      <c r="F103" s="62">
        <f t="shared" si="37"/>
        <v>16</v>
      </c>
      <c r="G103" s="4">
        <v>2.3125</v>
      </c>
      <c r="H103" s="35">
        <f t="shared" si="33"/>
        <v>2.3125</v>
      </c>
      <c r="I103" s="4">
        <v>1</v>
      </c>
      <c r="J103" s="4">
        <f t="shared" si="35"/>
        <v>1</v>
      </c>
      <c r="K103" s="4">
        <f>1304/1158.9</f>
        <v>1.1252049357149019</v>
      </c>
      <c r="L103" s="4">
        <v>70</v>
      </c>
      <c r="M103" s="5">
        <f t="shared" si="36"/>
        <v>1.2217304763960306</v>
      </c>
      <c r="N103" s="6">
        <f t="shared" si="38"/>
        <v>-2.5239437676033684E-2</v>
      </c>
      <c r="O103" s="6">
        <f t="shared" si="39"/>
        <v>-0.1481478500221757</v>
      </c>
      <c r="P103" s="6">
        <f t="shared" si="40"/>
        <v>-0.25434093897659438</v>
      </c>
      <c r="Q103" s="6">
        <f t="shared" si="41"/>
        <v>0.50228076115990306</v>
      </c>
      <c r="R103" s="6">
        <f t="shared" si="42"/>
        <v>7.3859295723067514E-2</v>
      </c>
      <c r="S103" s="6">
        <f t="shared" si="43"/>
        <v>0.71896277983118428</v>
      </c>
      <c r="T103" s="4">
        <v>0</v>
      </c>
      <c r="U103" s="4">
        <v>1</v>
      </c>
      <c r="V103" s="4">
        <v>1</v>
      </c>
      <c r="W103" s="4">
        <v>1</v>
      </c>
      <c r="X103" s="4">
        <v>0</v>
      </c>
      <c r="Y103" s="4">
        <v>1</v>
      </c>
      <c r="Z103" s="4">
        <v>1</v>
      </c>
      <c r="AA103" s="4">
        <v>3</v>
      </c>
      <c r="AB103" s="4">
        <v>3</v>
      </c>
      <c r="AC103" s="4">
        <v>2</v>
      </c>
      <c r="AD103" s="4">
        <v>1</v>
      </c>
      <c r="AE103" s="4">
        <v>0</v>
      </c>
      <c r="AF103" s="4">
        <v>0</v>
      </c>
      <c r="AG103" s="4">
        <v>1</v>
      </c>
      <c r="AH103" s="4">
        <v>1</v>
      </c>
    </row>
    <row r="104" spans="1:36" s="32" customFormat="1" x14ac:dyDescent="0.25">
      <c r="A104" s="18" t="s">
        <v>77</v>
      </c>
      <c r="B104" s="54" t="s">
        <v>97</v>
      </c>
      <c r="C104" s="4">
        <v>35.700000000000003</v>
      </c>
      <c r="D104" s="33">
        <f>17.5</f>
        <v>17.5</v>
      </c>
      <c r="E104" s="34">
        <f t="shared" si="34"/>
        <v>17.14</v>
      </c>
      <c r="F104" s="62">
        <f t="shared" si="37"/>
        <v>17.32</v>
      </c>
      <c r="G104" s="4">
        <v>2.04</v>
      </c>
      <c r="H104" s="35">
        <f t="shared" si="33"/>
        <v>2.0612009237875291</v>
      </c>
      <c r="I104" s="4">
        <v>0.97942857142857143</v>
      </c>
      <c r="J104" s="4">
        <f t="shared" si="35"/>
        <v>1.0210035005834306</v>
      </c>
      <c r="K104" s="4">
        <f>37.71/32.71</f>
        <v>1.1528584530724548</v>
      </c>
      <c r="L104" s="4">
        <v>69</v>
      </c>
      <c r="M104" s="5">
        <f t="shared" si="36"/>
        <v>1.2042771838760873</v>
      </c>
      <c r="N104" s="6">
        <f t="shared" si="38"/>
        <v>-8.1084237072692744E-2</v>
      </c>
      <c r="O104" s="6">
        <f t="shared" si="39"/>
        <v>-0.59822470876498857</v>
      </c>
      <c r="P104" s="6">
        <f t="shared" si="40"/>
        <v>-0.68470748068492715</v>
      </c>
      <c r="Q104" s="6">
        <f t="shared" si="41"/>
        <v>0.35742860503098345</v>
      </c>
      <c r="R104" s="6">
        <f t="shared" si="42"/>
        <v>0.52913583123830576</v>
      </c>
      <c r="S104" s="6">
        <f t="shared" si="43"/>
        <v>0.5315967220569966</v>
      </c>
      <c r="T104" s="4">
        <v>0</v>
      </c>
      <c r="U104" s="4">
        <v>1</v>
      </c>
      <c r="V104" s="4">
        <v>1</v>
      </c>
      <c r="W104" s="4">
        <v>1</v>
      </c>
      <c r="X104" s="4">
        <v>0</v>
      </c>
      <c r="Y104" s="4">
        <v>1</v>
      </c>
      <c r="Z104" s="4">
        <v>1</v>
      </c>
      <c r="AA104" s="4">
        <v>3</v>
      </c>
      <c r="AB104" s="4">
        <v>3</v>
      </c>
      <c r="AC104" s="4">
        <v>2</v>
      </c>
      <c r="AD104" s="4">
        <v>1</v>
      </c>
      <c r="AE104" s="4">
        <v>0</v>
      </c>
      <c r="AF104" s="4">
        <v>0</v>
      </c>
      <c r="AG104" s="4">
        <v>1</v>
      </c>
      <c r="AH104" s="4">
        <v>1</v>
      </c>
    </row>
    <row r="105" spans="1:36" s="32" customFormat="1" x14ac:dyDescent="0.25">
      <c r="A105" s="19" t="s">
        <v>95</v>
      </c>
      <c r="B105" s="55" t="s">
        <v>96</v>
      </c>
      <c r="C105" s="4">
        <v>21</v>
      </c>
      <c r="D105" s="33">
        <v>7.3</v>
      </c>
      <c r="E105" s="34">
        <f t="shared" si="34"/>
        <v>6.6999999999999993</v>
      </c>
      <c r="F105" s="62">
        <f t="shared" si="37"/>
        <v>7</v>
      </c>
      <c r="G105" s="4">
        <v>2.8767123287671232</v>
      </c>
      <c r="H105" s="35">
        <f t="shared" si="33"/>
        <v>3</v>
      </c>
      <c r="I105" s="4">
        <v>0.9178082191780822</v>
      </c>
      <c r="J105" s="4">
        <f t="shared" si="35"/>
        <v>1.0895522388059702</v>
      </c>
      <c r="K105" s="4">
        <f>1663/1395</f>
        <v>1.1921146953405017</v>
      </c>
      <c r="L105" s="4">
        <v>61</v>
      </c>
      <c r="M105" s="5">
        <f t="shared" si="36"/>
        <v>1.064650843716541</v>
      </c>
      <c r="N105" s="6">
        <f t="shared" si="38"/>
        <v>-0.71256004563491593</v>
      </c>
      <c r="O105" s="6">
        <f t="shared" si="39"/>
        <v>0.78373806775938049</v>
      </c>
      <c r="P105" s="6">
        <f t="shared" si="40"/>
        <v>0.92304897380731765</v>
      </c>
      <c r="Q105" s="6">
        <f t="shared" si="41"/>
        <v>-7.646643798532371E-2</v>
      </c>
      <c r="R105" s="6">
        <f t="shared" si="42"/>
        <v>1.1754350251548364</v>
      </c>
      <c r="S105" s="6">
        <f t="shared" si="43"/>
        <v>-0.96733174013650502</v>
      </c>
      <c r="T105" s="4">
        <v>0</v>
      </c>
      <c r="U105" s="4">
        <v>1</v>
      </c>
      <c r="V105" s="4">
        <v>1</v>
      </c>
      <c r="W105" s="4">
        <v>0</v>
      </c>
      <c r="X105" s="4">
        <v>0</v>
      </c>
      <c r="Y105" s="4">
        <v>0</v>
      </c>
      <c r="Z105" s="4">
        <v>0</v>
      </c>
      <c r="AA105" s="4">
        <v>3</v>
      </c>
      <c r="AB105" s="4">
        <v>3</v>
      </c>
      <c r="AC105" s="4">
        <v>1</v>
      </c>
      <c r="AD105" s="4">
        <v>0</v>
      </c>
      <c r="AE105" s="4">
        <v>0</v>
      </c>
      <c r="AF105" s="4">
        <v>0</v>
      </c>
      <c r="AG105" s="4">
        <v>0</v>
      </c>
      <c r="AH105" s="4">
        <v>0</v>
      </c>
    </row>
    <row r="106" spans="1:36" x14ac:dyDescent="0.25">
      <c r="A106" s="20" t="s">
        <v>42</v>
      </c>
      <c r="B106" s="55" t="s">
        <v>37</v>
      </c>
      <c r="C106" s="4">
        <v>55.13</v>
      </c>
      <c r="D106" s="33">
        <v>25.39</v>
      </c>
      <c r="E106" s="34">
        <f t="shared" si="34"/>
        <v>24.399999999999995</v>
      </c>
      <c r="F106" s="62">
        <f t="shared" si="37"/>
        <v>24.894999999999996</v>
      </c>
      <c r="G106" s="4">
        <v>2.171327294210319</v>
      </c>
      <c r="H106" s="35">
        <f t="shared" si="33"/>
        <v>2.2145009037959436</v>
      </c>
      <c r="I106" s="4">
        <v>0.96100827097282382</v>
      </c>
      <c r="J106" s="4">
        <f t="shared" si="35"/>
        <v>1.0405737704918034</v>
      </c>
      <c r="K106" s="4">
        <f>2242/1976</f>
        <v>1.1346153846153846</v>
      </c>
      <c r="L106" s="4">
        <v>65</v>
      </c>
      <c r="M106" s="5">
        <f t="shared" si="36"/>
        <v>1.1344640137963142</v>
      </c>
      <c r="N106" s="6">
        <f t="shared" si="38"/>
        <v>0.75358072621737493</v>
      </c>
      <c r="O106" s="6">
        <f t="shared" si="39"/>
        <v>-0.38131690676361774</v>
      </c>
      <c r="P106" s="6">
        <f t="shared" si="40"/>
        <v>-0.42217097146037069</v>
      </c>
      <c r="Q106" s="6">
        <f t="shared" si="41"/>
        <v>0.22772345459415755</v>
      </c>
      <c r="R106" s="6">
        <f t="shared" si="42"/>
        <v>0.22878919189718913</v>
      </c>
      <c r="S106" s="6">
        <f t="shared" si="43"/>
        <v>-0.21786750903975419</v>
      </c>
      <c r="T106" s="4">
        <v>0</v>
      </c>
      <c r="U106" s="4">
        <v>1</v>
      </c>
      <c r="V106" s="4">
        <v>1</v>
      </c>
      <c r="W106" s="4">
        <v>1</v>
      </c>
      <c r="X106" s="4">
        <v>0</v>
      </c>
      <c r="Y106" s="4">
        <v>1</v>
      </c>
      <c r="Z106" s="4">
        <v>1</v>
      </c>
      <c r="AA106" s="4">
        <v>3</v>
      </c>
      <c r="AB106" s="4">
        <v>3</v>
      </c>
      <c r="AC106" s="4">
        <v>2</v>
      </c>
      <c r="AD106" s="4">
        <v>1</v>
      </c>
      <c r="AE106" s="4">
        <v>0</v>
      </c>
      <c r="AF106" s="4">
        <v>0</v>
      </c>
      <c r="AG106" s="4">
        <v>1</v>
      </c>
      <c r="AH106" s="4">
        <v>1</v>
      </c>
    </row>
    <row r="107" spans="1:36" x14ac:dyDescent="0.25">
      <c r="A107" s="20" t="s">
        <v>42</v>
      </c>
      <c r="B107" s="55" t="s">
        <v>43</v>
      </c>
      <c r="C107" s="4">
        <v>26.04</v>
      </c>
      <c r="D107" s="33">
        <v>12.46</v>
      </c>
      <c r="E107" s="34">
        <f t="shared" si="34"/>
        <v>11.580000000000002</v>
      </c>
      <c r="F107" s="62">
        <f t="shared" si="37"/>
        <v>12.020000000000001</v>
      </c>
      <c r="G107" s="4">
        <v>2.089887640449438</v>
      </c>
      <c r="H107" s="35">
        <f t="shared" si="33"/>
        <v>2.1663893510815306</v>
      </c>
      <c r="I107" s="4">
        <v>0.9293739967897271</v>
      </c>
      <c r="J107" s="4">
        <f t="shared" si="35"/>
        <v>1.075993091537133</v>
      </c>
      <c r="M107" s="5" t="str">
        <f t="shared" si="36"/>
        <v/>
      </c>
      <c r="N107" s="6">
        <f t="shared" si="38"/>
        <v>-0.49605405412786807</v>
      </c>
      <c r="O107" s="6">
        <f t="shared" si="39"/>
        <v>-0.51582737847664395</v>
      </c>
      <c r="P107" s="6">
        <f t="shared" si="40"/>
        <v>-0.50456523597574698</v>
      </c>
      <c r="Q107" s="6">
        <f t="shared" si="41"/>
        <v>4.97310903190166E-3</v>
      </c>
      <c r="R107" s="6" t="str">
        <f t="shared" si="42"/>
        <v/>
      </c>
      <c r="S107" s="6" t="str">
        <f t="shared" si="43"/>
        <v/>
      </c>
      <c r="T107" s="4">
        <v>0</v>
      </c>
      <c r="U107" s="4">
        <v>1</v>
      </c>
      <c r="V107" s="4">
        <v>1</v>
      </c>
      <c r="W107" s="4">
        <v>1</v>
      </c>
      <c r="X107" s="4">
        <v>0</v>
      </c>
      <c r="Y107" s="4">
        <v>1</v>
      </c>
      <c r="Z107" s="4">
        <v>1</v>
      </c>
      <c r="AA107" s="4">
        <v>3</v>
      </c>
      <c r="AB107" s="4">
        <v>3</v>
      </c>
      <c r="AC107" s="4">
        <v>2</v>
      </c>
      <c r="AD107" s="4">
        <v>1</v>
      </c>
      <c r="AE107" s="4">
        <v>0</v>
      </c>
      <c r="AF107" s="4">
        <v>0</v>
      </c>
      <c r="AG107" s="4">
        <v>1</v>
      </c>
      <c r="AH107" s="4">
        <v>1</v>
      </c>
    </row>
    <row r="108" spans="1:36" x14ac:dyDescent="0.25">
      <c r="A108" s="20" t="s">
        <v>42</v>
      </c>
      <c r="B108" s="55" t="s">
        <v>0</v>
      </c>
      <c r="C108" s="4">
        <v>15.3</v>
      </c>
      <c r="D108" s="33">
        <v>9</v>
      </c>
      <c r="E108" s="34">
        <f t="shared" si="34"/>
        <v>9</v>
      </c>
      <c r="F108" s="62">
        <f t="shared" si="37"/>
        <v>9</v>
      </c>
      <c r="G108" s="4">
        <v>1.7000000000000002</v>
      </c>
      <c r="H108" s="35">
        <f t="shared" si="33"/>
        <v>1.7000000000000002</v>
      </c>
      <c r="I108" s="4">
        <v>1</v>
      </c>
      <c r="J108" s="4">
        <f t="shared" si="35"/>
        <v>1</v>
      </c>
      <c r="K108" s="4">
        <f>1670/1489.8</f>
        <v>1.1209558329977178</v>
      </c>
      <c r="L108" s="4">
        <v>63</v>
      </c>
      <c r="M108" s="5">
        <f t="shared" si="36"/>
        <v>1.0995574287564276</v>
      </c>
      <c r="N108" s="6">
        <f t="shared" si="38"/>
        <v>-0.95741801222026779</v>
      </c>
      <c r="O108" s="6">
        <f t="shared" si="39"/>
        <v>-1.1597884958202413</v>
      </c>
      <c r="P108" s="6">
        <f t="shared" si="40"/>
        <v>-1.3032883158204429</v>
      </c>
      <c r="Q108" s="6">
        <f t="shared" si="41"/>
        <v>0.50228076115990306</v>
      </c>
      <c r="R108" s="6">
        <f t="shared" si="42"/>
        <v>3.9037548377933349E-3</v>
      </c>
      <c r="S108" s="6">
        <f t="shared" si="43"/>
        <v>-0.59259962458812965</v>
      </c>
      <c r="T108" s="4">
        <v>0</v>
      </c>
      <c r="U108" s="4">
        <v>1</v>
      </c>
      <c r="V108" s="4">
        <v>1</v>
      </c>
      <c r="W108" s="4">
        <v>1</v>
      </c>
      <c r="X108" s="4">
        <v>0</v>
      </c>
      <c r="Y108" s="4">
        <v>1</v>
      </c>
      <c r="Z108" s="4">
        <v>1</v>
      </c>
      <c r="AA108" s="4">
        <v>3</v>
      </c>
      <c r="AB108" s="4">
        <v>3</v>
      </c>
      <c r="AC108" s="4">
        <v>2</v>
      </c>
      <c r="AD108" s="4">
        <v>1</v>
      </c>
      <c r="AE108" s="4">
        <v>0</v>
      </c>
      <c r="AF108" s="4">
        <v>0</v>
      </c>
      <c r="AG108" s="4">
        <v>1</v>
      </c>
      <c r="AH108" s="4">
        <v>1</v>
      </c>
    </row>
    <row r="109" spans="1:36" x14ac:dyDescent="0.25">
      <c r="A109" s="20" t="s">
        <v>38</v>
      </c>
      <c r="B109" s="55" t="s">
        <v>39</v>
      </c>
      <c r="C109" s="4">
        <v>17.13</v>
      </c>
      <c r="D109" s="33">
        <v>7.2400000000000011</v>
      </c>
      <c r="E109" s="34">
        <f t="shared" si="34"/>
        <v>6.5300000000000011</v>
      </c>
      <c r="F109" s="62">
        <f t="shared" si="37"/>
        <v>6.8850000000000016</v>
      </c>
      <c r="G109" s="4">
        <v>2.3660220994475134</v>
      </c>
      <c r="H109" s="35">
        <f t="shared" si="33"/>
        <v>2.4880174291938992</v>
      </c>
      <c r="I109" s="4">
        <v>0.90193370165745856</v>
      </c>
      <c r="J109" s="4">
        <f t="shared" si="35"/>
        <v>1.108728943338438</v>
      </c>
      <c r="K109" s="4">
        <f>8630.7/8043.2</f>
        <v>1.0730430674358467</v>
      </c>
      <c r="L109" s="4">
        <v>70</v>
      </c>
      <c r="M109" s="5">
        <f t="shared" si="36"/>
        <v>1.2217304763960306</v>
      </c>
      <c r="N109" s="6">
        <f t="shared" si="38"/>
        <v>-0.87880571768497062</v>
      </c>
      <c r="O109" s="6">
        <f t="shared" si="39"/>
        <v>-5.9747635737194882E-2</v>
      </c>
      <c r="P109" s="6">
        <f t="shared" si="40"/>
        <v>4.6244443788004137E-2</v>
      </c>
      <c r="Q109" s="6">
        <f t="shared" si="41"/>
        <v>-0.18824565071157726</v>
      </c>
      <c r="R109" s="6">
        <f t="shared" si="42"/>
        <v>-0.78491300325915225</v>
      </c>
      <c r="S109" s="6">
        <f t="shared" si="43"/>
        <v>0.71896277983118428</v>
      </c>
      <c r="T109" s="4">
        <v>0</v>
      </c>
      <c r="U109" s="4">
        <v>1</v>
      </c>
      <c r="V109" s="4">
        <v>0</v>
      </c>
      <c r="W109" s="4">
        <v>0</v>
      </c>
      <c r="X109" s="4">
        <v>0</v>
      </c>
      <c r="Y109" s="4">
        <v>0</v>
      </c>
      <c r="Z109" s="4">
        <v>0</v>
      </c>
      <c r="AA109" s="4">
        <v>3</v>
      </c>
      <c r="AB109" s="4">
        <v>3</v>
      </c>
      <c r="AC109" s="4">
        <v>1</v>
      </c>
      <c r="AD109" s="4">
        <v>0</v>
      </c>
      <c r="AE109" s="4">
        <v>0</v>
      </c>
      <c r="AF109" s="4">
        <v>0</v>
      </c>
      <c r="AG109" s="4">
        <v>0</v>
      </c>
      <c r="AH109" s="4">
        <v>0</v>
      </c>
    </row>
    <row r="110" spans="1:36" x14ac:dyDescent="0.25">
      <c r="A110" s="21" t="s">
        <v>118</v>
      </c>
      <c r="B110" s="55" t="s">
        <v>24</v>
      </c>
      <c r="C110" s="4">
        <v>19.3</v>
      </c>
      <c r="D110" s="33">
        <v>13.63</v>
      </c>
      <c r="E110" s="34">
        <f t="shared" si="34"/>
        <v>12.59</v>
      </c>
      <c r="F110" s="62">
        <f t="shared" si="37"/>
        <v>13.11</v>
      </c>
      <c r="G110" s="4">
        <v>1.4159941305942774</v>
      </c>
      <c r="H110" s="35">
        <f t="shared" si="33"/>
        <v>1.4721586575133487</v>
      </c>
      <c r="I110" s="4">
        <v>0.9236977256052824</v>
      </c>
      <c r="J110" s="4">
        <f t="shared" si="35"/>
        <v>1.0826052422557586</v>
      </c>
      <c r="K110" s="4">
        <f>1576.1/1444.3</f>
        <v>1.0912552793740913</v>
      </c>
      <c r="L110" s="4">
        <v>68</v>
      </c>
      <c r="M110" s="5">
        <f t="shared" si="36"/>
        <v>1.1868238913561442</v>
      </c>
      <c r="N110" s="6">
        <f t="shared" si="38"/>
        <v>-0.78558786023054716</v>
      </c>
      <c r="O110" s="6">
        <f>IF(G111="","", ((G111-G$123)/(G$124)))</f>
        <v>0.29367071773453068</v>
      </c>
      <c r="P110" s="6">
        <f>IF(H111="","", ((H111-H$123)/(H$124)))</f>
        <v>0.20377077254296425</v>
      </c>
      <c r="Q110" s="6">
        <f>IF(I111="","", ((I111-I$123)/(I$124)))</f>
        <v>0.50228076115990306</v>
      </c>
      <c r="R110" s="6">
        <f>IF(K110="","", ((K110-K$123)/(K$124)))</f>
        <v>-0.48507437339861448</v>
      </c>
      <c r="S110" s="6">
        <f t="shared" si="43"/>
        <v>0.34423066428280891</v>
      </c>
      <c r="T110" s="4">
        <v>0</v>
      </c>
      <c r="U110" s="4">
        <v>1</v>
      </c>
      <c r="V110" s="4">
        <v>1</v>
      </c>
      <c r="W110" s="4">
        <v>1</v>
      </c>
      <c r="X110" s="4">
        <v>0</v>
      </c>
      <c r="Y110" s="4">
        <v>1</v>
      </c>
      <c r="Z110" s="4">
        <v>1</v>
      </c>
      <c r="AA110" s="4">
        <v>3</v>
      </c>
      <c r="AB110" s="4">
        <v>3</v>
      </c>
      <c r="AC110" s="4">
        <v>2</v>
      </c>
      <c r="AD110" s="4">
        <v>1</v>
      </c>
      <c r="AE110" s="4">
        <v>0</v>
      </c>
      <c r="AF110" s="4">
        <v>0</v>
      </c>
      <c r="AG110" s="4">
        <v>1</v>
      </c>
      <c r="AH110" s="4">
        <v>1</v>
      </c>
    </row>
    <row r="111" spans="1:36" x14ac:dyDescent="0.25">
      <c r="A111" s="84" t="s">
        <v>196</v>
      </c>
      <c r="B111" s="89" t="s">
        <v>197</v>
      </c>
      <c r="C111" s="2">
        <v>12.9</v>
      </c>
      <c r="D111" s="33">
        <v>5</v>
      </c>
      <c r="E111" s="34">
        <f t="shared" si="34"/>
        <v>5</v>
      </c>
      <c r="F111" s="62">
        <f t="shared" si="37"/>
        <v>5</v>
      </c>
      <c r="G111" s="2">
        <v>2.58</v>
      </c>
      <c r="H111" s="2">
        <f t="shared" si="33"/>
        <v>2.58</v>
      </c>
      <c r="I111" s="2">
        <v>1</v>
      </c>
      <c r="J111" s="2">
        <f t="shared" si="35"/>
        <v>1</v>
      </c>
      <c r="K111" s="2">
        <f>1133.9/1053.8</f>
        <v>1.0760106282026951</v>
      </c>
      <c r="L111" s="2">
        <v>74</v>
      </c>
      <c r="M111" s="90">
        <f t="shared" si="36"/>
        <v>1.2915436464758039</v>
      </c>
      <c r="N111" s="2">
        <f t="shared" si="38"/>
        <v>-1.0605161034141002</v>
      </c>
      <c r="O111" s="2">
        <f t="shared" ref="O111:P113" si="44">IF(G111="","", ((G111-G$123)/(G$124)))</f>
        <v>0.29367071773453068</v>
      </c>
      <c r="P111" s="2">
        <f t="shared" si="44"/>
        <v>0.20377077254296425</v>
      </c>
      <c r="Q111" s="2">
        <f>IF(I112="","", ((I112-I$123)/(I$124)))</f>
        <v>-0.59948672527704838</v>
      </c>
      <c r="R111" s="2">
        <f>IF(K111="","", ((K111-K$123)/(K$124)))</f>
        <v>-0.73605626046608064</v>
      </c>
      <c r="S111" s="2">
        <f>IF(L111="","", ((L111-L$123)/(L$124)))</f>
        <v>1.4684270109279352</v>
      </c>
      <c r="T111" s="2">
        <v>0</v>
      </c>
      <c r="U111" s="2">
        <v>0</v>
      </c>
      <c r="V111" s="2">
        <v>0</v>
      </c>
      <c r="W111" s="2">
        <v>0</v>
      </c>
      <c r="Y111" s="2">
        <v>0</v>
      </c>
      <c r="Z111" s="2">
        <v>0</v>
      </c>
      <c r="AA111" s="2">
        <v>3</v>
      </c>
      <c r="AB111" s="2">
        <v>3</v>
      </c>
      <c r="AC111" s="2">
        <v>1</v>
      </c>
      <c r="AD111" s="2">
        <v>0</v>
      </c>
      <c r="AE111" s="2">
        <v>0</v>
      </c>
      <c r="AF111" s="2">
        <v>0</v>
      </c>
      <c r="AG111" s="2">
        <v>0</v>
      </c>
      <c r="AH111" s="2">
        <v>0</v>
      </c>
    </row>
    <row r="112" spans="1:36" s="28" customFormat="1" x14ac:dyDescent="0.25">
      <c r="A112" s="85" t="s">
        <v>198</v>
      </c>
      <c r="B112" s="89" t="s">
        <v>70</v>
      </c>
      <c r="C112" s="2">
        <v>18.37</v>
      </c>
      <c r="D112" s="33">
        <v>9.9700000000000006</v>
      </c>
      <c r="E112" s="34">
        <f t="shared" si="34"/>
        <v>8.41</v>
      </c>
      <c r="F112" s="62">
        <f t="shared" si="37"/>
        <v>9.1900000000000013</v>
      </c>
      <c r="G112" s="2">
        <v>1.8425275827482448</v>
      </c>
      <c r="H112" s="2">
        <f t="shared" si="33"/>
        <v>1.9989118607181717</v>
      </c>
      <c r="I112" s="2">
        <v>0.84353059177532597</v>
      </c>
      <c r="J112" s="2">
        <f t="shared" si="35"/>
        <v>1.1854934601664686</v>
      </c>
      <c r="K112" s="2">
        <f>1152.2/1043.8</f>
        <v>1.1038513125119755</v>
      </c>
      <c r="L112" s="2">
        <v>66</v>
      </c>
      <c r="M112" s="90">
        <f t="shared" si="36"/>
        <v>1.1519173063162575</v>
      </c>
      <c r="N112" s="2">
        <f t="shared" si="38"/>
        <v>-0.82553837056815715</v>
      </c>
      <c r="O112" s="2">
        <f t="shared" si="44"/>
        <v>-0.92438164544396129</v>
      </c>
      <c r="P112" s="2">
        <f t="shared" si="44"/>
        <v>-0.79138168364437766</v>
      </c>
      <c r="Q112" s="2">
        <f>IF(I112="","", ((I112-I$123)/(I$124)))</f>
        <v>-0.59948672527704838</v>
      </c>
      <c r="R112" s="2">
        <f>IF(K112="","", ((K112-K$123)/(K$124)))</f>
        <v>-0.27769828253454276</v>
      </c>
      <c r="S112" s="2">
        <f>IF(L112="","", ((L112-L$123)/(L$124)))</f>
        <v>-3.0501451265566491E-2</v>
      </c>
      <c r="T112" s="2">
        <v>0</v>
      </c>
      <c r="U112" s="2">
        <v>0</v>
      </c>
      <c r="V112" s="2">
        <v>0</v>
      </c>
      <c r="W112" s="2">
        <v>0</v>
      </c>
      <c r="X112" s="2"/>
      <c r="Y112" s="2">
        <v>0</v>
      </c>
      <c r="Z112" s="2">
        <v>0</v>
      </c>
      <c r="AA112" s="2">
        <v>3</v>
      </c>
      <c r="AB112" s="2">
        <v>3</v>
      </c>
      <c r="AC112" s="2">
        <v>1</v>
      </c>
      <c r="AD112" s="2">
        <v>0</v>
      </c>
      <c r="AE112" s="2">
        <v>0</v>
      </c>
      <c r="AF112" s="2">
        <v>0</v>
      </c>
      <c r="AG112" s="2">
        <v>0</v>
      </c>
      <c r="AH112" s="2">
        <v>0</v>
      </c>
      <c r="AI112" s="4"/>
      <c r="AJ112" s="4"/>
    </row>
    <row r="113" spans="1:34" s="28" customFormat="1" x14ac:dyDescent="0.25">
      <c r="A113" s="85" t="s">
        <v>198</v>
      </c>
      <c r="B113" s="89" t="s">
        <v>199</v>
      </c>
      <c r="C113" s="2">
        <v>13.77</v>
      </c>
      <c r="D113" s="33">
        <v>7.25</v>
      </c>
      <c r="E113" s="34">
        <f t="shared" si="34"/>
        <v>6.44</v>
      </c>
      <c r="F113" s="62">
        <f t="shared" si="37"/>
        <v>6.8450000000000006</v>
      </c>
      <c r="G113" s="2">
        <v>1.8993103448275861</v>
      </c>
      <c r="H113" s="2">
        <f t="shared" si="33"/>
        <v>2.011687363038714</v>
      </c>
      <c r="I113" s="2">
        <v>0.88827586206896558</v>
      </c>
      <c r="J113" s="2">
        <f t="shared" si="35"/>
        <v>1.1257763975155279</v>
      </c>
      <c r="K113" s="2">
        <f>14.211/13.041</f>
        <v>1.0897170462387853</v>
      </c>
      <c r="L113" s="2">
        <v>72</v>
      </c>
      <c r="M113" s="90">
        <f t="shared" si="36"/>
        <v>1.2566370614359172</v>
      </c>
      <c r="N113" s="2">
        <f t="shared" si="38"/>
        <v>-1.0231430453563359</v>
      </c>
      <c r="O113" s="2">
        <f t="shared" si="44"/>
        <v>-0.83059593099474871</v>
      </c>
      <c r="P113" s="2">
        <f t="shared" si="44"/>
        <v>-0.76950277809826295</v>
      </c>
      <c r="Q113" s="2">
        <f>IF(I113="","", ((I113-I$123)/(I$124)))</f>
        <v>-0.28441629367819443</v>
      </c>
      <c r="R113" s="2">
        <f>IF(K113="","", ((K113-K$123)/(K$124)))</f>
        <v>-0.51039923329263359</v>
      </c>
      <c r="S113" s="2">
        <f>IF(L113="","", ((L113-L$123)/(L$124)))</f>
        <v>1.0936948953795598</v>
      </c>
      <c r="T113" s="2">
        <v>0</v>
      </c>
      <c r="U113" s="2">
        <v>0</v>
      </c>
      <c r="V113" s="2">
        <v>0</v>
      </c>
      <c r="W113" s="2">
        <v>0</v>
      </c>
      <c r="X113" s="2"/>
      <c r="Y113" s="2">
        <v>0</v>
      </c>
      <c r="Z113" s="2">
        <v>0</v>
      </c>
      <c r="AA113" s="2">
        <v>3</v>
      </c>
      <c r="AB113" s="2">
        <v>3</v>
      </c>
      <c r="AC113" s="2">
        <v>1</v>
      </c>
      <c r="AD113" s="2">
        <v>0</v>
      </c>
      <c r="AE113" s="2">
        <v>0</v>
      </c>
      <c r="AF113" s="2">
        <v>0</v>
      </c>
      <c r="AG113" s="2">
        <v>0</v>
      </c>
      <c r="AH113" s="2">
        <v>0</v>
      </c>
    </row>
    <row r="114" spans="1:34" s="28" customFormat="1" x14ac:dyDescent="0.25">
      <c r="A114" s="85" t="s">
        <v>200</v>
      </c>
      <c r="B114" s="89" t="s">
        <v>201</v>
      </c>
      <c r="C114" s="2">
        <v>22.31</v>
      </c>
      <c r="D114" s="33">
        <v>15.23</v>
      </c>
      <c r="E114" s="34">
        <f t="shared" si="34"/>
        <v>15.220000000000002</v>
      </c>
      <c r="F114" s="62">
        <f t="shared" si="37"/>
        <v>15.225000000000001</v>
      </c>
      <c r="G114" s="2">
        <v>1.4648719632304661</v>
      </c>
      <c r="H114" s="2">
        <f t="shared" si="33"/>
        <v>1.4653530377668307</v>
      </c>
      <c r="I114" s="2">
        <v>0.99934340118187792</v>
      </c>
      <c r="J114" s="2">
        <f t="shared" si="35"/>
        <v>1.0006570302233901</v>
      </c>
      <c r="K114" s="2"/>
      <c r="L114" s="2"/>
      <c r="M114" s="90" t="str">
        <f t="shared" si="36"/>
        <v/>
      </c>
      <c r="N114" s="2">
        <f t="shared" si="38"/>
        <v>-0.65628567085828249</v>
      </c>
      <c r="O114" s="2">
        <f t="shared" ref="O114:O122" si="45">IF(G114="","", ((G114-G$123)/(G$124)))</f>
        <v>-1.5481396451472009</v>
      </c>
      <c r="P114" s="2">
        <f>IF(H114="","", ((H114-H$123)/(H$124)))</f>
        <v>-1.705136994218583</v>
      </c>
      <c r="Q114" s="2">
        <f>IF(I114="","", ((I114-I$123)/(I$124)))</f>
        <v>0.49765737031534213</v>
      </c>
      <c r="R114" s="2"/>
      <c r="S114" s="2"/>
      <c r="T114" s="2">
        <v>0</v>
      </c>
      <c r="U114" s="2">
        <v>0</v>
      </c>
      <c r="V114" s="2">
        <v>0</v>
      </c>
      <c r="W114" s="2">
        <v>0</v>
      </c>
      <c r="X114" s="2"/>
      <c r="Y114" s="2">
        <v>0</v>
      </c>
      <c r="Z114" s="2">
        <v>0</v>
      </c>
      <c r="AA114" s="2">
        <v>3</v>
      </c>
      <c r="AB114" s="2">
        <v>3</v>
      </c>
      <c r="AC114" s="2">
        <v>1</v>
      </c>
      <c r="AD114" s="2">
        <v>0</v>
      </c>
      <c r="AE114" s="2">
        <v>0</v>
      </c>
      <c r="AF114" s="2">
        <v>0</v>
      </c>
      <c r="AG114" s="2">
        <v>0</v>
      </c>
      <c r="AH114" s="2">
        <v>1</v>
      </c>
    </row>
    <row r="115" spans="1:34" x14ac:dyDescent="0.25">
      <c r="A115" s="85" t="s">
        <v>200</v>
      </c>
      <c r="B115" s="89" t="s">
        <v>202</v>
      </c>
      <c r="C115" s="2">
        <v>19.14</v>
      </c>
      <c r="D115" s="33">
        <v>12.4</v>
      </c>
      <c r="E115" s="34">
        <f t="shared" ref="E115:E121" si="46">IF(J115="NA","NA", (D115/J115))</f>
        <v>12.479999999999999</v>
      </c>
      <c r="F115" s="62">
        <f t="shared" ref="F115:F121" si="47">IF(E115="NA","NA",(D115+E115)/2)</f>
        <v>12.44</v>
      </c>
      <c r="G115" s="2">
        <v>1.5435483870967741</v>
      </c>
      <c r="H115" s="2">
        <f t="shared" ref="H115:H121" si="48">IF(F115="NA","NA",(C115/F115))</f>
        <v>1.5385852090032155</v>
      </c>
      <c r="I115" s="2">
        <v>1.0064516129032257</v>
      </c>
      <c r="J115" s="2">
        <f t="shared" ref="J115:J121" si="49">IF(I115="NA","NA",(1/I115))</f>
        <v>0.99358974358974372</v>
      </c>
      <c r="K115" s="2">
        <f>1431/1340</f>
        <v>1.067910447761194</v>
      </c>
      <c r="L115" s="2">
        <v>64</v>
      </c>
      <c r="M115" s="90">
        <f t="shared" ref="M115:M121" si="50">IF(L115="NA", "NA",RADIANS(L115))</f>
        <v>1.1170107212763709</v>
      </c>
      <c r="N115" s="2">
        <f t="shared" si="38"/>
        <v>-0.79246106631013602</v>
      </c>
      <c r="O115" s="2">
        <f t="shared" si="45"/>
        <v>-1.4181930847403532</v>
      </c>
      <c r="P115" s="2">
        <f>IF(H115="","", ((H115-H$123)/(H$124)))</f>
        <v>-1.5797219837386069</v>
      </c>
      <c r="Q115" s="2">
        <f>IF(I115="","", ((I115-I$123)/(I$124)))</f>
        <v>0.54770930474872137</v>
      </c>
      <c r="R115" s="2">
        <f>IF(K115="","", ((K115-K$123)/(K$124)))</f>
        <v>-0.86941441670972575</v>
      </c>
      <c r="S115" s="2">
        <f>IF(L115="","", ((L115-L$123)/(L$124)))</f>
        <v>-0.4052335668139419</v>
      </c>
      <c r="T115" s="2">
        <v>0</v>
      </c>
      <c r="U115" s="2">
        <v>0</v>
      </c>
      <c r="V115" s="2">
        <v>0</v>
      </c>
      <c r="W115" s="2">
        <v>0</v>
      </c>
      <c r="Y115" s="2">
        <v>0</v>
      </c>
      <c r="Z115" s="2">
        <v>0</v>
      </c>
      <c r="AA115" s="2">
        <v>3</v>
      </c>
      <c r="AB115" s="2">
        <v>3</v>
      </c>
      <c r="AC115" s="2">
        <v>1</v>
      </c>
      <c r="AD115" s="2">
        <v>0</v>
      </c>
      <c r="AE115" s="2">
        <v>0</v>
      </c>
      <c r="AF115" s="2">
        <v>0</v>
      </c>
      <c r="AG115" s="2">
        <v>0</v>
      </c>
      <c r="AH115" s="2">
        <v>1</v>
      </c>
    </row>
    <row r="116" spans="1:34" x14ac:dyDescent="0.25">
      <c r="A116" s="85" t="s">
        <v>198</v>
      </c>
      <c r="B116" s="89" t="s">
        <v>203</v>
      </c>
      <c r="C116" s="2">
        <v>14.92</v>
      </c>
      <c r="D116" s="33">
        <v>7.36</v>
      </c>
      <c r="E116" s="34">
        <f t="shared" si="46"/>
        <v>7.379999999999999</v>
      </c>
      <c r="F116" s="62">
        <f t="shared" si="47"/>
        <v>7.3699999999999992</v>
      </c>
      <c r="G116" s="2">
        <v>2.027173913043478</v>
      </c>
      <c r="H116" s="2">
        <f t="shared" si="48"/>
        <v>2.0244233378561738</v>
      </c>
      <c r="I116" s="2">
        <v>1.0027173913043477</v>
      </c>
      <c r="J116" s="2">
        <f t="shared" si="49"/>
        <v>0.9972899728997292</v>
      </c>
      <c r="K116" s="2">
        <f>940/856</f>
        <v>1.0981308411214954</v>
      </c>
      <c r="L116" s="2">
        <v>72</v>
      </c>
      <c r="M116" s="90">
        <f t="shared" si="50"/>
        <v>1.2566370614359172</v>
      </c>
      <c r="N116" s="2">
        <f t="shared" si="38"/>
        <v>-0.97374187665929113</v>
      </c>
      <c r="O116" s="2">
        <f t="shared" si="45"/>
        <v>-0.61940902042500179</v>
      </c>
      <c r="P116" s="2">
        <f>IF(H116="","", ((H116-H$123)/(H$124)))</f>
        <v>-0.74769156605528531</v>
      </c>
      <c r="Q116" s="2">
        <f>IF(I116="","", ((I116-I$123)/(I$124)))</f>
        <v>0.5214150662041056</v>
      </c>
      <c r="R116" s="2">
        <f>IF(K116="","", ((K116-K$123)/(K$124)))</f>
        <v>-0.37187785334637324</v>
      </c>
      <c r="S116" s="2">
        <f>IF(L116="","", ((L116-L$123)/(L$124)))</f>
        <v>1.0936948953795598</v>
      </c>
      <c r="T116" s="2">
        <v>0</v>
      </c>
      <c r="U116" s="2">
        <v>0</v>
      </c>
      <c r="V116" s="2">
        <v>0</v>
      </c>
      <c r="W116" s="2">
        <v>0</v>
      </c>
      <c r="Y116" s="2">
        <v>0</v>
      </c>
      <c r="Z116" s="2">
        <v>0</v>
      </c>
      <c r="AA116" s="2">
        <v>3</v>
      </c>
      <c r="AB116" s="2">
        <v>3</v>
      </c>
      <c r="AC116" s="2">
        <v>1</v>
      </c>
      <c r="AD116" s="2">
        <v>0</v>
      </c>
      <c r="AE116" s="2">
        <v>0</v>
      </c>
      <c r="AF116" s="2">
        <v>0</v>
      </c>
      <c r="AG116" s="2">
        <v>0</v>
      </c>
    </row>
    <row r="117" spans="1:34" x14ac:dyDescent="0.25">
      <c r="A117" s="85" t="s">
        <v>198</v>
      </c>
      <c r="B117" s="89" t="s">
        <v>204</v>
      </c>
      <c r="C117" s="2">
        <v>19.87</v>
      </c>
      <c r="D117" s="33">
        <v>12</v>
      </c>
      <c r="E117" s="34">
        <f t="shared" si="46"/>
        <v>11.47</v>
      </c>
      <c r="F117" s="62">
        <f t="shared" si="47"/>
        <v>11.734999999999999</v>
      </c>
      <c r="G117" s="2">
        <v>1.6558333333333335</v>
      </c>
      <c r="H117" s="2">
        <f t="shared" si="48"/>
        <v>1.6932253941201536</v>
      </c>
      <c r="I117" s="2">
        <v>0.95583333333333342</v>
      </c>
      <c r="J117" s="2">
        <f t="shared" si="49"/>
        <v>1.046207497820401</v>
      </c>
      <c r="K117" s="2">
        <f>795/737</f>
        <v>1.0786974219810042</v>
      </c>
      <c r="L117" s="2">
        <v>69</v>
      </c>
      <c r="M117" s="90">
        <f t="shared" si="50"/>
        <v>1.2042771838760873</v>
      </c>
      <c r="N117" s="2">
        <f t="shared" si="38"/>
        <v>-0.76110206357201193</v>
      </c>
      <c r="O117" s="2">
        <f t="shared" si="45"/>
        <v>-1.2327367328641834</v>
      </c>
      <c r="P117" s="2">
        <f>IF(H117="","", ((H117-H$123)/(H$124)))</f>
        <v>-1.3148902832764691</v>
      </c>
      <c r="Q117" s="2">
        <f>IF(I117="","", ((I117-I$123)/(I$124)))</f>
        <v>0.19128452317478115</v>
      </c>
      <c r="R117" s="2">
        <f>IF(K117="","", ((K117-K$123)/(K$124)))</f>
        <v>-0.69182195395033674</v>
      </c>
      <c r="S117" s="2">
        <f>IF(L117="","", ((L117-L$123)/(L$124)))</f>
        <v>0.5315967220569966</v>
      </c>
      <c r="T117" s="2">
        <v>0</v>
      </c>
      <c r="U117" s="2">
        <v>0</v>
      </c>
      <c r="V117" s="2">
        <v>0</v>
      </c>
      <c r="W117" s="2">
        <v>0</v>
      </c>
      <c r="Y117" s="2">
        <v>0</v>
      </c>
      <c r="Z117" s="2">
        <v>0</v>
      </c>
      <c r="AA117" s="2">
        <v>3</v>
      </c>
      <c r="AB117" s="2">
        <v>3</v>
      </c>
      <c r="AC117" s="2">
        <v>1</v>
      </c>
      <c r="AD117" s="2">
        <v>0</v>
      </c>
      <c r="AE117" s="2">
        <v>0</v>
      </c>
      <c r="AF117" s="2">
        <v>0</v>
      </c>
      <c r="AG117" s="2">
        <v>0</v>
      </c>
    </row>
    <row r="118" spans="1:34" x14ac:dyDescent="0.25">
      <c r="A118" s="85" t="s">
        <v>198</v>
      </c>
      <c r="B118" s="89" t="s">
        <v>205</v>
      </c>
      <c r="C118" s="2">
        <v>21.99</v>
      </c>
      <c r="D118" s="33">
        <v>11.85</v>
      </c>
      <c r="E118" s="34">
        <f t="shared" si="46"/>
        <v>11.45</v>
      </c>
      <c r="F118" s="62">
        <f t="shared" si="47"/>
        <v>11.649999999999999</v>
      </c>
      <c r="G118" s="2">
        <v>1.8556962025316455</v>
      </c>
      <c r="H118" s="2">
        <f t="shared" si="48"/>
        <v>1.8875536480686697</v>
      </c>
      <c r="I118" s="2">
        <v>0.96624472573839659</v>
      </c>
      <c r="J118" s="2">
        <f t="shared" si="49"/>
        <v>1.034934497816594</v>
      </c>
      <c r="K118" s="2">
        <f>1079.6/997.3</f>
        <v>1.0825228115912964</v>
      </c>
      <c r="L118" s="2">
        <v>69.5</v>
      </c>
      <c r="M118" s="90">
        <f t="shared" si="50"/>
        <v>1.2130038301360591</v>
      </c>
      <c r="N118" s="2">
        <f t="shared" si="38"/>
        <v>-0.6700320830174602</v>
      </c>
      <c r="O118" s="2">
        <f t="shared" si="45"/>
        <v>-0.90263158663261656</v>
      </c>
      <c r="P118" s="2">
        <f>IF(H118="","", ((H118-H$123)/(H$124)))</f>
        <v>-0.9820901000504425</v>
      </c>
      <c r="Q118" s="2">
        <f>IF(I118="","", ((I118-I$123)/(I$124)))</f>
        <v>0.26459555419730618</v>
      </c>
      <c r="R118" s="2">
        <f>IF(K118="","", ((K118-K$123)/(K$124)))</f>
        <v>-0.62884225750697831</v>
      </c>
      <c r="S118" s="2">
        <f>IF(L118="","", ((L118-L$123)/(L$124)))</f>
        <v>0.6252797509440905</v>
      </c>
      <c r="T118" s="2">
        <v>0</v>
      </c>
      <c r="U118" s="2">
        <v>0</v>
      </c>
      <c r="V118" s="2">
        <v>0</v>
      </c>
      <c r="W118" s="2">
        <v>0</v>
      </c>
      <c r="Y118" s="2">
        <v>0</v>
      </c>
      <c r="Z118" s="2">
        <v>0</v>
      </c>
      <c r="AA118" s="2">
        <v>3</v>
      </c>
      <c r="AB118" s="2">
        <v>3</v>
      </c>
      <c r="AC118" s="2">
        <v>1</v>
      </c>
      <c r="AD118" s="2">
        <v>0</v>
      </c>
      <c r="AE118" s="2">
        <v>0</v>
      </c>
      <c r="AF118" s="2">
        <v>0</v>
      </c>
      <c r="AG118" s="2">
        <v>0</v>
      </c>
      <c r="AH118" s="2">
        <v>1</v>
      </c>
    </row>
    <row r="119" spans="1:34" x14ac:dyDescent="0.25">
      <c r="A119" s="85" t="s">
        <v>198</v>
      </c>
      <c r="B119" s="89" t="s">
        <v>205</v>
      </c>
      <c r="C119" s="2">
        <v>20</v>
      </c>
      <c r="D119" s="33">
        <v>12.1</v>
      </c>
      <c r="E119" s="34">
        <f t="shared" si="46"/>
        <v>12.050000000000002</v>
      </c>
      <c r="F119" s="62">
        <f t="shared" si="47"/>
        <v>12.075000000000001</v>
      </c>
      <c r="G119" s="2">
        <v>1.6528925619834711</v>
      </c>
      <c r="H119" s="2">
        <f t="shared" si="48"/>
        <v>1.6563146997929605</v>
      </c>
      <c r="I119" s="2">
        <v>0.99586776859504145</v>
      </c>
      <c r="J119" s="2">
        <f t="shared" si="49"/>
        <v>1.0041493775933608</v>
      </c>
      <c r="K119" s="2">
        <f>815.7/763.7</f>
        <v>1.0680895639649077</v>
      </c>
      <c r="L119" s="2">
        <v>67.5</v>
      </c>
      <c r="M119" s="90">
        <f t="shared" si="50"/>
        <v>1.1780972450961724</v>
      </c>
      <c r="N119" s="2">
        <f t="shared" si="38"/>
        <v>-0.75551758363234611</v>
      </c>
      <c r="O119" s="2">
        <f t="shared" si="45"/>
        <v>-1.2375938819703374</v>
      </c>
      <c r="P119" s="2">
        <f>IF(H119="","", ((H119-H$123)/(H$124)))</f>
        <v>-1.3781023257123781</v>
      </c>
      <c r="Q119" s="2">
        <f>IF(I119="","", ((I119-I$123)/(I$124)))</f>
        <v>0.47318396671252</v>
      </c>
      <c r="R119" s="2">
        <f>IF(K119="","", ((K119-K$123)/(K$124)))</f>
        <v>-0.86646551861379739</v>
      </c>
      <c r="S119" s="2">
        <f>IF(L119="","", ((L119-L$123)/(L$124)))</f>
        <v>0.25054763539571506</v>
      </c>
      <c r="T119" s="2">
        <v>0</v>
      </c>
      <c r="U119" s="2">
        <v>0</v>
      </c>
      <c r="V119" s="2">
        <v>0</v>
      </c>
      <c r="W119" s="2">
        <v>0</v>
      </c>
      <c r="Y119" s="2">
        <v>0</v>
      </c>
      <c r="Z119" s="2">
        <v>0</v>
      </c>
      <c r="AA119" s="2">
        <v>3</v>
      </c>
      <c r="AB119" s="2">
        <v>3</v>
      </c>
      <c r="AC119" s="2">
        <v>1</v>
      </c>
      <c r="AD119" s="2">
        <v>0</v>
      </c>
      <c r="AE119" s="2">
        <v>0</v>
      </c>
      <c r="AF119" s="2">
        <v>0</v>
      </c>
      <c r="AG119" s="2">
        <v>0</v>
      </c>
      <c r="AH119" s="2">
        <v>1</v>
      </c>
    </row>
    <row r="120" spans="1:34" x14ac:dyDescent="0.25">
      <c r="A120" s="85" t="s">
        <v>198</v>
      </c>
      <c r="B120" s="89" t="s">
        <v>205</v>
      </c>
      <c r="C120" s="2">
        <v>20.16</v>
      </c>
      <c r="D120" s="33">
        <v>11.5</v>
      </c>
      <c r="E120" s="34">
        <f t="shared" si="46"/>
        <v>10.499999999999998</v>
      </c>
      <c r="F120" s="62">
        <f t="shared" si="47"/>
        <v>11</v>
      </c>
      <c r="G120" s="2">
        <v>1.7530434782608695</v>
      </c>
      <c r="H120" s="2">
        <f t="shared" si="48"/>
        <v>1.8327272727272728</v>
      </c>
      <c r="I120" s="2">
        <v>0.91304347826086951</v>
      </c>
      <c r="J120" s="2">
        <f t="shared" si="49"/>
        <v>1.0952380952380953</v>
      </c>
      <c r="K120" s="2">
        <f>1154.3/1122.7</f>
        <v>1.0281464327068672</v>
      </c>
      <c r="L120" s="2">
        <v>72.5</v>
      </c>
      <c r="M120" s="90">
        <f t="shared" si="50"/>
        <v>1.265363707695889</v>
      </c>
      <c r="N120" s="2">
        <f t="shared" si="38"/>
        <v>-0.74864437755275726</v>
      </c>
      <c r="O120" s="2">
        <f t="shared" si="45"/>
        <v>-1.0721788001415449</v>
      </c>
      <c r="P120" s="2">
        <f>IF(H120="","", ((H120-H$123)/(H$124)))</f>
        <v>-1.0759839491871193</v>
      </c>
      <c r="Q120" s="2">
        <f>IF(I120="","", ((I120-I$123)/(I$124)))</f>
        <v>-0.11001700025461263</v>
      </c>
      <c r="R120" s="2">
        <f>IF(K120="","", ((K120-K$123)/(K$124)))</f>
        <v>-1.5240733802706516</v>
      </c>
      <c r="S120" s="2">
        <f>IF(L120="","", ((L120-L$123)/(L$124)))</f>
        <v>1.1873779242666536</v>
      </c>
      <c r="T120" s="2">
        <v>0</v>
      </c>
      <c r="U120" s="2">
        <v>0</v>
      </c>
      <c r="V120" s="2">
        <v>0</v>
      </c>
      <c r="W120" s="2">
        <v>0</v>
      </c>
      <c r="Y120" s="2">
        <v>0</v>
      </c>
      <c r="Z120" s="2">
        <v>0</v>
      </c>
      <c r="AA120" s="2">
        <v>3</v>
      </c>
      <c r="AB120" s="2">
        <v>3</v>
      </c>
      <c r="AC120" s="2">
        <v>1</v>
      </c>
      <c r="AD120" s="2">
        <v>0</v>
      </c>
      <c r="AE120" s="2">
        <v>0</v>
      </c>
      <c r="AF120" s="2">
        <v>0</v>
      </c>
      <c r="AG120" s="2">
        <v>0</v>
      </c>
      <c r="AH120" s="2">
        <v>1</v>
      </c>
    </row>
    <row r="121" spans="1:34" x14ac:dyDescent="0.25">
      <c r="A121" s="85" t="s">
        <v>198</v>
      </c>
      <c r="B121" s="89" t="s">
        <v>206</v>
      </c>
      <c r="C121" s="2">
        <v>12</v>
      </c>
      <c r="D121" s="33">
        <v>7.1</v>
      </c>
      <c r="E121" s="34">
        <f t="shared" si="46"/>
        <v>7.1</v>
      </c>
      <c r="F121" s="62">
        <f t="shared" si="47"/>
        <v>7.1</v>
      </c>
      <c r="G121" s="2">
        <v>1.6901408450704227</v>
      </c>
      <c r="H121" s="2">
        <f t="shared" si="48"/>
        <v>1.6901408450704227</v>
      </c>
      <c r="I121" s="2">
        <v>1</v>
      </c>
      <c r="J121" s="2">
        <f t="shared" si="49"/>
        <v>1</v>
      </c>
      <c r="K121" s="2">
        <v>1</v>
      </c>
      <c r="L121" s="2"/>
      <c r="M121" s="90"/>
      <c r="N121" s="2">
        <f t="shared" si="38"/>
        <v>-1.0991778876117873</v>
      </c>
      <c r="O121" s="2">
        <f t="shared" si="45"/>
        <v>-1.1760724498773529</v>
      </c>
      <c r="P121" s="2">
        <f>IF(H121="","", ((H121-H$123)/(H$124)))</f>
        <v>-1.320172780638855</v>
      </c>
      <c r="Q121" s="2">
        <f>IF(I121="","", ((I121-I$123)/(I$124)))</f>
        <v>0.50228076115990306</v>
      </c>
      <c r="R121" s="2">
        <f>IF(K121="","", ((K121-K$123)/(K$124)))</f>
        <v>-1.9874650784842363</v>
      </c>
      <c r="S121" s="2"/>
      <c r="T121" s="2">
        <v>0</v>
      </c>
      <c r="U121" s="2">
        <v>0</v>
      </c>
      <c r="V121" s="2">
        <v>0</v>
      </c>
      <c r="W121" s="2">
        <v>0</v>
      </c>
      <c r="Y121" s="2">
        <v>0</v>
      </c>
      <c r="Z121" s="2">
        <v>0</v>
      </c>
      <c r="AA121" s="2">
        <v>3</v>
      </c>
      <c r="AB121" s="2">
        <v>3</v>
      </c>
      <c r="AC121" s="2">
        <v>1</v>
      </c>
      <c r="AD121" s="2">
        <v>0</v>
      </c>
      <c r="AE121" s="2">
        <v>0</v>
      </c>
      <c r="AF121" s="2">
        <v>0</v>
      </c>
      <c r="AG121" s="2">
        <v>0</v>
      </c>
      <c r="AH121" s="2">
        <v>0</v>
      </c>
    </row>
    <row r="122" spans="1:34" x14ac:dyDescent="0.25">
      <c r="A122" s="88" t="s">
        <v>207</v>
      </c>
      <c r="B122" s="88" t="s">
        <v>208</v>
      </c>
      <c r="C122" s="2">
        <v>28.57</v>
      </c>
      <c r="D122" s="33">
        <v>10.23</v>
      </c>
      <c r="E122" s="34">
        <f>IF(J122="","", (D122/J122))</f>
        <v>7.9800138000000009</v>
      </c>
      <c r="F122" s="62">
        <f>IF(E122="","",(D122+E122)/2)</f>
        <v>9.1050069000000011</v>
      </c>
      <c r="G122" s="87">
        <v>2.79</v>
      </c>
      <c r="H122" s="2">
        <f>IF(F122="","",(C122/F122))</f>
        <v>3.1378339757216436</v>
      </c>
      <c r="I122" s="2">
        <v>0.78005999999999998</v>
      </c>
      <c r="J122" s="4">
        <f>IF(I122="","",(1/I122))</f>
        <v>1.2819526703074122</v>
      </c>
      <c r="K122" s="2">
        <f>30.25/25</f>
        <v>1.21</v>
      </c>
      <c r="L122" s="2"/>
      <c r="M122" s="2"/>
      <c r="N122" s="2">
        <f t="shared" si="38"/>
        <v>-0.3873714829943698</v>
      </c>
      <c r="O122" s="2">
        <f t="shared" si="45"/>
        <v>0.64051893915101032</v>
      </c>
      <c r="P122" s="2">
        <f>IF(H122="","", ((H122-H$123)/(H$124)))</f>
        <v>1.1590989122125042</v>
      </c>
      <c r="Q122" s="6">
        <f>IF(I122="","", ((I122-I$123)/(I$124)))</f>
        <v>-1.046410089763445</v>
      </c>
      <c r="R122" s="6">
        <f>IF(K122="","", ((K122-K$123)/(K$124)))</f>
        <v>1.4698915833107877</v>
      </c>
      <c r="S122" s="86"/>
      <c r="T122" s="6">
        <v>0</v>
      </c>
      <c r="U122" s="4">
        <v>0</v>
      </c>
      <c r="V122" s="4">
        <v>0</v>
      </c>
      <c r="W122" s="4">
        <v>0</v>
      </c>
      <c r="X122" s="4"/>
      <c r="Y122" s="4">
        <v>0</v>
      </c>
      <c r="Z122" s="4">
        <v>0</v>
      </c>
      <c r="AA122" s="4">
        <v>3</v>
      </c>
      <c r="AB122" s="4">
        <v>3</v>
      </c>
      <c r="AC122" s="4">
        <v>1</v>
      </c>
      <c r="AD122" s="4">
        <v>0</v>
      </c>
      <c r="AE122" s="4">
        <v>0</v>
      </c>
      <c r="AF122" s="4">
        <v>0</v>
      </c>
      <c r="AG122" s="4">
        <v>0</v>
      </c>
      <c r="AH122" s="4">
        <v>0</v>
      </c>
    </row>
    <row r="123" spans="1:34" x14ac:dyDescent="0.25">
      <c r="B123" s="49" t="s">
        <v>100</v>
      </c>
      <c r="C123" s="64">
        <f>AVERAGE(C4:C122)</f>
        <v>37.587543859649116</v>
      </c>
      <c r="D123" s="64">
        <f>AVERAGE(D4:D122)</f>
        <v>16.328132183908046</v>
      </c>
      <c r="E123" s="64">
        <f>AVERAGE(E4:E110)</f>
        <v>16.87361146638527</v>
      </c>
      <c r="F123" s="65">
        <f>AVERAGE(F4:F110)</f>
        <v>17.044760426845098</v>
      </c>
      <c r="G123" s="64">
        <f>AVERAGE(G4:G122)</f>
        <v>2.402196433724249</v>
      </c>
      <c r="H123" s="66">
        <f>AVERAGE(H4:H122)</f>
        <v>2.4610144331948263</v>
      </c>
      <c r="I123" s="64">
        <f>AVERAGE(I4:I110)</f>
        <v>0.92866773214057241</v>
      </c>
      <c r="J123" s="64">
        <f>AVERAGE(J4:J110)</f>
        <v>1.1046783697908664</v>
      </c>
      <c r="K123" s="64">
        <f>AVERAGE(K4:K110)</f>
        <v>1.1207187187523189</v>
      </c>
      <c r="L123" s="64">
        <f>AVERAGE(L4:L110)</f>
        <v>66.162790697674424</v>
      </c>
      <c r="M123" s="67">
        <f>AVERAGE(M4:M110)</f>
        <v>1.1547585399822953</v>
      </c>
    </row>
    <row r="124" spans="1:34" x14ac:dyDescent="0.25">
      <c r="B124" s="49" t="s">
        <v>121</v>
      </c>
      <c r="C124" s="64">
        <f t="shared" ref="C124:M124" si="51">_xlfn.STDEV.P(C4:C110)</f>
        <v>23.27880150067779</v>
      </c>
      <c r="D124" s="64">
        <f t="shared" si="51"/>
        <v>10.181568584234464</v>
      </c>
      <c r="E124" s="64">
        <f t="shared" si="51"/>
        <v>11.274665426228266</v>
      </c>
      <c r="F124" s="65">
        <f t="shared" si="51"/>
        <v>10.461390040933603</v>
      </c>
      <c r="G124" s="64">
        <f t="shared" si="51"/>
        <v>0.60545214602049657</v>
      </c>
      <c r="H124" s="66">
        <f t="shared" si="51"/>
        <v>0.58391871081553748</v>
      </c>
      <c r="I124" s="64">
        <f t="shared" si="51"/>
        <v>0.14201672326589207</v>
      </c>
      <c r="J124" s="64">
        <f t="shared" si="51"/>
        <v>0.1880736196185073</v>
      </c>
      <c r="K124" s="64">
        <f t="shared" si="51"/>
        <v>6.0740045226045647E-2</v>
      </c>
      <c r="L124" s="64">
        <f t="shared" si="51"/>
        <v>5.337145969123144</v>
      </c>
      <c r="M124" s="67">
        <f t="shared" si="51"/>
        <v>9.3150769820742468E-2</v>
      </c>
    </row>
    <row r="125" spans="1:34" x14ac:dyDescent="0.25">
      <c r="B125" s="49" t="s">
        <v>122</v>
      </c>
      <c r="C125" s="64">
        <f t="shared" ref="C125:M125" si="52">_xlfn.VAR.P(C4:C110)</f>
        <v>541.90259930795855</v>
      </c>
      <c r="D125" s="64">
        <f t="shared" si="52"/>
        <v>103.66433883547018</v>
      </c>
      <c r="E125" s="64">
        <f t="shared" si="52"/>
        <v>127.11808047338701</v>
      </c>
      <c r="F125" s="65">
        <f t="shared" si="52"/>
        <v>109.44068158854478</v>
      </c>
      <c r="G125" s="64">
        <f t="shared" si="52"/>
        <v>0.36657230112082467</v>
      </c>
      <c r="H125" s="66">
        <f t="shared" si="52"/>
        <v>0.34096106084047922</v>
      </c>
      <c r="I125" s="64">
        <f t="shared" si="52"/>
        <v>2.0168749687180968E-2</v>
      </c>
      <c r="J125" s="64">
        <f t="shared" si="52"/>
        <v>3.5371686396406976E-2</v>
      </c>
      <c r="K125" s="64">
        <f t="shared" si="52"/>
        <v>3.6893530940620704E-3</v>
      </c>
      <c r="L125" s="64">
        <f t="shared" si="52"/>
        <v>28.485127095727421</v>
      </c>
      <c r="M125" s="67">
        <f t="shared" si="52"/>
        <v>8.677065918196945E-3</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Modified dataset</vt:lpstr>
    </vt:vector>
  </TitlesOfParts>
  <Company>University of Edinburgh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Davide Foffa</dc:creator>
  <cp:lastModifiedBy>Łukasz Weryński</cp:lastModifiedBy>
  <dcterms:created xsi:type="dcterms:W3CDTF">2016-07-04T12:10:52Z</dcterms:created>
  <dcterms:modified xsi:type="dcterms:W3CDTF">2023-02-16T10:47:10Z</dcterms:modified>
</cp:coreProperties>
</file>