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anj\Desktop\circRNA\投稿\Peer J\"/>
    </mc:Choice>
  </mc:AlternateContent>
  <xr:revisionPtr revIDLastSave="0" documentId="13_ncr:1_{2AB4A2BC-1DE9-48B6-9291-64EB99FCD5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p-regulated (SSCI–1 vs. sham)" sheetId="1" r:id="rId1"/>
    <sheet name="up-regulated (SSCI–2 vs. sham)" sheetId="2" r:id="rId2"/>
    <sheet name="up-regulated (SSCI–3 vs. sham)" sheetId="3" r:id="rId3"/>
    <sheet name="down-regulated(SSCI–1 vs. sham)" sheetId="4" r:id="rId4"/>
    <sheet name="down-regulated(SSCI–2 vs. sham)" sheetId="5" r:id="rId5"/>
    <sheet name="down-regulated(SSCI–3 vs. sham)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6" i="6" l="1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</calcChain>
</file>

<file path=xl/sharedStrings.xml><?xml version="1.0" encoding="utf-8"?>
<sst xmlns="http://schemas.openxmlformats.org/spreadsheetml/2006/main" count="7108" uniqueCount="1833">
  <si>
    <t>id</t>
  </si>
  <si>
    <t>Term</t>
  </si>
  <si>
    <t>Classification_level1</t>
  </si>
  <si>
    <t>Classification_level2</t>
  </si>
  <si>
    <t>ListHits</t>
  </si>
  <si>
    <t>ListTotal</t>
  </si>
  <si>
    <t>PopHits</t>
  </si>
  <si>
    <t>PopTotal</t>
  </si>
  <si>
    <t>p-value</t>
  </si>
  <si>
    <t>q-value</t>
  </si>
  <si>
    <t>Enrichment_score</t>
  </si>
  <si>
    <t>Gene</t>
  </si>
  <si>
    <t>hyperlink_only_excel</t>
  </si>
  <si>
    <t>rno00010</t>
  </si>
  <si>
    <t>Glycolysis / Gluconeogenesis</t>
  </si>
  <si>
    <t>Metabolism</t>
  </si>
  <si>
    <t>Carbohydrate metabolism</t>
  </si>
  <si>
    <t>circRNA_0722|Chr1:261165387_261165588_-(Pgam1);</t>
  </si>
  <si>
    <t>rno00040</t>
  </si>
  <si>
    <t>Pentose and glucuronate interconversions</t>
  </si>
  <si>
    <t>circRNA_1993|Chr14:22619364_22655924_+(Ugt2b7);circRNA_2054|Chr14:44496991_44498906_+(Ugdh);</t>
  </si>
  <si>
    <t>rno00053</t>
  </si>
  <si>
    <t>Ascorbate and aldarate metabolism</t>
  </si>
  <si>
    <t>rno00140</t>
  </si>
  <si>
    <t>Steroid hormone biosynthesis</t>
  </si>
  <si>
    <t>Lipid metabolism</t>
  </si>
  <si>
    <t>circRNA_1993|Chr14:22619364_22655924_+(Ugt2b7);circRNA_6157|Chr7:116072198_116158807_-(Cyp11b3);</t>
  </si>
  <si>
    <t>rno00220</t>
  </si>
  <si>
    <t>Arginine biosynthesis</t>
  </si>
  <si>
    <t>Amino acid metabolism</t>
  </si>
  <si>
    <t>circRNA_0728|Chr1:263249208_263253633_-(Got1);</t>
  </si>
  <si>
    <t>rno00230</t>
  </si>
  <si>
    <t>Purine metabolism</t>
  </si>
  <si>
    <t>Nucleotide metabolism</t>
  </si>
  <si>
    <t>circRNA_2222|Chr15:3233141_3293913_-(Adk);</t>
  </si>
  <si>
    <t>rno00240</t>
  </si>
  <si>
    <t>Pyrimidine metabolism</t>
  </si>
  <si>
    <t>circRNA_1840|Chr13:85397122_85399509_-(Uck2);</t>
  </si>
  <si>
    <t>rno00250</t>
  </si>
  <si>
    <t>Alanine, aspartate and glutamate metabolism</t>
  </si>
  <si>
    <t>rno00270</t>
  </si>
  <si>
    <t>Cysteine and methionine metabolism</t>
  </si>
  <si>
    <t>rno00310</t>
  </si>
  <si>
    <t>Lysine degradation</t>
  </si>
  <si>
    <t>circRNA_3663|Chr2:188308301_188309036_+(Ash1l);circRNA_6243|Chr7:140533891_140536242_-(Kmt2d);</t>
  </si>
  <si>
    <t>rno00480</t>
  </si>
  <si>
    <t>Glutathione metabolism</t>
  </si>
  <si>
    <t>Metabolism of other amino acids</t>
  </si>
  <si>
    <t>circRNA_3738|Chr2:210723584_210806489_-(Gstm7);circRNA_3744|Chr2:210806416_210806638_+(Gstm1);circRNA_3745|Chr2:210808354_210822401_-(Gstm1);</t>
  </si>
  <si>
    <t>rno00514</t>
  </si>
  <si>
    <t>Other types of O-glycan biosynthesis</t>
  </si>
  <si>
    <t>Glycan biosynthesis and metabolism</t>
  </si>
  <si>
    <t>circRNA_6169|Chr7:119987740_119990307_-(Mfng);</t>
  </si>
  <si>
    <t>rno00520</t>
  </si>
  <si>
    <t>Amino sugar and nucleotide sugar metabolism</t>
  </si>
  <si>
    <t>circRNA_2054|Chr14:44496991_44498906_+(Ugdh);</t>
  </si>
  <si>
    <t>rno00532</t>
  </si>
  <si>
    <t>Glycosaminoglycan biosynthesis - chondroitin sulfate / dermatan sulfate</t>
  </si>
  <si>
    <t>circRNA_0225|Chr1:127025462_127025957_+(Chsy1);circRNA_3966|Chr20:27756685_27757153_-(Dse);</t>
  </si>
  <si>
    <t>rno00561</t>
  </si>
  <si>
    <t>Glycerolipid metabolism</t>
  </si>
  <si>
    <t>circRNA_5617|Chr6:41822551_41830656_-(Lpin1);</t>
  </si>
  <si>
    <t>rno00562</t>
  </si>
  <si>
    <t>Inositol phosphate metabolism</t>
  </si>
  <si>
    <t>circRNA_0647|Chr1:251455609_251485480_+(Pten);circRNA_2831|Chr18:301858_306376_-(Mtmr1);circRNA_3930|Chr20:18467660_18474832_-(Ipmk);circRNA_6917|Chr9:71915420_71927987_+(Pikfyve);circRNA_6919|Chr9:71920586_71955010_+(Pikfyve);</t>
  </si>
  <si>
    <t>rno00563</t>
  </si>
  <si>
    <t>Glycosylphosphatidylinositol(GPI)-anchor biosynthesis</t>
  </si>
  <si>
    <t>circRNA_3850|Chr2:257937494_257945564_+(Pigk);</t>
  </si>
  <si>
    <t>rno00564</t>
  </si>
  <si>
    <t>Glycerophospholipid metabolism</t>
  </si>
  <si>
    <t>circRNA_1955|Chr14:9421418_9440942_-(Cds1);circRNA_3514|Chr2:113744312_113745181_+(Pld1);circRNA_5564|Chr6:25409775_25417047_-(Plb1);circRNA_5617|Chr6:41822551_41830656_-(Lpin1);</t>
  </si>
  <si>
    <t>rno00565</t>
  </si>
  <si>
    <t>Ether lipid metabolism</t>
  </si>
  <si>
    <t>circRNA_3514|Chr2:113744312_113745181_+(Pld1);circRNA_5564|Chr6:25409775_25417047_-(Plb1);</t>
  </si>
  <si>
    <t>rno00590</t>
  </si>
  <si>
    <t>Arachidonic acid metabolism</t>
  </si>
  <si>
    <t>circRNA_5223|Chr5:115146569_115199307_-(Cyp2j3);circRNA_5564|Chr6:25409775_25417047_-(Plb1);</t>
  </si>
  <si>
    <t>rno00591</t>
  </si>
  <si>
    <t>Linoleic acid metabolism</t>
  </si>
  <si>
    <t>rno00592</t>
  </si>
  <si>
    <t>alpha-Linolenic acid metabolism</t>
  </si>
  <si>
    <t>circRNA_0576|Chr1:226119298_226139368_-(Fads2);circRNA_5564|Chr6:25409775_25417047_-(Plb1);</t>
  </si>
  <si>
    <t>rno00600</t>
  </si>
  <si>
    <t>Sphingolipid metabolism</t>
  </si>
  <si>
    <t>circRNA_2887|Chr18:15480332_15494701_+(B4galt6);</t>
  </si>
  <si>
    <t>rno00601</t>
  </si>
  <si>
    <t>Glycosphingolipid biosynthesis - lacto and neolacto series</t>
  </si>
  <si>
    <t>circRNA_2177|Chr14:107594175_107594869_-(B3gnt2);</t>
  </si>
  <si>
    <t>rno00604</t>
  </si>
  <si>
    <t>Glycosphingolipid biosynthesis - ganglio series</t>
  </si>
  <si>
    <t>circRNA_3585|Chr2:154520979_154532393_-(Slc33a1);</t>
  </si>
  <si>
    <t>rno00620</t>
  </si>
  <si>
    <t>Pyruvate metabolism</t>
  </si>
  <si>
    <t>circRNA_6574|Chr8:94283953_94292111_-(Me1);</t>
  </si>
  <si>
    <t>rno00830</t>
  </si>
  <si>
    <t>Retinol metabolism</t>
  </si>
  <si>
    <t>Metabolism of cofactors and vitamins</t>
  </si>
  <si>
    <t>circRNA_1993|Chr14:22619364_22655924_+(Ugt2b7);circRNA_6066|Chr7:71069214_71077102_+(Rdh16);</t>
  </si>
  <si>
    <t>rno00860</t>
  </si>
  <si>
    <t>Porphyrin and chlorophyll metabolism</t>
  </si>
  <si>
    <t>circRNA_1993|Chr14:22619364_22655924_+(Ugt2b7);</t>
  </si>
  <si>
    <t>rno00980</t>
  </si>
  <si>
    <t>Metabolism of xenobiotics by cytochrome P450</t>
  </si>
  <si>
    <t>Xenobiotics biodegradation and metabolism</t>
  </si>
  <si>
    <t>circRNA_1993|Chr14:22619364_22655924_+(Ugt2b7);circRNA_3738|Chr2:210723584_210806489_-(Gstm7);circRNA_3744|Chr2:210806416_210806638_+(Gstm1);circRNA_3745|Chr2:210808354_210822401_-(Gstm1);</t>
  </si>
  <si>
    <t>rno00982</t>
  </si>
  <si>
    <t>Drug metabolism - cytochrome P450</t>
  </si>
  <si>
    <t>rno00983</t>
  </si>
  <si>
    <t>Drug metabolism - other enzymes</t>
  </si>
  <si>
    <t>circRNA_1840|Chr13:85397122_85399509_-(Uck2);circRNA_1993|Chr14:22619364_22655924_+(Ugt2b7);circRNA_3738|Chr2:210723584_210806489_-(Gstm7);circRNA_3744|Chr2:210806416_210806638_+(Gstm1);circRNA_3745|Chr2:210808354_210822401_-(Gstm1);</t>
  </si>
  <si>
    <t>rno01040</t>
  </si>
  <si>
    <t>Biosynthesis of unsaturated fatty acids</t>
  </si>
  <si>
    <t>circRNA_0576|Chr1:226119298_226139368_-(Fads2);circRNA_0734|Chr1:264001511_264066989_+(Scd2);</t>
  </si>
  <si>
    <t>rno01521</t>
  </si>
  <si>
    <t>EGFR tyrosine kinase inhibitor resistance</t>
  </si>
  <si>
    <t>Human Diseases</t>
  </si>
  <si>
    <t>Drug resistance: antineoplastic</t>
  </si>
  <si>
    <t>circRNA_0447|Chr1:200606971_200615170_-(Fgfr2);circRNA_0647|Chr1:251455609_251485480_+(Pten);circRNA_2562|Chr16:63915078_63933482_+(Nrg1);circRNA_3670|Chr2:189226433_189230967_-(Il6r);</t>
  </si>
  <si>
    <t>rno01524</t>
  </si>
  <si>
    <t>Platinum drug resistance</t>
  </si>
  <si>
    <t>circRNA_0038|Chr1:15545013_15551204_+(Map3k5);circRNA_3738|Chr2:210723584_210806489_-(Gstm7);circRNA_3744|Chr2:210806416_210806638_+(Gstm1);circRNA_3745|Chr2:210808354_210822401_-(Gstm1);circRNA_5526|Chr6:11219826_11221789_-(Msh2);</t>
  </si>
  <si>
    <t>rno02010</t>
  </si>
  <si>
    <t>ABC transporters</t>
  </si>
  <si>
    <t>Environmental Information Processing</t>
  </si>
  <si>
    <t>Membrane transport</t>
  </si>
  <si>
    <t>circRNA_3773|Chr2:225348168_225352508_-(Abcd3);</t>
  </si>
  <si>
    <t>rno03008</t>
  </si>
  <si>
    <t>Ribosome biogenesis in eukaryotes</t>
  </si>
  <si>
    <t>Genetic Information Processing</t>
  </si>
  <si>
    <t>Translation</t>
  </si>
  <si>
    <t>circRNA_5775|Chr6:108797786_108802113_+(Fcf1);</t>
  </si>
  <si>
    <t>rno03013</t>
  </si>
  <si>
    <t>RNA transport</t>
  </si>
  <si>
    <t>circRNA_0432|Chr1:197981834_197983786_-(Eif3c);circRNA_0433|Chr1:197981834_197983858_-(Eif3c);circRNA_1447|Chr11:81375744_81376852_-(Eif4a2);circRNA_2766|Chr17:76245627_76265943_-(Upf2);circRNA_2768|Chr17:76260636_76265943_-(Upf2);circRNA_4062|Chr3:8887351_8892631_+(Nup188);circRNA_5413|Chr5:156506448_156517254_+(Eif4g3);</t>
  </si>
  <si>
    <t>rno03015</t>
  </si>
  <si>
    <t>mRNA surveillance pathway</t>
  </si>
  <si>
    <t>circRNA_2766|Chr17:76245627_76265943_-(Upf2);circRNA_2768|Chr17:76260636_76265943_-(Upf2);circRNA_5059|Chr5:48695038_48698976_+(Rngtt);circRNA_5840|Chr6:129621583_129636485_+(Papola);circRNA_5844|Chr6:129641475_129660096_+(Papola);</t>
  </si>
  <si>
    <t>rno03018</t>
  </si>
  <si>
    <t>RNA degradation</t>
  </si>
  <si>
    <t>Folding, sorting and degradation</t>
  </si>
  <si>
    <t>circRNA_4735|Chr4:87017858_87018778_-(Lsm5);</t>
  </si>
  <si>
    <t>rno03040</t>
  </si>
  <si>
    <t>Spliceosome</t>
  </si>
  <si>
    <t>Transcription</t>
  </si>
  <si>
    <t>circRNA_3885|Chr20:4896892_4921063_-(Hspa1l);circRNA_4009|Chr20:48555348_48561987_+(Cdc40);circRNA_4735|Chr4:87017858_87018778_-(Lsm5);</t>
  </si>
  <si>
    <t>rno03060</t>
  </si>
  <si>
    <t>Protein export</t>
  </si>
  <si>
    <t>circRNA_5687|Chr6:76020953_76031336_+(Srp54a);</t>
  </si>
  <si>
    <t>rno03320</t>
  </si>
  <si>
    <t>PPAR signaling pathway</t>
  </si>
  <si>
    <t>Organismal Systems</t>
  </si>
  <si>
    <t>Endocrine system</t>
  </si>
  <si>
    <t>circRNA_0576|Chr1:226119298_226139368_-(Fads2);circRNA_0716|Chr1:259479327_259489683_-(Sorbs1);circRNA_0734|Chr1:264001511_264066989_+(Scd2);circRNA_6574|Chr8:94283953_94292111_-(Me1);</t>
  </si>
  <si>
    <t>rno03430</t>
  </si>
  <si>
    <t>Mismatch repair</t>
  </si>
  <si>
    <t>Replication and repair</t>
  </si>
  <si>
    <t>circRNA_5526|Chr6:11219826_11221789_-(Msh2);</t>
  </si>
  <si>
    <t>rno03440</t>
  </si>
  <si>
    <t>Homologous recombination</t>
  </si>
  <si>
    <t>circRNA_5752|Chr6:102510293_102512499_+(Rad51b);circRNA_6934|Chr9:78341845_78350281_-(Bard1);</t>
  </si>
  <si>
    <t>rno04010</t>
  </si>
  <si>
    <t>MAPK signaling pathway</t>
  </si>
  <si>
    <t>Signal transduction</t>
  </si>
  <si>
    <t>circRNA_0038|Chr1:15545013_15551204_+(Map3k5);circRNA_0447|Chr1:200606971_200615170_-(Fgfr2);circRNA_3203|Chr19:38057557_38062193_+(Nfatc3);circRNA_3733|Chr2:208198684_208203924_-(Rap1a);circRNA_3885|Chr20:4896892_4921063_-(Hspa1l);circRNA_4863|Chr4:151118221_151123637_-(Cacna1c);circRNA_5806|Chr6:124625936_124680274_-(Rps6ka5);</t>
  </si>
  <si>
    <t>rno04012</t>
  </si>
  <si>
    <t>ErbB signaling pathway</t>
  </si>
  <si>
    <t>circRNA_2562|Chr16:63915078_63933482_+(Nrg1);</t>
  </si>
  <si>
    <t>rno04014</t>
  </si>
  <si>
    <t>Ras signaling pathway</t>
  </si>
  <si>
    <t>circRNA_0447|Chr1:200606971_200615170_-(Fgfr2);circRNA_0761|Chr1:274688579_274718538_+(Shoc2);circRNA_0763|Chr1:274700623_274701534_+(Shoc2);circRNA_3514|Chr2:113744312_113745181_+(Pld1);circRNA_3733|Chr2:208198684_208203924_-(Rap1a);</t>
  </si>
  <si>
    <t>rno04015</t>
  </si>
  <si>
    <t>Rap1 signaling pathway</t>
  </si>
  <si>
    <t>circRNA_0447|Chr1:200606971_200615170_-(Fgfr2);circRNA_0591|Chr1:233578229_233581182_+(Gnaq);circRNA_1547|Chr12:13717791_13718009_-(Actb);circRNA_3283|Chr19:61714402_61714542_+(Itgb1);circRNA_3733|Chr2:208198684_208203924_-(Rap1a);circRNA_5662|Chr6:60609626_60618957_+(Dock4);</t>
  </si>
  <si>
    <t>rno04020</t>
  </si>
  <si>
    <t>Calcium signaling pathway</t>
  </si>
  <si>
    <t>circRNA_0591|Chr1:233578229_233581182_+(Gnaq);circRNA_4863|Chr4:151118221_151123637_-(Cacna1c);circRNA_4948|Chr4:180711145_180722357_-(Itpr2);circRNA_5986|Chr7:41167312_41167751_+(Atp2b1);circRNA_5987|Chr7:41167312_41178782_+(Atp2b1);</t>
  </si>
  <si>
    <t>rno04022</t>
  </si>
  <si>
    <t>cGMP - PKG signaling pathway</t>
  </si>
  <si>
    <t>circRNA_0233|Chr1:128239552_128243030_-(Mef2a);circRNA_0591|Chr1:233578229_233581182_+(Gnaq);circRNA_3203|Chr19:38057557_38062193_+(Nfatc3);circRNA_4669|Chr4:64894605_64899587_-(Creb3l2);circRNA_4863|Chr4:151118221_151123637_-(Cacna1c);circRNA_4948|Chr4:180711145_180722357_-(Itpr2);circRNA_5986|Chr7:41167312_41167751_+(Atp2b1);circRNA_5987|Chr7:41167312_41178782_+(Atp2b1);circRNA_6001|Chr7:51425330_51432888_-(Ppp1r12a);</t>
  </si>
  <si>
    <t>rno04024</t>
  </si>
  <si>
    <t>cAMP signaling pathway</t>
  </si>
  <si>
    <t>circRNA_3514|Chr2:113744312_113745181_+(Pld1);circRNA_3733|Chr2:208198684_208203924_-(Rap1a);circRNA_4669|Chr4:64894605_64899587_-(Creb3l2);circRNA_4863|Chr4:151118221_151123637_-(Cacna1c);circRNA_5986|Chr7:41167312_41167751_+(Atp2b1);circRNA_5987|Chr7:41167312_41178782_+(Atp2b1);circRNA_6001|Chr7:51425330_51432888_-(Ppp1r12a);</t>
  </si>
  <si>
    <t>rno04060</t>
  </si>
  <si>
    <t>Cytokine-cytokine receptor interaction</t>
  </si>
  <si>
    <t>Signaling molecules and interaction</t>
  </si>
  <si>
    <t>circRNA_3670|Chr2:189226433_189230967_-(Il6r);</t>
  </si>
  <si>
    <t>rno04062</t>
  </si>
  <si>
    <t>Chemokine signaling pathway</t>
  </si>
  <si>
    <t>Immune system</t>
  </si>
  <si>
    <t>circRNA_3733|Chr2:208198684_208203924_-(Rap1a);</t>
  </si>
  <si>
    <t>rno04066</t>
  </si>
  <si>
    <t>HIF-1 signaling pathway</t>
  </si>
  <si>
    <t>rno04068</t>
  </si>
  <si>
    <t>FoxO signaling pathway</t>
  </si>
  <si>
    <t>circRNA_0647|Chr1:251455609_251485480_+(Pten);circRNA_3057|Chr18:72593000_72595275_+(Smad2);</t>
  </si>
  <si>
    <t>rno04070</t>
  </si>
  <si>
    <t>Phosphatidylinositol signaling system</t>
  </si>
  <si>
    <t>circRNA_0647|Chr1:251455609_251485480_+(Pten);circRNA_1955|Chr14:9421418_9440942_-(Cds1);circRNA_2831|Chr18:301858_306376_-(Mtmr1);circRNA_3930|Chr20:18467660_18474832_-(Ipmk);circRNA_4948|Chr4:180711145_180722357_-(Itpr2);circRNA_6917|Chr9:71915420_71927987_+(Pikfyve);circRNA_6919|Chr9:71920586_71955010_+(Pikfyve);</t>
  </si>
  <si>
    <t>rno04071</t>
  </si>
  <si>
    <t>Sphingolipid signaling pathway</t>
  </si>
  <si>
    <t>circRNA_0038|Chr1:15545013_15551204_+(Map3k5);circRNA_0591|Chr1:233578229_233581182_+(Gnaq);circRNA_0647|Chr1:251455609_251485480_+(Pten);circRNA_3514|Chr2:113744312_113745181_+(Pld1);</t>
  </si>
  <si>
    <t>rno04072</t>
  </si>
  <si>
    <t>Phospholipase D signaling pathway</t>
  </si>
  <si>
    <t>circRNA_3514|Chr2:113744312_113745181_+(Pld1);</t>
  </si>
  <si>
    <t>rno04110</t>
  </si>
  <si>
    <t>Cell cycle</t>
  </si>
  <si>
    <t>Cellular Processes</t>
  </si>
  <si>
    <t>Cell growth and death</t>
  </si>
  <si>
    <t>circRNA_3057|Chr18:72593000_72595275_+(Smad2);</t>
  </si>
  <si>
    <t>rno04114</t>
  </si>
  <si>
    <t>Oocyte meiosis</t>
  </si>
  <si>
    <t>circRNA_4948|Chr4:180711145_180722357_-(Itpr2);</t>
  </si>
  <si>
    <t>rno04115</t>
  </si>
  <si>
    <t>p53 signaling pathway</t>
  </si>
  <si>
    <t>circRNA_0647|Chr1:251455609_251485480_+(Pten);</t>
  </si>
  <si>
    <t>rno04120</t>
  </si>
  <si>
    <t>Ubiquitin mediated proteolysis</t>
  </si>
  <si>
    <t>circRNA_3216|Chr19:39543248_39545672_+(Wwp2);circRNA_3621|Chr2:184309074_184309661_-(Fbxw7);circRNA_6107|Chr7:76837537_76845975_-(Ubr5);</t>
  </si>
  <si>
    <t>rno04140</t>
  </si>
  <si>
    <t>Autophagy - animal</t>
  </si>
  <si>
    <t>Transport and catabolism</t>
  </si>
  <si>
    <t>rno04141</t>
  </si>
  <si>
    <t>Protein processing in endoplasmic reticulum</t>
  </si>
  <si>
    <t>circRNA_0038|Chr1:15545013_15551204_+(Map3k5);circRNA_3792|Chr2:230311167_230317038_-(Sec24b);circRNA_3885|Chr20:4896892_4921063_-(Hspa1l);</t>
  </si>
  <si>
    <t>rno04142</t>
  </si>
  <si>
    <t>Lysosome</t>
  </si>
  <si>
    <t>circRNA_3332|Chr2:24067948_24083767_+(Ap3b1);circRNA_5380|Chr5:149062724_149065190_+(Laptm5);</t>
  </si>
  <si>
    <t>rno04144</t>
  </si>
  <si>
    <t>Endocytosis</t>
  </si>
  <si>
    <t>circRNA_0447|Chr1:200606971_200615170_-(Fgfr2);circRNA_2726|Chr17:54209230_54209739_+(Kif5b);circRNA_3057|Chr18:72593000_72595275_+(Smad2);circRNA_3514|Chr2:113744312_113745181_+(Pld1);circRNA_3885|Chr20:4896892_4921063_-(Hspa1l);circRNA_5414|Chr5:157690578_157712883_+(Capzb);circRNA_6241|Chr7:140415223_140417547_-(Arf3);circRNA_6242|Chr7:140415833_140417547_-(Arf3);circRNA_6781|Chr9:30155195_30155808_+(Smap1);circRNA_6987|Chr9:96746440_96751314_+(Agap1);</t>
  </si>
  <si>
    <t>rno04145</t>
  </si>
  <si>
    <t>Phagosome</t>
  </si>
  <si>
    <t>circRNA_1547|Chr12:13717791_13718009_-(Actb);circRNA_3283|Chr19:61714402_61714542_+(Itgb1);circRNA_3876|Chr20:4095939_4118506_+(RT1-Db1);circRNA_6917|Chr9:71915420_71927987_+(Pikfyve);circRNA_6919|Chr9:71920586_71955010_+(Pikfyve);</t>
  </si>
  <si>
    <t>rno04146</t>
  </si>
  <si>
    <t>Peroxisome</t>
  </si>
  <si>
    <t>circRNA_3773|Chr2:225348168_225352508_-(Abcd3);circRNA_4561|Chr4:22084945_22091386_+(Crot);</t>
  </si>
  <si>
    <t>rno04150</t>
  </si>
  <si>
    <t>mTOR signaling pathway</t>
  </si>
  <si>
    <t>circRNA_0647|Chr1:251455609_251485480_+(Pten);circRNA_5617|Chr6:41822551_41830656_-(Lpin1);</t>
  </si>
  <si>
    <t>rno04151</t>
  </si>
  <si>
    <t>PI3K-Akt signaling pathway</t>
  </si>
  <si>
    <t>circRNA_0447|Chr1:200606971_200615170_-(Fgfr2);circRNA_0647|Chr1:251455609_251485480_+(Pten);circRNA_1147|Chr10:82752455_82752793_+(Col1a1);circRNA_1818|Chr13:77863217_77865781_-(Tnn);circRNA_3283|Chr19:61714402_61714542_+(Itgb1);circRNA_3670|Chr2:189226433_189230967_-(Il6r);circRNA_3914|Chr20:12666784_12667523_+(Col6a1);circRNA_4669|Chr4:64894605_64899587_-(Creb3l2);circRNA_6935|Chr9:78911759_78911926_+(Fn1);circRNA_6937|Chr9:78945266_78947892_-(Fn1);</t>
  </si>
  <si>
    <t>rno04152</t>
  </si>
  <si>
    <t>AMPK signaling pathway</t>
  </si>
  <si>
    <t>circRNA_0734|Chr1:264001511_264066989_+(Scd2);circRNA_4669|Chr4:64894605_64899587_-(Creb3l2);</t>
  </si>
  <si>
    <t>rno04210</t>
  </si>
  <si>
    <t>Apoptosis</t>
  </si>
  <si>
    <t>circRNA_0038|Chr1:15545013_15551204_+(Map3k5);circRNA_1547|Chr12:13717791_13718009_-(Actb);circRNA_2275|Chr15:36823412_36828644_+(Parp4);circRNA_2985|Chr18:51805551_51807909_+(Lmnb1);circRNA_4948|Chr4:180711145_180722357_-(Itpr2);</t>
  </si>
  <si>
    <t>rno04211</t>
  </si>
  <si>
    <t>Longevity regulating pathway - mammal</t>
  </si>
  <si>
    <t>Aging</t>
  </si>
  <si>
    <t>circRNA_4669|Chr4:64894605_64899587_-(Creb3l2);</t>
  </si>
  <si>
    <t>rno04213</t>
  </si>
  <si>
    <t>Longevity regulating pathway - multiple species</t>
  </si>
  <si>
    <t>circRNA_3885|Chr20:4896892_4921063_-(Hspa1l);</t>
  </si>
  <si>
    <t>rno04217</t>
  </si>
  <si>
    <t>Necroptosis</t>
  </si>
  <si>
    <t>circRNA_2275|Chr15:36823412_36828644_+(Parp4);</t>
  </si>
  <si>
    <t>rno04218</t>
  </si>
  <si>
    <t>Cellular senescence</t>
  </si>
  <si>
    <t>circRNA_0647|Chr1:251455609_251485480_+(Pten);circRNA_1957|Chr14:10786399_10787114_+(Lin54);circRNA_1959|Chr14:10786399_10794860_+(Lin54);circRNA_3057|Chr18:72593000_72595275_+(Smad2);circRNA_3203|Chr19:38057557_38062193_+(Nfatc3);circRNA_4697|Chr4:66567829_66568912_-(Hipk2);circRNA_4948|Chr4:180711145_180722357_-(Itpr2);</t>
  </si>
  <si>
    <t>rno04260</t>
  </si>
  <si>
    <t>Cardiac muscle contraction</t>
  </si>
  <si>
    <t>Circulatory system</t>
  </si>
  <si>
    <t>circRNA_1738|Chr13:52667988_52673721_+(Tnnt2);circRNA_4863|Chr4:151118221_151123637_-(Cacna1c);</t>
  </si>
  <si>
    <t>rno04261</t>
  </si>
  <si>
    <t>Adrenergic signaling in cardiomyocytes</t>
  </si>
  <si>
    <t>circRNA_0591|Chr1:233578229_233581182_+(Gnaq);circRNA_1738|Chr13:52667988_52673721_+(Tnnt2);circRNA_4669|Chr4:64894605_64899587_-(Creb3l2);circRNA_4863|Chr4:151118221_151123637_-(Cacna1c);circRNA_5806|Chr6:124625936_124680274_-(Rps6ka5);circRNA_5986|Chr7:41167312_41167751_+(Atp2b1);circRNA_5987|Chr7:41167312_41178782_+(Atp2b1);</t>
  </si>
  <si>
    <t>rno04270</t>
  </si>
  <si>
    <t>Vascular smooth muscle contraction</t>
  </si>
  <si>
    <t>circRNA_0591|Chr1:233578229_233581182_+(Gnaq);circRNA_0649|Chr1:252537818_252539458_-(Acta2);circRNA_0650|Chr1:252537894_252539495_+(Acta2);circRNA_4658|Chr4:62270233_62272586_+(Cald1);circRNA_4776|Chr4:115221467_115224878_-(Actg2);circRNA_4863|Chr4:151118221_151123637_-(Cacna1c);circRNA_4948|Chr4:180711145_180722357_-(Itpr2);circRNA_6001|Chr7:51425330_51432888_-(Ppp1r12a);</t>
  </si>
  <si>
    <t>rno04310</t>
  </si>
  <si>
    <t>Wnt signaling pathway</t>
  </si>
  <si>
    <t>circRNA_3203|Chr19:38057557_38062193_+(Nfatc3);</t>
  </si>
  <si>
    <t>rno04330</t>
  </si>
  <si>
    <t>Notch signaling pathway</t>
  </si>
  <si>
    <t>circRNA_6169|Chr7:119987740_119990307_-(Mfng);circRNA_6275|Chr8:12160079_12161683_+(Maml2);</t>
  </si>
  <si>
    <t>rno04340</t>
  </si>
  <si>
    <t>Hedgehog signaling pathway</t>
  </si>
  <si>
    <t>circRNA_1270|Chr10:110157631_110164041_-(Csnk1d);</t>
  </si>
  <si>
    <t>rno04350</t>
  </si>
  <si>
    <t>TGF-beta signaling pathway</t>
  </si>
  <si>
    <t>circRNA_3057|Chr18:72593000_72595275_+(Smad2);circRNA_3152|Chr19:32214551_32215127_+(Smad1);</t>
  </si>
  <si>
    <t>rno04360</t>
  </si>
  <si>
    <t>Axon guidance</t>
  </si>
  <si>
    <t>Development and regeneration</t>
  </si>
  <si>
    <t>circRNA_1029|Chr10:62751173_62767418_-(Ssh2);circRNA_1288|Chr11:10020678_10022991_+(Robo1);circRNA_1878|Chr13:100347405_100353039_-(Enah);circRNA_3203|Chr19:38057557_38062193_+(Nfatc3);circRNA_3283|Chr19:61714402_61714542_+(Itgb1);circRNA_6046|Chr7:64125692_64131186_-(Srgap1);</t>
  </si>
  <si>
    <t>rno04371</t>
  </si>
  <si>
    <t>Apelin signaling pathway</t>
  </si>
  <si>
    <t>circRNA_0233|Chr1:128239552_128243030_-(Mef2a);circRNA_0591|Chr1:233578229_233581182_+(Gnaq);circRNA_0649|Chr1:252537818_252539458_-(Acta2);circRNA_0650|Chr1:252537894_252539495_+(Acta2);circRNA_3057|Chr18:72593000_72595275_+(Smad2);circRNA_4948|Chr4:180711145_180722357_-(Itpr2);</t>
  </si>
  <si>
    <t>rno04380</t>
  </si>
  <si>
    <t>Osteoclast differentiation</t>
  </si>
  <si>
    <t>circRNA_0125|Chr1:63842808_63920657_+(Lilrb3l);circRNA_4346|Chr3:122130941_122141403_+(Sirpa);</t>
  </si>
  <si>
    <t>rno04390</t>
  </si>
  <si>
    <t>Hippo signaling pathway</t>
  </si>
  <si>
    <t>circRNA_0375|Chr1:177651557_177654228_+(Tead1);circRNA_1270|Chr10:110157631_110164041_-(Csnk1d);circRNA_1547|Chr12:13717791_13718009_-(Actb);circRNA_3057|Chr18:72593000_72595275_+(Smad2);circRNA_3152|Chr19:32214551_32215127_+(Smad1);</t>
  </si>
  <si>
    <t>rno04392</t>
  </si>
  <si>
    <t>Hippo signaling pathway - multiple species</t>
  </si>
  <si>
    <t>circRNA_0375|Chr1:177651557_177654228_+(Tead1);</t>
  </si>
  <si>
    <t>rno04510</t>
  </si>
  <si>
    <t>Focal adhesion</t>
  </si>
  <si>
    <t>Cellular community - eukaryotes</t>
  </si>
  <si>
    <t>circRNA_0647|Chr1:251455609_251485480_+(Pten);circRNA_1147|Chr10:82752455_82752793_+(Col1a1);circRNA_1547|Chr12:13717791_13718009_-(Actb);circRNA_1818|Chr13:77863217_77865781_-(Tnn);circRNA_3283|Chr19:61714402_61714542_+(Itgb1);circRNA_3733|Chr2:208198684_208203924_-(Rap1a);circRNA_3914|Chr20:12666784_12667523_+(Col6a1);circRNA_6001|Chr7:51425330_51432888_-(Ppp1r12a);circRNA_6935|Chr9:78911759_78911926_+(Fn1);circRNA_6937|Chr9:78945266_78947892_-(Fn1);circRNA_7047|Chr9:119309035_119311107_-(Myl12b);</t>
  </si>
  <si>
    <t>rno04512</t>
  </si>
  <si>
    <t>ECM-receptor interaction</t>
  </si>
  <si>
    <t>circRNA_1147|Chr10:82752455_82752793_+(Col1a1);circRNA_1818|Chr13:77863217_77865781_-(Tnn);circRNA_3283|Chr19:61714402_61714542_+(Itgb1);circRNA_3914|Chr20:12666784_12667523_+(Col6a1);circRNA_6935|Chr9:78911759_78911926_+(Fn1);circRNA_6937|Chr9:78945266_78947892_-(Fn1);</t>
  </si>
  <si>
    <t>rno04514</t>
  </si>
  <si>
    <t>Cell adhesion molecules (CAMs)</t>
  </si>
  <si>
    <t>circRNA_3283|Chr19:61714402_61714542_+(Itgb1);circRNA_3373|Chr2:30564530_30566431_-(Ocln);circRNA_3876|Chr20:4095939_4118506_+(RT1-Db1);</t>
  </si>
  <si>
    <t>rno04520</t>
  </si>
  <si>
    <t>Adherens junction</t>
  </si>
  <si>
    <t>circRNA_0716|Chr1:259479327_259489683_-(Sorbs1);circRNA_1547|Chr12:13717791_13718009_-(Actb);circRNA_3057|Chr18:72593000_72595275_+(Smad2);</t>
  </si>
  <si>
    <t>rno04530</t>
  </si>
  <si>
    <t>Tight junction</t>
  </si>
  <si>
    <t>circRNA_0038|Chr1:15545013_15551204_+(Map3k5);circRNA_1547|Chr12:13717791_13718009_-(Actb);circRNA_3283|Chr19:61714402_61714542_+(Itgb1);circRNA_3373|Chr2:30564530_30566431_-(Ocln);circRNA_3733|Chr2:208198684_208203924_-(Rap1a);circRNA_7047|Chr9:119309035_119311107_-(Myl12b);</t>
  </si>
  <si>
    <t>rno04540</t>
  </si>
  <si>
    <t>Gap junction</t>
  </si>
  <si>
    <t>circRNA_0591|Chr1:233578229_233581182_+(Gnaq);circRNA_1270|Chr10:110157631_110164041_-(Csnk1d);circRNA_4948|Chr4:180711145_180722357_-(Itpr2);</t>
  </si>
  <si>
    <t>rno04550</t>
  </si>
  <si>
    <t>Signaling pathways regulating pluripotency of stem cells</t>
  </si>
  <si>
    <t>circRNA_0447|Chr1:200606971_200615170_-(Fgfr2);circRNA_3057|Chr18:72593000_72595275_+(Smad2);circRNA_3152|Chr19:32214551_32215127_+(Smad1);circRNA_3223|Chr19:42856166_42920390_-(Zfhx3);circRNA_3225|Chr19:42917629_42920390_-(Zfhx3);</t>
  </si>
  <si>
    <t>rno04611</t>
  </si>
  <si>
    <t>Platelet activation</t>
  </si>
  <si>
    <t>circRNA_0591|Chr1:233578229_233581182_+(Gnaq);circRNA_1147|Chr10:82752455_82752793_+(Col1a1);circRNA_1547|Chr12:13717791_13718009_-(Actb);circRNA_3283|Chr19:61714402_61714542_+(Itgb1);circRNA_3733|Chr2:208198684_208203924_-(Rap1a);circRNA_4948|Chr4:180711145_180722357_-(Itpr2);circRNA_6001|Chr7:51425330_51432888_-(Ppp1r12a);circRNA_6825|Chr9:52043678_52045132_+(Col3a1);circRNA_6827|Chr9:52047552_52047844_+(Col3a1);circRNA_6828|Chr9:52047552_52048745_+(Col3a1);circRNA_6830|Chr9:52048089_52048881_+(Col3a1);circRNA_7047|Chr9:119309035_119311107_-(Myl12b);</t>
  </si>
  <si>
    <t>rno04612</t>
  </si>
  <si>
    <t>Antigen processing and presentation</t>
  </si>
  <si>
    <t>circRNA_3876|Chr20:4095939_4118506_+(RT1-Db1);circRNA_3885|Chr20:4896892_4921063_-(Hspa1l);</t>
  </si>
  <si>
    <t>rno04621</t>
  </si>
  <si>
    <t>NOD-like receptor signaling pathway</t>
  </si>
  <si>
    <t>circRNA_3367|Chr2:30384653_30433774_-(Naip6);circRNA_4948|Chr4:180711145_180722357_-(Itpr2);</t>
  </si>
  <si>
    <t>rno04625</t>
  </si>
  <si>
    <t>C-type lectin receptor signaling pathway</t>
  </si>
  <si>
    <t>circRNA_3203|Chr19:38057557_38062193_+(Nfatc3);circRNA_4948|Chr4:180711145_180722357_-(Itpr2);</t>
  </si>
  <si>
    <t>rno04630</t>
  </si>
  <si>
    <t>Jak-STAT signaling pathway</t>
  </si>
  <si>
    <t>rno04640</t>
  </si>
  <si>
    <t>Hematopoietic cell lineage</t>
  </si>
  <si>
    <t>circRNA_3670|Chr2:189226433_189230967_-(Il6r);circRNA_3876|Chr20:4095939_4118506_+(RT1-Db1);</t>
  </si>
  <si>
    <t>rno04658</t>
  </si>
  <si>
    <t>Th1 and Th2 cell differentiation</t>
  </si>
  <si>
    <t>circRNA_3203|Chr19:38057557_38062193_+(Nfatc3);circRNA_3876|Chr20:4095939_4118506_+(RT1-Db1);circRNA_6275|Chr8:12160079_12161683_+(Maml2);</t>
  </si>
  <si>
    <t>rno04659</t>
  </si>
  <si>
    <t>Th17 cell differentiation</t>
  </si>
  <si>
    <t>circRNA_3057|Chr18:72593000_72595275_+(Smad2);circRNA_3203|Chr19:38057557_38062193_+(Nfatc3);circRNA_3670|Chr2:189226433_189230967_-(Il6r);circRNA_3876|Chr20:4095939_4118506_+(RT1-Db1);</t>
  </si>
  <si>
    <t>rno04660</t>
  </si>
  <si>
    <t>T cell receptor signaling pathway</t>
  </si>
  <si>
    <t>rno04662</t>
  </si>
  <si>
    <t>B cell receptor signaling pathway</t>
  </si>
  <si>
    <t>rno04666</t>
  </si>
  <si>
    <t>Fc gamma R-mediated phagocytosis</t>
  </si>
  <si>
    <t>rno04668</t>
  </si>
  <si>
    <t>TNF signaling pathway</t>
  </si>
  <si>
    <t>circRNA_0038|Chr1:15545013_15551204_+(Map3k5);circRNA_4669|Chr4:64894605_64899587_-(Creb3l2);circRNA_5806|Chr6:124625936_124680274_-(Rps6ka5);</t>
  </si>
  <si>
    <t>rno04670</t>
  </si>
  <si>
    <t>Leukocyte transendothelial migration</t>
  </si>
  <si>
    <t>circRNA_1547|Chr12:13717791_13718009_-(Actb);circRNA_3283|Chr19:61714402_61714542_+(Itgb1);circRNA_3373|Chr2:30564530_30566431_-(Ocln);circRNA_3733|Chr2:208198684_208203924_-(Rap1a);circRNA_7047|Chr9:119309035_119311107_-(Myl12b);</t>
  </si>
  <si>
    <t>rno04710</t>
  </si>
  <si>
    <t>Circadian rhythm</t>
  </si>
  <si>
    <t>Environmental adaptation</t>
  </si>
  <si>
    <t>rno04713</t>
  </si>
  <si>
    <t>Circadian entrainment</t>
  </si>
  <si>
    <t>circRNA_0591|Chr1:233578229_233581182_+(Gnaq);circRNA_4863|Chr4:151118221_151123637_-(Cacna1c);circRNA_5806|Chr6:124625936_124680274_-(Rps6ka5);</t>
  </si>
  <si>
    <t>rno04714</t>
  </si>
  <si>
    <t>Thermogenesis</t>
  </si>
  <si>
    <t>circRNA_0038|Chr1:15545013_15551204_+(Map3k5);circRNA_1547|Chr12:13717791_13718009_-(Actb);circRNA_3087|Chr18:79813606_79815529_+(Zfp516);circRNA_4669|Chr4:64894605_64899587_-(Creb3l2);</t>
  </si>
  <si>
    <t>rno04720</t>
  </si>
  <si>
    <t>Long-term potentiation</t>
  </si>
  <si>
    <t>Nervous system</t>
  </si>
  <si>
    <t>circRNA_0591|Chr1:233578229_233581182_+(Gnaq);circRNA_3733|Chr2:208198684_208203924_-(Rap1a);circRNA_4863|Chr4:151118221_151123637_-(Cacna1c);circRNA_4948|Chr4:180711145_180722357_-(Itpr2);</t>
  </si>
  <si>
    <t>rno04722</t>
  </si>
  <si>
    <t>Neurotrophin signaling pathway</t>
  </si>
  <si>
    <t>circRNA_0038|Chr1:15545013_15551204_+(Map3k5);circRNA_1265|Chr10:109754865_109755050_+(Arhgdia);circRNA_1266|Chr10:109754888_109755050_+(Arhgdia);circRNA_1267|Chr10:109754906_109755050_+(Arhgdia);circRNA_3733|Chr2:208198684_208203924_-(Rap1a);circRNA_5806|Chr6:124625936_124680274_-(Rps6ka5);</t>
  </si>
  <si>
    <t>rno04723</t>
  </si>
  <si>
    <t>Retrograde endocannabinoid signaling</t>
  </si>
  <si>
    <t>circRNA_0591|Chr1:233578229_233581182_+(Gnaq);circRNA_4863|Chr4:151118221_151123637_-(Cacna1c);circRNA_4948|Chr4:180711145_180722357_-(Itpr2);</t>
  </si>
  <si>
    <t>rno04724</t>
  </si>
  <si>
    <t>Glutamatergic synapse</t>
  </si>
  <si>
    <t>circRNA_0591|Chr1:233578229_233581182_+(Gnaq);circRNA_3514|Chr2:113744312_113745181_+(Pld1);circRNA_4863|Chr4:151118221_151123637_-(Cacna1c);circRNA_4948|Chr4:180711145_180722357_-(Itpr2);circRNA_6219|Chr7:130522030_130524289_+(Shank3);</t>
  </si>
  <si>
    <t>rno04725</t>
  </si>
  <si>
    <t>Cholinergic synapse</t>
  </si>
  <si>
    <t>circRNA_0591|Chr1:233578229_233581182_+(Gnaq);circRNA_4669|Chr4:64894605_64899587_-(Creb3l2);circRNA_4863|Chr4:151118221_151123637_-(Cacna1c);circRNA_4948|Chr4:180711145_180722357_-(Itpr2);</t>
  </si>
  <si>
    <t>rno04726</t>
  </si>
  <si>
    <t>Serotonergic synapse</t>
  </si>
  <si>
    <t>circRNA_0591|Chr1:233578229_233581182_+(Gnaq);circRNA_4863|Chr4:151118221_151123637_-(Cacna1c);circRNA_4948|Chr4:180711145_180722357_-(Itpr2);circRNA_5223|Chr5:115146569_115199307_-(Cyp2j3);</t>
  </si>
  <si>
    <t>rno04727</t>
  </si>
  <si>
    <t>GABAergic synapse</t>
  </si>
  <si>
    <t>circRNA_4863|Chr4:151118221_151123637_-(Cacna1c);</t>
  </si>
  <si>
    <t>rno04728</t>
  </si>
  <si>
    <t>Dopaminergic synapse</t>
  </si>
  <si>
    <t>circRNA_0591|Chr1:233578229_233581182_+(Gnaq);circRNA_2726|Chr17:54209230_54209739_+(Kif5b);circRNA_4669|Chr4:64894605_64899587_-(Creb3l2);circRNA_4863|Chr4:151118221_151123637_-(Cacna1c);circRNA_4948|Chr4:180711145_180722357_-(Itpr2);</t>
  </si>
  <si>
    <t>rno04730</t>
  </si>
  <si>
    <t>Long-term depression</t>
  </si>
  <si>
    <t>circRNA_0591|Chr1:233578229_233581182_+(Gnaq);circRNA_4948|Chr4:180711145_180722357_-(Itpr2);</t>
  </si>
  <si>
    <t>rno04742</t>
  </si>
  <si>
    <t>Taste transduction</t>
  </si>
  <si>
    <t>Sensory system</t>
  </si>
  <si>
    <t>rno04750</t>
  </si>
  <si>
    <t>Inflammatory mediator regulation of TRP channels</t>
  </si>
  <si>
    <t>circRNA_0591|Chr1:233578229_233581182_+(Gnaq);circRNA_4948|Chr4:180711145_180722357_-(Itpr2);circRNA_5223|Chr5:115146569_115199307_-(Cyp2j3);</t>
  </si>
  <si>
    <t>rno04810</t>
  </si>
  <si>
    <t>Regulation of actin cytoskeleton</t>
  </si>
  <si>
    <t>Cell motility</t>
  </si>
  <si>
    <t>circRNA_0447|Chr1:200606971_200615170_-(Fgfr2);circRNA_1029|Chr10:62751173_62767418_-(Ssh2);circRNA_1547|Chr12:13717791_13718009_-(Actb);circRNA_1878|Chr13:100347405_100353039_-(Enah);circRNA_2304|Chr15:41008529_41011344_+(Spata13);circRNA_2375|Chr15:70077466_70105489_-(Diaph3);circRNA_2377|Chr15:70098761_70105489_-(Diaph3);circRNA_2378|Chr15:70098761_70139170_-(Diaph3);circRNA_3283|Chr19:61714402_61714542_+(Itgb1);circRNA_6001|Chr7:51425330_51432888_-(Ppp1r12a);circRNA_6894|Chr9:67242046_67257543_+(Abi2);circRNA_6917|Chr9:71915420_71927987_+(Pikfyve);circRNA_6919|Chr9:71920586_71955010_+(Pikfyve);circRNA_6935|Chr9:78911759_78911926_+(Fn1);circRNA_6937|Chr9:78945266_78947892_-(Fn1);circRNA_7047|Chr9:119309035_119311107_-(Myl12b);</t>
  </si>
  <si>
    <t>rno04910</t>
  </si>
  <si>
    <t>Insulin signaling pathway</t>
  </si>
  <si>
    <t>circRNA_0716|Chr1:259479327_259489683_-(Sorbs1);</t>
  </si>
  <si>
    <t>rno04911</t>
  </si>
  <si>
    <t>Insulin secretion</t>
  </si>
  <si>
    <t>circRNA_0591|Chr1:233578229_233581182_+(Gnaq);circRNA_4669|Chr4:64894605_64899587_-(Creb3l2);circRNA_4863|Chr4:151118221_151123637_-(Cacna1c);</t>
  </si>
  <si>
    <t>rno04912</t>
  </si>
  <si>
    <t>GnRH signaling pathway</t>
  </si>
  <si>
    <t>circRNA_0591|Chr1:233578229_233581182_+(Gnaq);circRNA_3514|Chr2:113744312_113745181_+(Pld1);circRNA_4863|Chr4:151118221_151123637_-(Cacna1c);circRNA_4948|Chr4:180711145_180722357_-(Itpr2);</t>
  </si>
  <si>
    <t>rno04913</t>
  </si>
  <si>
    <t>Ovarian Steroidogenesis</t>
  </si>
  <si>
    <t>circRNA_5223|Chr5:115146569_115199307_-(Cyp2j3);</t>
  </si>
  <si>
    <t>rno04915</t>
  </si>
  <si>
    <t>Estrogen signaling pathway</t>
  </si>
  <si>
    <t>circRNA_0591|Chr1:233578229_233581182_+(Gnaq);circRNA_1185|Chr10:88046855_88047023_+(Krt15);circRNA_3885|Chr20:4896892_4921063_-(Hspa1l);circRNA_4669|Chr4:64894605_64899587_-(Creb3l2);circRNA_4948|Chr4:180711145_180722357_-(Itpr2);</t>
  </si>
  <si>
    <t>rno04916</t>
  </si>
  <si>
    <t>Melanogenesis</t>
  </si>
  <si>
    <t>circRNA_0591|Chr1:233578229_233581182_+(Gnaq);circRNA_4669|Chr4:64894605_64899587_-(Creb3l2);</t>
  </si>
  <si>
    <t>rno04918</t>
  </si>
  <si>
    <t>Thyroid hormone synthesis</t>
  </si>
  <si>
    <t>circRNA_0591|Chr1:233578229_233581182_+(Gnaq);circRNA_4669|Chr4:64894605_64899587_-(Creb3l2);circRNA_4948|Chr4:180711145_180722357_-(Itpr2);</t>
  </si>
  <si>
    <t>rno04919</t>
  </si>
  <si>
    <t>Thyroid hormone signaling pathway</t>
  </si>
  <si>
    <t>circRNA_1547|Chr12:13717791_13718009_-(Actb);circRNA_1658|Chr12:43576497_43576734_-(Med13l);</t>
  </si>
  <si>
    <t>rno04921</t>
  </si>
  <si>
    <t>Oxytocin signaling pathway</t>
  </si>
  <si>
    <t>circRNA_0591|Chr1:233578229_233581182_+(Gnaq);circRNA_1547|Chr12:13717791_13718009_-(Actb);circRNA_3203|Chr19:38057557_38062193_+(Nfatc3);circRNA_4863|Chr4:151118221_151123637_-(Cacna1c);circRNA_4948|Chr4:180711145_180722357_-(Itpr2);circRNA_6001|Chr7:51425330_51432888_-(Ppp1r12a);</t>
  </si>
  <si>
    <t>rno04922</t>
  </si>
  <si>
    <t>Glucagon signaling pathway</t>
  </si>
  <si>
    <t>circRNA_0591|Chr1:233578229_233581182_+(Gnaq);circRNA_0722|Chr1:261165387_261165588_-(Pgam1);circRNA_4669|Chr4:64894605_64899587_-(Creb3l2);circRNA_4948|Chr4:180711145_180722357_-(Itpr2);</t>
  </si>
  <si>
    <t>rno04924</t>
  </si>
  <si>
    <t>Renin secretion</t>
  </si>
  <si>
    <t>rno04925</t>
  </si>
  <si>
    <t>Aldosterone synthesis and secretion</t>
  </si>
  <si>
    <t>circRNA_0591|Chr1:233578229_233581182_+(Gnaq);circRNA_4669|Chr4:64894605_64899587_-(Creb3l2);circRNA_4863|Chr4:151118221_151123637_-(Cacna1c);circRNA_4948|Chr4:180711145_180722357_-(Itpr2);circRNA_5986|Chr7:41167312_41167751_+(Atp2b1);circRNA_5987|Chr7:41167312_41178782_+(Atp2b1);</t>
  </si>
  <si>
    <t>rno04926</t>
  </si>
  <si>
    <t>Relaxin signaling pathway</t>
  </si>
  <si>
    <t>circRNA_0649|Chr1:252537818_252539458_-(Acta2);circRNA_0650|Chr1:252537894_252539495_+(Acta2);circRNA_1147|Chr10:82752455_82752793_+(Col1a1);circRNA_3057|Chr18:72593000_72595275_+(Smad2);circRNA_4669|Chr4:64894605_64899587_-(Creb3l2);circRNA_6825|Chr9:52043678_52045132_+(Col3a1);circRNA_6827|Chr9:52047552_52047844_+(Col3a1);circRNA_6828|Chr9:52047552_52048745_+(Col3a1);circRNA_6830|Chr9:52048089_52048881_+(Col3a1);</t>
  </si>
  <si>
    <t>rno04927</t>
  </si>
  <si>
    <t>Cortisol synthesis and secretion</t>
  </si>
  <si>
    <t>circRNA_0591|Chr1:233578229_233581182_+(Gnaq);circRNA_4669|Chr4:64894605_64899587_-(Creb3l2);circRNA_4863|Chr4:151118221_151123637_-(Cacna1c);circRNA_4948|Chr4:180711145_180722357_-(Itpr2);circRNA_6157|Chr7:116072198_116158807_-(Cyp11b3);</t>
  </si>
  <si>
    <t>rno04930</t>
  </si>
  <si>
    <t>Type II diabetes mellitus</t>
  </si>
  <si>
    <t>Endocrine and metabolic disease</t>
  </si>
  <si>
    <t>rno04931</t>
  </si>
  <si>
    <t>Insulin resistance</t>
  </si>
  <si>
    <t>circRNA_0647|Chr1:251455609_251485480_+(Pten);circRNA_4669|Chr4:64894605_64899587_-(Creb3l2);</t>
  </si>
  <si>
    <t>rno04932</t>
  </si>
  <si>
    <t>Non-alcoholic fatty liver disease (NAFLD)</t>
  </si>
  <si>
    <t>circRNA_0038|Chr1:15545013_15551204_+(Map3k5);circRNA_3670|Chr2:189226433_189230967_-(Il6r);</t>
  </si>
  <si>
    <t>rno04933</t>
  </si>
  <si>
    <t>AGE-RAGE signaling pathway in diabetic complications</t>
  </si>
  <si>
    <t>circRNA_1147|Chr10:82752455_82752793_+(Col1a1);circRNA_3057|Chr18:72593000_72595275_+(Smad2);circRNA_6825|Chr9:52043678_52045132_+(Col3a1);circRNA_6827|Chr9:52047552_52047844_+(Col3a1);circRNA_6828|Chr9:52047552_52048745_+(Col3a1);circRNA_6830|Chr9:52048089_52048881_+(Col3a1);circRNA_6935|Chr9:78911759_78911926_+(Fn1);circRNA_6937|Chr9:78945266_78947892_-(Fn1);</t>
  </si>
  <si>
    <t>rno04934</t>
  </si>
  <si>
    <t>Cushing's syndrome</t>
  </si>
  <si>
    <t>circRNA_0591|Chr1:233578229_233581182_+(Gnaq);circRNA_3733|Chr2:208198684_208203924_-(Rap1a);circRNA_4669|Chr4:64894605_64899587_-(Creb3l2);circRNA_4863|Chr4:151118221_151123637_-(Cacna1c);circRNA_4948|Chr4:180711145_180722357_-(Itpr2);circRNA_6157|Chr7:116072198_116158807_-(Cyp11b3);circRNA_6243|Chr7:140533891_140536242_-(Kmt2d);</t>
  </si>
  <si>
    <t>rno04940</t>
  </si>
  <si>
    <t>Type I diabetes mellitus</t>
  </si>
  <si>
    <t>circRNA_3876|Chr20:4095939_4118506_+(RT1-Db1);</t>
  </si>
  <si>
    <t>rno04961</t>
  </si>
  <si>
    <t>Endocrine and other factor-regulated calcium reabsorption</t>
  </si>
  <si>
    <t>Excretory system</t>
  </si>
  <si>
    <t>circRNA_0591|Chr1:233578229_233581182_+(Gnaq);circRNA_5986|Chr7:41167312_41167751_+(Atp2b1);circRNA_5987|Chr7:41167312_41178782_+(Atp2b1);</t>
  </si>
  <si>
    <t>rno04962</t>
  </si>
  <si>
    <t>Vasopressin-regulated water reabsorption</t>
  </si>
  <si>
    <t>circRNA_1265|Chr10:109754865_109755050_+(Arhgdia);circRNA_1266|Chr10:109754888_109755050_+(Arhgdia);circRNA_1267|Chr10:109754906_109755050_+(Arhgdia);circRNA_4669|Chr4:64894605_64899587_-(Creb3l2);</t>
  </si>
  <si>
    <t>rno04970</t>
  </si>
  <si>
    <t>Salivary secretion</t>
  </si>
  <si>
    <t>Digestive system</t>
  </si>
  <si>
    <t>circRNA_0591|Chr1:233578229_233581182_+(Gnaq);circRNA_4948|Chr4:180711145_180722357_-(Itpr2);circRNA_5986|Chr7:41167312_41167751_+(Atp2b1);circRNA_5987|Chr7:41167312_41178782_+(Atp2b1);</t>
  </si>
  <si>
    <t>rno04971</t>
  </si>
  <si>
    <t>Gastric acid secretion</t>
  </si>
  <si>
    <t>circRNA_0591|Chr1:233578229_233581182_+(Gnaq);circRNA_1547|Chr12:13717791_13718009_-(Actb);circRNA_4948|Chr4:180711145_180722357_-(Itpr2);</t>
  </si>
  <si>
    <t>rno04972</t>
  </si>
  <si>
    <t>Pancreatic secretion</t>
  </si>
  <si>
    <t>circRNA_0591|Chr1:233578229_233581182_+(Gnaq);circRNA_3733|Chr2:208198684_208203924_-(Rap1a);circRNA_4948|Chr4:180711145_180722357_-(Itpr2);circRNA_5986|Chr7:41167312_41167751_+(Atp2b1);circRNA_5987|Chr7:41167312_41178782_+(Atp2b1);</t>
  </si>
  <si>
    <t>rno04974</t>
  </si>
  <si>
    <t>Protein digestion and absorption</t>
  </si>
  <si>
    <t>circRNA_1147|Chr10:82752455_82752793_+(Col1a1);circRNA_3914|Chr20:12666784_12667523_+(Col6a1);circRNA_4051|Chr3:6464953_6472752_+(Col5a1);circRNA_6551|Chr8:87100666_87102375_-(Col12a1);circRNA_6825|Chr9:52043678_52045132_+(Col3a1);circRNA_6827|Chr9:52047552_52047844_+(Col3a1);circRNA_6828|Chr9:52047552_52048745_+(Col3a1);circRNA_6830|Chr9:52048089_52048881_+(Col3a1);</t>
  </si>
  <si>
    <t>rno04977</t>
  </si>
  <si>
    <t>Vitamin digestion and absorption</t>
  </si>
  <si>
    <t>circRNA_5564|Chr6:25409775_25417047_-(Plb1);</t>
  </si>
  <si>
    <t>rno04978</t>
  </si>
  <si>
    <t>Mineral absorption</t>
  </si>
  <si>
    <t>circRNA_5986|Chr7:41167312_41167751_+(Atp2b1);circRNA_5987|Chr7:41167312_41178782_+(Atp2b1);</t>
  </si>
  <si>
    <t>rno05010</t>
  </si>
  <si>
    <t>Alzheimer's disease</t>
  </si>
  <si>
    <t>Neurodegenerative disease</t>
  </si>
  <si>
    <t>rno05014</t>
  </si>
  <si>
    <t>Amyotrophic lateral sclerosis (ALS)</t>
  </si>
  <si>
    <t>circRNA_0038|Chr1:15545013_15551204_+(Map3k5);</t>
  </si>
  <si>
    <t>rno05016</t>
  </si>
  <si>
    <t>Huntington's disease</t>
  </si>
  <si>
    <t>rno05030</t>
  </si>
  <si>
    <t>Cocaine addiction</t>
  </si>
  <si>
    <t>Substance dependence</t>
  </si>
  <si>
    <t>rno05031</t>
  </si>
  <si>
    <t>Amphetamine addiction</t>
  </si>
  <si>
    <t>circRNA_4669|Chr4:64894605_64899587_-(Creb3l2);circRNA_4863|Chr4:151118221_151123637_-(Cacna1c);</t>
  </si>
  <si>
    <t>rno05034</t>
  </si>
  <si>
    <t>Alcoholism</t>
  </si>
  <si>
    <t>rno05100</t>
  </si>
  <si>
    <t>Bacterial invasion of epithelial cells</t>
  </si>
  <si>
    <t>Infectious disease: bacterial</t>
  </si>
  <si>
    <t>circRNA_1255|Chr10:106264856_106265494_+(Sept9);circRNA_1547|Chr12:13717791_13718009_-(Actb);circRNA_3283|Chr19:61714402_61714542_+(Itgb1);circRNA_6935|Chr9:78911759_78911926_+(Fn1);circRNA_6937|Chr9:78945266_78947892_-(Fn1);</t>
  </si>
  <si>
    <t>rno05132</t>
  </si>
  <si>
    <t>Salmonella infection</t>
  </si>
  <si>
    <t>circRNA_1547|Chr12:13717791_13718009_-(Actb);</t>
  </si>
  <si>
    <t>rno05133</t>
  </si>
  <si>
    <t>Pertussis</t>
  </si>
  <si>
    <t>circRNA_3283|Chr19:61714402_61714542_+(Itgb1);</t>
  </si>
  <si>
    <t>rno05134</t>
  </si>
  <si>
    <t>Legionellosis</t>
  </si>
  <si>
    <t>circRNA_3367|Chr2:30384653_30433774_-(Naip6);circRNA_3885|Chr20:4896892_4921063_-(Hspa1l);</t>
  </si>
  <si>
    <t>rno05140</t>
  </si>
  <si>
    <t>Leishmaniasis</t>
  </si>
  <si>
    <t>Infectious disease: parasitic</t>
  </si>
  <si>
    <t>circRNA_3283|Chr19:61714402_61714542_+(Itgb1);circRNA_3876|Chr20:4095939_4118506_+(RT1-Db1);</t>
  </si>
  <si>
    <t>rno05142</t>
  </si>
  <si>
    <t>Chagas disease (American trypanosomiasis)</t>
  </si>
  <si>
    <t>circRNA_0591|Chr1:233578229_233581182_+(Gnaq);circRNA_3057|Chr18:72593000_72595275_+(Smad2);</t>
  </si>
  <si>
    <t>rno05143</t>
  </si>
  <si>
    <t>African trypanosomiasis</t>
  </si>
  <si>
    <t>circRNA_0591|Chr1:233578229_233581182_+(Gnaq);circRNA_0868|Chr10:15577563_15589574_-(Hba-a1);circRNA_0869|Chr10:15577563_15603016_-(Hba-a1);</t>
  </si>
  <si>
    <t>rno05144</t>
  </si>
  <si>
    <t>Malaria</t>
  </si>
  <si>
    <t>circRNA_0868|Chr10:15577563_15589574_-(Hba-a1);circRNA_0869|Chr10:15577563_15603016_-(Hba-a1);</t>
  </si>
  <si>
    <t>rno05145</t>
  </si>
  <si>
    <t>Toxoplasmosis</t>
  </si>
  <si>
    <t>circRNA_3283|Chr19:61714402_61714542_+(Itgb1);circRNA_3876|Chr20:4095939_4118506_+(RT1-Db1);circRNA_3885|Chr20:4896892_4921063_-(Hspa1l);</t>
  </si>
  <si>
    <t>rno05146</t>
  </si>
  <si>
    <t>Amoebiasis</t>
  </si>
  <si>
    <t>circRNA_0591|Chr1:233578229_233581182_+(Gnaq);circRNA_1147|Chr10:82752455_82752793_+(Col1a1);circRNA_6825|Chr9:52043678_52045132_+(Col3a1);circRNA_6827|Chr9:52047552_52047844_+(Col3a1);circRNA_6828|Chr9:52047552_52048745_+(Col3a1);circRNA_6830|Chr9:52048089_52048881_+(Col3a1);circRNA_6935|Chr9:78911759_78911926_+(Fn1);circRNA_6937|Chr9:78945266_78947892_-(Fn1);</t>
  </si>
  <si>
    <t>rno05150</t>
  </si>
  <si>
    <t>Staphylococcus aureus infection</t>
  </si>
  <si>
    <t>rno05152</t>
  </si>
  <si>
    <t>Tuberculosis</t>
  </si>
  <si>
    <t>rno05160</t>
  </si>
  <si>
    <t>Hepatitis C</t>
  </si>
  <si>
    <t>Infectious disease: viral</t>
  </si>
  <si>
    <t>circRNA_3373|Chr2:30564530_30566431_-(Ocln);</t>
  </si>
  <si>
    <t>rno05161</t>
  </si>
  <si>
    <t>Hepatitis B</t>
  </si>
  <si>
    <t>circRNA_0647|Chr1:251455609_251485480_+(Pten);circRNA_3203|Chr19:38057557_38062193_+(Nfatc3);circRNA_4669|Chr4:64894605_64899587_-(Creb3l2);</t>
  </si>
  <si>
    <t>rno05162</t>
  </si>
  <si>
    <t>Measles</t>
  </si>
  <si>
    <t>rno05164</t>
  </si>
  <si>
    <t>Influenza A</t>
  </si>
  <si>
    <t>circRNA_1547|Chr12:13717791_13718009_-(Actb);circRNA_3876|Chr20:4095939_4118506_+(RT1-Db1);circRNA_3885|Chr20:4896892_4921063_-(Hspa1l);</t>
  </si>
  <si>
    <t>rno05165</t>
  </si>
  <si>
    <t>Human papillomavirus infection</t>
  </si>
  <si>
    <t>circRNA_0647|Chr1:251455609_251485480_+(Pten);circRNA_1147|Chr10:82752455_82752793_+(Col1a1);circRNA_1188|Chr10:89036545_89074755_+(Tubg2);circRNA_1818|Chr13:77863217_77865781_-(Tnn);circRNA_3283|Chr19:61714402_61714542_+(Itgb1);circRNA_3914|Chr20:12666784_12667523_+(Col6a1);circRNA_4669|Chr4:64894605_64899587_-(Creb3l2);circRNA_6169|Chr7:119987740_119990307_-(Mfng);circRNA_6275|Chr8:12160079_12161683_+(Maml2);circRNA_6935|Chr9:78911759_78911926_+(Fn1);circRNA_6937|Chr9:78945266_78947892_-(Fn1);</t>
  </si>
  <si>
    <t>rno05166</t>
  </si>
  <si>
    <t>HTLV-I infection</t>
  </si>
  <si>
    <t>circRNA_3057|Chr18:72593000_72595275_+(Smad2);circRNA_3203|Chr19:38057557_38062193_+(Nfatc3);circRNA_3876|Chr20:4095939_4118506_+(RT1-Db1);</t>
  </si>
  <si>
    <t>rno05167</t>
  </si>
  <si>
    <t>Kaposi's sarcoma-associated herpesvirus infection</t>
  </si>
  <si>
    <t>rno05168</t>
  </si>
  <si>
    <t>Herpes simplex infection</t>
  </si>
  <si>
    <t>rno05169</t>
  </si>
  <si>
    <t>Epstein-Barr virus infection</t>
  </si>
  <si>
    <t>rno05200</t>
  </si>
  <si>
    <t>Pathways in cancer</t>
  </si>
  <si>
    <t>Cancer: overview</t>
  </si>
  <si>
    <t>circRNA_0447|Chr1:200606971_200615170_-(Fgfr2);circRNA_0591|Chr1:233578229_233581182_+(Gnaq);circRNA_0647|Chr1:251455609_251485480_+(Pten);circRNA_3057|Chr18:72593000_72595275_+(Smad2);circRNA_3283|Chr19:61714402_61714542_+(Itgb1);circRNA_3670|Chr2:189226433_189230967_-(Il6r);circRNA_3738|Chr2:210723584_210806489_-(Gstm7);circRNA_3744|Chr2:210806416_210806638_+(Gstm1);circRNA_3745|Chr2:210808354_210822401_-(Gstm1);circRNA_5526|Chr6:11219826_11221789_-(Msh2);circRNA_5806|Chr6:124625936_124680274_-(Rps6ka5);circRNA_6935|Chr9:78911759_78911926_+(Fn1);circRNA_6937|Chr9:78945266_78947892_-(Fn1);</t>
  </si>
  <si>
    <t>rno05202</t>
  </si>
  <si>
    <t>Transcriptional misregulation in cancers</t>
  </si>
  <si>
    <t>circRNA_1949|Chr14:7291691_7293326_-(Aff1);circRNA_2865|Chr18:6047215_6051719_-(Ss18);circRNA_3152|Chr19:32214551_32215127_+(Smad1);circRNA_3634|Chr2:187243578_187246451_-(Prcc);circRNA_3944|Chr20:22822066_22856689_-(Jmjd1c);circRNA_5208|Chr5:106171074_106171781_-(Mllt3);circRNA_6753|Chr9:18653895_18660843_+(Runx2);circRNA_7065|ChrX:4819220_4832241_-(NEWGENE_1565481);</t>
  </si>
  <si>
    <t>rno05203</t>
  </si>
  <si>
    <t>Viral carcinogenesis</t>
  </si>
  <si>
    <t>rno05204</t>
  </si>
  <si>
    <t>Chemical carcinogenesis</t>
  </si>
  <si>
    <t>rno05205</t>
  </si>
  <si>
    <t>Proteoglycans in cancer</t>
  </si>
  <si>
    <t>circRNA_0758|Chr1:274628955_274647456_+(Pdcd4);circRNA_1547|Chr12:13717791_13718009_-(Actb);circRNA_3057|Chr18:72593000_72595275_+(Smad2);circRNA_3283|Chr19:61714402_61714542_+(Itgb1);circRNA_4948|Chr4:180711145_180722357_-(Itpr2);circRNA_5945|Chr7:23546534_23546690_+(Timp3);circRNA_6001|Chr7:51425330_51432888_-(Ppp1r12a);circRNA_6935|Chr9:78911759_78911926_+(Fn1);circRNA_6937|Chr9:78945266_78947892_-(Fn1);</t>
  </si>
  <si>
    <t>rno05206</t>
  </si>
  <si>
    <t>MicroRNAs in cancer</t>
  </si>
  <si>
    <t>circRNA_0647|Chr1:251455609_251485480_+(Pten);circRNA_0758|Chr1:274628955_274647456_+(Pdcd4);circRNA_1818|Chr13:77863217_77865781_-(Tnn);circRNA_5806|Chr6:124625936_124680274_-(Rps6ka5);circRNA_5945|Chr7:23546534_23546690_+(Timp3);</t>
  </si>
  <si>
    <t>rno05210</t>
  </si>
  <si>
    <t>Colorectal cancer</t>
  </si>
  <si>
    <t>Cancer: specific types</t>
  </si>
  <si>
    <t>circRNA_3057|Chr18:72593000_72595275_+(Smad2);circRNA_5526|Chr6:11219826_11221789_-(Msh2);</t>
  </si>
  <si>
    <t>rno05211</t>
  </si>
  <si>
    <t>Renal cell carcinoma</t>
  </si>
  <si>
    <t>circRNA_3634|Chr2:187243578_187246451_-(Prcc);circRNA_3733|Chr2:208198684_208203924_-(Rap1a);</t>
  </si>
  <si>
    <t>rno05212</t>
  </si>
  <si>
    <t>Pancreatic cancer</t>
  </si>
  <si>
    <t>circRNA_3057|Chr18:72593000_72595275_+(Smad2);circRNA_3514|Chr2:113744312_113745181_+(Pld1);</t>
  </si>
  <si>
    <t>rno05213</t>
  </si>
  <si>
    <t>Endometrial cancer</t>
  </si>
  <si>
    <t>rno05214</t>
  </si>
  <si>
    <t>Glioma</t>
  </si>
  <si>
    <t>rno05215</t>
  </si>
  <si>
    <t>Prostate cancer</t>
  </si>
  <si>
    <t>circRNA_0447|Chr1:200606971_200615170_-(Fgfr2);circRNA_0647|Chr1:251455609_251485480_+(Pten);circRNA_4669|Chr4:64894605_64899587_-(Creb3l2);</t>
  </si>
  <si>
    <t>rno05218</t>
  </si>
  <si>
    <t>Melanoma</t>
  </si>
  <si>
    <t>rno05219</t>
  </si>
  <si>
    <t>Bladder cancer</t>
  </si>
  <si>
    <t>circRNA_5806|Chr6:124625936_124680274_-(Rps6ka5);</t>
  </si>
  <si>
    <t>rno05222</t>
  </si>
  <si>
    <t>Small cell lung cancer</t>
  </si>
  <si>
    <t>circRNA_0647|Chr1:251455609_251485480_+(Pten);circRNA_3283|Chr19:61714402_61714542_+(Itgb1);circRNA_6935|Chr9:78911759_78911926_+(Fn1);circRNA_6937|Chr9:78945266_78947892_-(Fn1);</t>
  </si>
  <si>
    <t>rno05224</t>
  </si>
  <si>
    <t>Breast cancer</t>
  </si>
  <si>
    <t>rno05225</t>
  </si>
  <si>
    <t>Hepatocellular carcinoma</t>
  </si>
  <si>
    <t>circRNA_0647|Chr1:251455609_251485480_+(Pten);circRNA_1547|Chr12:13717791_13718009_-(Actb);circRNA_3057|Chr18:72593000_72595275_+(Smad2);circRNA_3738|Chr2:210723584_210806489_-(Gstm7);circRNA_3744|Chr2:210806416_210806638_+(Gstm1);circRNA_3745|Chr2:210808354_210822401_-(Gstm1);</t>
  </si>
  <si>
    <t>rno05226</t>
  </si>
  <si>
    <t>Gastric cancer</t>
  </si>
  <si>
    <t>circRNA_0447|Chr1:200606971_200615170_-(Fgfr2);circRNA_3057|Chr18:72593000_72595275_+(Smad2);</t>
  </si>
  <si>
    <t>rno05230</t>
  </si>
  <si>
    <t>Central carbon metabolism in cancer</t>
  </si>
  <si>
    <t>circRNA_0447|Chr1:200606971_200615170_-(Fgfr2);circRNA_0647|Chr1:251455609_251485480_+(Pten);circRNA_0722|Chr1:261165387_261165588_-(Pgam1);</t>
  </si>
  <si>
    <t>rno05231</t>
  </si>
  <si>
    <t>Choline metabolism in cancer</t>
  </si>
  <si>
    <t>rno05320</t>
  </si>
  <si>
    <t>Autoimmune thyroid disease</t>
  </si>
  <si>
    <t>Immune disease</t>
  </si>
  <si>
    <t>rno05321</t>
  </si>
  <si>
    <t>Inflammatiory bowel disease (IBD)</t>
  </si>
  <si>
    <t>circRNA_3057|Chr18:72593000_72595275_+(Smad2);circRNA_3876|Chr20:4095939_4118506_+(RT1-Db1);</t>
  </si>
  <si>
    <t>rno05322</t>
  </si>
  <si>
    <t>Systemic lupus erythematosus</t>
  </si>
  <si>
    <t>rno05323</t>
  </si>
  <si>
    <t>Rheumatoid arthritis</t>
  </si>
  <si>
    <t>rno05330</t>
  </si>
  <si>
    <t>Allograft rejection</t>
  </si>
  <si>
    <t>rno05332</t>
  </si>
  <si>
    <t>Graft-versus-host disease</t>
  </si>
  <si>
    <t>rno05410</t>
  </si>
  <si>
    <t>Hypertrophic cardiomyopathy (HCM)</t>
  </si>
  <si>
    <t>Cardiovascular disease</t>
  </si>
  <si>
    <t>circRNA_1547|Chr12:13717791_13718009_-(Actb);circRNA_1738|Chr13:52667988_52673721_+(Tnnt2);circRNA_3283|Chr19:61714402_61714542_+(Itgb1);circRNA_4863|Chr4:151118221_151123637_-(Cacna1c);circRNA_6952|Chr9:82557123_82558587_+(Des);circRNA_6953|Chr9:82558343_82558587_+(Des);</t>
  </si>
  <si>
    <t>rno05412</t>
  </si>
  <si>
    <t>Arrhythmogenic right ventricular cardiomyopathy (ARVC)</t>
  </si>
  <si>
    <t>circRNA_1547|Chr12:13717791_13718009_-(Actb);circRNA_3283|Chr19:61714402_61714542_+(Itgb1);circRNA_4863|Chr4:151118221_151123637_-(Cacna1c);circRNA_6952|Chr9:82557123_82558587_+(Des);circRNA_6953|Chr9:82558343_82558587_+(Des);</t>
  </si>
  <si>
    <t>rno05414</t>
  </si>
  <si>
    <t>Dilated cardiomyopathy (DCM)</t>
  </si>
  <si>
    <t>rno05416</t>
  </si>
  <si>
    <t>Viral myocarditis</t>
  </si>
  <si>
    <t>circRNA_1547|Chr12:13717791_13718009_-(Actb);circRNA_3876|Chr20:4095939_4118506_+(RT1-Db1);circRNA_5413|Chr5:156506448_156517254_+(Eif4g3);</t>
  </si>
  <si>
    <t>rno05418</t>
  </si>
  <si>
    <t>Fluid shear stress and atherosclerosis</t>
  </si>
  <si>
    <t>circRNA_0038|Chr1:15545013_15551204_+(Map3k5);circRNA_0233|Chr1:128239552_128243030_-(Mef2a);circRNA_1547|Chr12:13717791_13718009_-(Actb);circRNA_3738|Chr2:210723584_210806489_-(Gstm7);circRNA_3744|Chr2:210806416_210806638_+(Gstm1);circRNA_3745|Chr2:210808354_210822401_-(Gstm1);</t>
  </si>
  <si>
    <t>circRNA_6157|Chr7:116072198_116158807_-(Cyp11b3);</t>
  </si>
  <si>
    <t>rno00190</t>
  </si>
  <si>
    <t>Oxidative phosphorylation</t>
  </si>
  <si>
    <t>Energy metabolism</t>
  </si>
  <si>
    <t>circRNA_5011|Chr5:14282912_14314250_-(Atp6v1h);</t>
  </si>
  <si>
    <t>circRNA_0062|Chr1:21647066_21662702_+(Enpp3);circRNA_0984|Chr10:56342097_56352370_-(Polr2a);circRNA_6264|Chr8:439822_456940_+(Gucy1a2);</t>
  </si>
  <si>
    <t>circRNA_0062|Chr1:21647066_21662702_+(Enpp3);circRNA_0984|Chr10:56342097_56352370_-(Polr2a);circRNA_1840|Chr13:85397122_85399509_-(Uck2);circRNA_1841|Chr13:85401003_85401929_+(Uck2);</t>
  </si>
  <si>
    <t>rno00280</t>
  </si>
  <si>
    <t>Valine, leucine and isoleucine degradation</t>
  </si>
  <si>
    <t>circRNA_6841|Chr9:53492939_53508890_-(Hibch);</t>
  </si>
  <si>
    <t>circRNA_2644|Chr17:9912158_9914708_-(Nsd1);circRNA_2645|Chr17:9912158_9920790_-(Nsd1);circRNA_6243|Chr7:140533891_140536242_-(Kmt2d);</t>
  </si>
  <si>
    <t>rno00410</t>
  </si>
  <si>
    <t>beta-Alanine metabolism</t>
  </si>
  <si>
    <t>circRNA_3744|Chr2:210806416_210806638_+(Gstm1);circRNA_3745|Chr2:210808354_210822401_-(Gstm1);</t>
  </si>
  <si>
    <t>rno00500</t>
  </si>
  <si>
    <t>Starch and sucrose metabolism</t>
  </si>
  <si>
    <t>circRNA_0062|Chr1:21647066_21662702_+(Enpp3);</t>
  </si>
  <si>
    <t>circRNA_6169|Chr7:119987740_119990307_-(Mfng);circRNA_6170|Chr7:119987740_119990759_-(Mfng);</t>
  </si>
  <si>
    <t>rno00515</t>
  </si>
  <si>
    <t>Mannose type O-glycan biosyntheis</t>
  </si>
  <si>
    <t>circRNA_5050|Chr5:40131915_40156826_-(Fut9);</t>
  </si>
  <si>
    <t>circRNA_6576|Chr8:94718121_94730732_+(Cyb5r4);</t>
  </si>
  <si>
    <t>circRNA_0388|Chr1:185233419_185234547_+(Pik3c2a);circRNA_0647|Chr1:251455609_251485480_+(Pten);circRNA_2831|Chr18:301858_306376_-(Mtmr1);circRNA_6605|Chr8:107334721_107366975_-(Pik3cb);</t>
  </si>
  <si>
    <t>circRNA_1955|Chr14:9421418_9440942_-(Cds1);circRNA_3736|Chr2:209143856_209152642_-(Cept1);circRNA_3737|Chr2:209146114_209152642_-(Cept1);</t>
  </si>
  <si>
    <t>circRNA_3736|Chr2:209143856_209152642_-(Cept1);circRNA_3737|Chr2:209146114_209152642_-(Cept1);</t>
  </si>
  <si>
    <t>circRNA_2887|Chr18:15480332_15494701_+(B4galt6);circRNA_5132|Chr5:76403738_76415437_+(Ugcg);</t>
  </si>
  <si>
    <t>circRNA_3585|Chr2:154520979_154532393_-(Slc33a1);circRNA_3857|Chr2:259561613_259564303_-(St6galnac3);circRNA_4762|Chr4:99970321_99980034_+(St3gal5);</t>
  </si>
  <si>
    <t>rno00640</t>
  </si>
  <si>
    <t>Propanoate metabolism</t>
  </si>
  <si>
    <t>rno00760</t>
  </si>
  <si>
    <t>Nicotinate and nicotinamide metabolism</t>
  </si>
  <si>
    <t>rno00770</t>
  </si>
  <si>
    <t>Pantothenate and CoA biosynthesis</t>
  </si>
  <si>
    <t>circRNA_1840|Chr13:85397122_85399509_-(Uck2);circRNA_1841|Chr13:85401003_85401929_+(Uck2);circRNA_3744|Chr2:210806416_210806638_+(Gstm1);circRNA_3745|Chr2:210808354_210822401_-(Gstm1);</t>
  </si>
  <si>
    <t>circRNA_0647|Chr1:251455609_251485480_+(Pten);circRNA_1053|Chr10:66732462_66738274_+(Nf1);circRNA_1058|Chr10:66812207_66822005_+(Nf1);circRNA_6605|Chr8:107334721_107366975_-(Pik3cb);</t>
  </si>
  <si>
    <t>rno01522</t>
  </si>
  <si>
    <t>Endocrine resistance</t>
  </si>
  <si>
    <t>circRNA_0972|Chr10:48749746_48753281_-(Ncor1);circRNA_4377|Chr3:130093308_130099815_-(Jag1);circRNA_6032|Chr7:60733754_60737965_-(Mdm2);circRNA_6153|Chr7:114523676_114540933_-(Ptk2);circRNA_6605|Chr8:107334721_107366975_-(Pik3cb);</t>
  </si>
  <si>
    <t>rno01523</t>
  </si>
  <si>
    <t>Antifolate resistance</t>
  </si>
  <si>
    <t>circRNA_0786|Chr10:574395_593608_-(Abcc1);circRNA_2406|Chr15:103706020_103717662_-(Abcc4);circRNA_3912|Chr20:12339749_12342262_-(Slc19a1);</t>
  </si>
  <si>
    <t>circRNA_0035|Chr1:15488392_15526167_+(Map3k5);circRNA_0038|Chr1:15545013_15551204_+(Map3k5);circRNA_3744|Chr2:210806416_210806638_+(Gstm1);circRNA_3745|Chr2:210808354_210822401_-(Gstm1);circRNA_6032|Chr7:60733754_60737965_-(Mdm2);circRNA_6605|Chr8:107334721_107366975_-(Pik3cb);</t>
  </si>
  <si>
    <t>circRNA_0786|Chr10:574395_593608_-(Abcc1);circRNA_2406|Chr15:103706020_103717662_-(Abcc4);circRNA_3776|Chr2:225359048_225371154_-(Abcd3);</t>
  </si>
  <si>
    <t>circRNA_0431|Chr1:197981834_197982318_-(Eif3c);circRNA_0433|Chr1:197981834_197983858_-(Eif3c);circRNA_1161|Chr10:85109546_85112742_-(Kpnb1);circRNA_2766|Chr17:76245627_76265943_-(Upf2);circRNA_2768|Chr17:76260636_76265943_-(Upf2);circRNA_4062|Chr3:8887351_8892631_+(Nup188);circRNA_5413|Chr5:156506448_156517254_+(Eif4g3);</t>
  </si>
  <si>
    <t>circRNA_2766|Chr17:76245627_76265943_-(Upf2);circRNA_2768|Chr17:76260636_76265943_-(Upf2);circRNA_5840|Chr6:129621583_129636485_+(Papola);circRNA_5842|Chr6:129621583_129660096_+(Papola);</t>
  </si>
  <si>
    <t>circRNA_0813|Chr10:1413338_1419399_-(Parn);circRNA_4735|Chr4:87017858_87018778_-(Lsm5);</t>
  </si>
  <si>
    <t>rno03022</t>
  </si>
  <si>
    <t>Basal transcription factors</t>
  </si>
  <si>
    <t>circRNA_2557|Chr16:62132750_62160831_-(Gtf2e2);</t>
  </si>
  <si>
    <t>circRNA_3885|Chr20:4896892_4921063_-(Hspa1l);circRNA_4735|Chr4:87017858_87018778_-(Lsm5);</t>
  </si>
  <si>
    <t>circRNA_0689|Chr1:259396273_259421082_-(Sorbs1);circRNA_0701|Chr1:259434763_259459540_-(Sorbs1);</t>
  </si>
  <si>
    <t>circRNA_0923|Chr10:39004096_39019660_-(Rad50);circRNA_5570|Chr6:26011662_26047820_-(Bre);</t>
  </si>
  <si>
    <t>rno03450</t>
  </si>
  <si>
    <t>Non-homologous end-joining</t>
  </si>
  <si>
    <t>circRNA_0923|Chr10:39004096_39019660_-(Rad50);</t>
  </si>
  <si>
    <t>circRNA_0035|Chr1:15488392_15526167_+(Map3k5);circRNA_0038|Chr1:15545013_15551204_+(Map3k5);circRNA_1053|Chr10:66732462_66738274_+(Nf1);circRNA_1058|Chr10:66812207_66822005_+(Nf1);circRNA_3203|Chr19:38057557_38062193_+(Nfatc3);circRNA_3885|Chr20:4896892_4921063_-(Hspa1l);circRNA_4041|Chr3:2762162_2764477_-(Traf2);circRNA_4557|Chr4:15859003_15915406_-(Cacna2d1);circRNA_4863|Chr4:151118221_151123637_-(Cacna1c);</t>
  </si>
  <si>
    <t>circRNA_6153|Chr7:114523676_114540933_-(Ptk2);circRNA_6605|Chr8:107334721_107366975_-(Pik3cb);</t>
  </si>
  <si>
    <t>circRNA_1053|Chr10:66732462_66738274_+(Nf1);circRNA_1058|Chr10:66812207_66822005_+(Nf1);circRNA_1305|Chr11:30029802_30036752_-(Tiam1);circRNA_1650|Chr12:40388299_40397763_-(Brap);circRNA_6605|Chr8:107334721_107366975_-(Pik3cb);</t>
  </si>
  <si>
    <t>circRNA_0589|Chr1:233561451_233581182_+(Gnaq);circRNA_0591|Chr1:233578229_233581182_+(Gnaq);circRNA_1305|Chr11:30029802_30036752_-(Tiam1);circRNA_6605|Chr8:107334721_107366975_-(Pik3cb);</t>
  </si>
  <si>
    <t>circRNA_0589|Chr1:233561451_233581182_+(Gnaq);circRNA_0591|Chr1:233578229_233581182_+(Gnaq);circRNA_4863|Chr4:151118221_151123637_-(Cacna1c);circRNA_4949|Chr4:180721313_180722357_-(Itpr2);</t>
  </si>
  <si>
    <t>circRNA_0589|Chr1:233561451_233581182_+(Gnaq);circRNA_0591|Chr1:233578229_233581182_+(Gnaq);circRNA_3203|Chr19:38057557_38062193_+(Nfatc3);circRNA_4863|Chr4:151118221_151123637_-(Cacna1c);circRNA_4949|Chr4:180721313_180722357_-(Itpr2);circRNA_6264|Chr8:439822_456940_+(Gucy1a2);</t>
  </si>
  <si>
    <t>circRNA_0848|Chr10:11626519_11627228_+(Crebbp);circRNA_1305|Chr11:30029802_30036752_-(Tiam1);circRNA_2406|Chr15:103706020_103717662_-(Abcc4);circRNA_2606|Chr17:1059417_1065593_-(Ptch1);circRNA_3750|Chr2:212471565_212487554_+(Vav3);circRNA_4863|Chr4:151118221_151123637_-(Cacna1c);circRNA_6183|Chr7:122834692_122835329_+(Ep300);circRNA_6605|Chr8:107334721_107366975_-(Pik3cb);</t>
  </si>
  <si>
    <t>circRNA_6754|Chr9:20568247_20599410_-(Tnfrsf21);circRNA_6755|Chr9:20596863_20599410_-(Tnfrsf21);</t>
  </si>
  <si>
    <t>circRNA_1305|Chr11:30029802_30036752_-(Tiam1);circRNA_3750|Chr2:212471565_212487554_+(Vav3);circRNA_6153|Chr7:114523676_114540933_-(Ptk2);circRNA_6605|Chr8:107334721_107366975_-(Pik3cb);</t>
  </si>
  <si>
    <t>rno04064</t>
  </si>
  <si>
    <t>NF-kappa B signaling pathway</t>
  </si>
  <si>
    <t>circRNA_4041|Chr3:2762162_2764477_-(Traf2);circRNA_5882|Chr6:135672583_135696475_+(Traf3);</t>
  </si>
  <si>
    <t>circRNA_0848|Chr10:11626519_11627228_+(Crebbp);circRNA_6183|Chr7:122834692_122835329_+(Ep300);circRNA_6605|Chr8:107334721_107366975_-(Pik3cb);</t>
  </si>
  <si>
    <t>circRNA_0647|Chr1:251455609_251485480_+(Pten);circRNA_0848|Chr10:11626519_11627228_+(Crebbp);circRNA_3057|Chr18:72593000_72595275_+(Smad2);circRNA_6032|Chr7:60733754_60737965_-(Mdm2);circRNA_6183|Chr7:122834692_122835329_+(Ep300);circRNA_6605|Chr8:107334721_107366975_-(Pik3cb);</t>
  </si>
  <si>
    <t>circRNA_0388|Chr1:185233419_185234547_+(Pik3c2a);circRNA_0647|Chr1:251455609_251485480_+(Pten);circRNA_1955|Chr14:9421418_9440942_-(Cds1);circRNA_2831|Chr18:301858_306376_-(Mtmr1);circRNA_4949|Chr4:180721313_180722357_-(Itpr2);circRNA_6605|Chr8:107334721_107366975_-(Pik3cb);</t>
  </si>
  <si>
    <t>circRNA_0035|Chr1:15488392_15526167_+(Map3k5);circRNA_0038|Chr1:15545013_15551204_+(Map3k5);circRNA_0589|Chr1:233561451_233581182_+(Gnaq);circRNA_0591|Chr1:233578229_233581182_+(Gnaq);circRNA_0647|Chr1:251455609_251485480_+(Pten);circRNA_0786|Chr10:574395_593608_-(Abcc1);circRNA_4041|Chr3:2762162_2764477_-(Traf2);circRNA_6605|Chr8:107334721_107366975_-(Pik3cb);</t>
  </si>
  <si>
    <t>circRNA_6605|Chr8:107334721_107366975_-(Pik3cb);</t>
  </si>
  <si>
    <t>circRNA_0848|Chr10:11626519_11627228_+(Crebbp);circRNA_3057|Chr18:72593000_72595275_+(Smad2);circRNA_6032|Chr7:60733754_60737965_-(Mdm2);circRNA_6183|Chr7:122834692_122835329_+(Ep300);circRNA_6607|Chr8:108991414_109052504_+(Stag1);</t>
  </si>
  <si>
    <t>circRNA_0881|Chr10:17619518_17632113_+(Fbxw11);circRNA_4949|Chr4:180721313_180722357_-(Itpr2);</t>
  </si>
  <si>
    <t>circRNA_0647|Chr1:251455609_251485480_+(Pten);circRNA_6032|Chr7:60733754_60737965_-(Mdm2);</t>
  </si>
  <si>
    <t>circRNA_0881|Chr10:17619518_17632113_+(Fbxw11);circRNA_3005|Chr18:60572935_60578301_+(Nedd4l);circRNA_3061|Chr18:73479863_73490210_+(Pias2);circRNA_3621|Chr2:184309074_184309661_-(Fbxw7);circRNA_3958|Chr20:26818517_26823720_+(Herc4);circRNA_6032|Chr7:60733754_60737965_-(Mdm2);circRNA_6107|Chr7:76837537_76845975_-(Ubr5);</t>
  </si>
  <si>
    <t>circRNA_0647|Chr1:251455609_251485480_+(Pten);circRNA_5769|Chr6:107055966_107056470_-(Zfyve1);circRNA_6605|Chr8:107334721_107366975_-(Pik3cb);</t>
  </si>
  <si>
    <t>circRNA_0035|Chr1:15488392_15526167_+(Map3k5);circRNA_0038|Chr1:15545013_15551204_+(Map3k5);circRNA_0904|Chr10:35816390_35818308_-(Canx);circRNA_3885|Chr20:4896892_4921063_-(Hspa1l);circRNA_4041|Chr3:2762162_2764477_-(Traf2);</t>
  </si>
  <si>
    <t>circRNA_3329|Chr2:24055343_24083767_+(Ap3b1);circRNA_3332|Chr2:24067948_24083767_+(Ap3b1);circRNA_3333|Chr2:24105473_24126036_+(Ap3b1);circRNA_5011|Chr5:14282912_14314250_-(Atp6v1h);circRNA_5380|Chr5:149062724_149065190_+(Laptm5);</t>
  </si>
  <si>
    <t>circRNA_1026|Chr10:62623758_62664462_-(Git1);circRNA_3005|Chr18:60572935_60578301_+(Nedd4l);circRNA_3057|Chr18:72593000_72595275_+(Smad2);circRNA_3871|Chr20:3232306_3247033_+(RT1-T24-3);circRNA_3885|Chr20:4896892_4921063_-(Hspa1l);circRNA_4079|Chr3:12860437_12931658_-(Mvb12b);circRNA_6032|Chr7:60733754_60737965_-(Mdm2);circRNA_6241|Chr7:140415223_140417547_-(Arf3);circRNA_6242|Chr7:140415833_140417547_-(Arf3);circRNA_6780|Chr9:30099113_30122634_-(Smap1);circRNA_6783|Chr9:30155195_30155812_+(Smap1);circRNA_7147|ChrX:71119280_71121063_-(Snx12);</t>
  </si>
  <si>
    <t>circRNA_0904|Chr10:35816390_35818308_-(Canx);circRNA_3871|Chr20:3232306_3247033_+(RT1-T24-3);circRNA_4148|Chr3:46525736_46558304_-(Pla2r1);circRNA_5011|Chr5:14282912_14314250_-(Atp6v1h);</t>
  </si>
  <si>
    <t>circRNA_3776|Chr2:225359048_225371154_-(Abcd3);</t>
  </si>
  <si>
    <t>circRNA_0647|Chr1:251455609_251485480_+(Pten);circRNA_4085|Chr3:13510410_13602354_+(Mapkap1);circRNA_5011|Chr5:14282912_14314250_-(Atp6v1h);circRNA_6605|Chr8:107334721_107366975_-(Pik3cb);</t>
  </si>
  <si>
    <t>circRNA_0647|Chr1:251455609_251485480_+(Pten);circRNA_2592|Chr16:83563772_83585327_+(Col4a1);circRNA_3914|Chr20:12666784_12667523_+(Col6a1);circRNA_3915|Chr20:12784683_12785573_+(Col6a2);circRNA_6032|Chr7:60733754_60737965_-(Mdm2);circRNA_6153|Chr7:114523676_114540933_-(Ptk2);circRNA_6605|Chr8:107334721_107366975_-(Pik3cb);</t>
  </si>
  <si>
    <t>circRNA_0035|Chr1:15488392_15526167_+(Map3k5);circRNA_0038|Chr1:15545013_15551204_+(Map3k5);circRNA_1952|Chr14:7796209_7810203_-(Ptpn13);circRNA_4041|Chr3:2762162_2764477_-(Traf2);circRNA_4949|Chr4:180721313_180722357_-(Itpr2);circRNA_6605|Chr8:107334721_107366975_-(Pik3cb);</t>
  </si>
  <si>
    <t>circRNA_3885|Chr20:4896892_4921063_-(Hspa1l);circRNA_6605|Chr8:107334721_107366975_-(Pik3cb);</t>
  </si>
  <si>
    <t>rno04216</t>
  </si>
  <si>
    <t>Ferroptosis</t>
  </si>
  <si>
    <t>circRNA_3557|Chr2:139502624_139512448_-(Slc7a11);circRNA_3558|Chr2:139502624_139520450_-(Slc7a11);circRNA_3559|Chr2:139502624_139523749_-(Slc7a11);</t>
  </si>
  <si>
    <t>circRNA_4041|Chr3:2762162_2764477_-(Traf2);circRNA_5289|Chr5:129413066_129457884_+(Faf1);circRNA_5290|Chr5:129413066_129475869_+(Faf1);</t>
  </si>
  <si>
    <t>circRNA_0647|Chr1:251455609_251485480_+(Pten);circRNA_0881|Chr10:17619518_17632113_+(Fbxw11);circRNA_0923|Chr10:39004096_39019660_-(Rad50);circRNA_1959|Chr14:10786399_10794860_+(Lin54);circRNA_1960|Chr14:10792005_10794860_+(Lin54);circRNA_3057|Chr18:72593000_72595275_+(Smad2);circRNA_3203|Chr19:38057557_38062193_+(Nfatc3);circRNA_3871|Chr20:3232306_3247033_+(RT1-T24-3);circRNA_4949|Chr4:180721313_180722357_-(Itpr2);circRNA_6032|Chr7:60733754_60737965_-(Mdm2);circRNA_6605|Chr8:107334721_107366975_-(Pik3cb);</t>
  </si>
  <si>
    <t>circRNA_1738|Chr13:52667988_52673721_+(Tnnt2);circRNA_4557|Chr4:15859003_15915406_-(Cacna2d1);circRNA_4863|Chr4:151118221_151123637_-(Cacna1c);</t>
  </si>
  <si>
    <t>circRNA_0589|Chr1:233561451_233581182_+(Gnaq);circRNA_0591|Chr1:233578229_233581182_+(Gnaq);circRNA_1738|Chr13:52667988_52673721_+(Tnnt2);circRNA_4557|Chr4:15859003_15915406_-(Cacna2d1);circRNA_4863|Chr4:151118221_151123637_-(Cacna1c);</t>
  </si>
  <si>
    <t>circRNA_0589|Chr1:233561451_233581182_+(Gnaq);circRNA_0591|Chr1:233578229_233581182_+(Gnaq);circRNA_0805|Chr10:840321_841807_-(Myh11);circRNA_4863|Chr4:151118221_151123637_-(Cacna1c);circRNA_4949|Chr4:180721313_180722357_-(Itpr2);circRNA_6264|Chr8:439822_456940_+(Gucy1a2);</t>
  </si>
  <si>
    <t>circRNA_0848|Chr10:11626519_11627228_+(Crebbp);circRNA_0881|Chr10:17619518_17632113_+(Fbxw11);circRNA_3203|Chr19:38057557_38062193_+(Nfatc3);circRNA_6183|Chr7:122834692_122835329_+(Ep300);</t>
  </si>
  <si>
    <t>circRNA_0848|Chr10:11626519_11627228_+(Crebbp);circRNA_4377|Chr3:130093308_130099815_-(Jag1);circRNA_6169|Chr7:119987740_119990307_-(Mfng);circRNA_6170|Chr7:119987740_119990759_-(Mfng);circRNA_6183|Chr7:122834692_122835329_+(Ep300);</t>
  </si>
  <si>
    <t>circRNA_0881|Chr10:17619518_17632113_+(Fbxw11);circRNA_2606|Chr17:1059417_1065593_-(Ptch1);</t>
  </si>
  <si>
    <t>circRNA_0848|Chr10:11626519_11627228_+(Crebbp);circRNA_3057|Chr18:72593000_72595275_+(Smad2);circRNA_6183|Chr7:122834692_122835329_+(Ep300);</t>
  </si>
  <si>
    <t>circRNA_1878|Chr13:100347405_100353039_-(Enah);circRNA_2606|Chr17:1059417_1065593_-(Ptch1);circRNA_3203|Chr19:38057557_38062193_+(Nfatc3);circRNA_6046|Chr7:64125692_64131186_-(Srgap1);circRNA_6153|Chr7:114523676_114540933_-(Ptk2);circRNA_6605|Chr8:107334721_107366975_-(Pik3cb);</t>
  </si>
  <si>
    <t>rno04370</t>
  </si>
  <si>
    <t>VEGF signaling pathway</t>
  </si>
  <si>
    <t>circRNA_0589|Chr1:233561451_233581182_+(Gnaq);circRNA_0591|Chr1:233578229_233581182_+(Gnaq);circRNA_3057|Chr18:72593000_72595275_+(Smad2);circRNA_4377|Chr3:130093308_130099815_-(Jag1);circRNA_4949|Chr4:180721313_180722357_-(Itpr2);</t>
  </si>
  <si>
    <t>circRNA_0125|Chr1:63842808_63920657_+(Lilrb3l);circRNA_4041|Chr3:2762162_2764477_-(Traf2);circRNA_4346|Chr3:122130941_122141403_+(Sirpa);circRNA_6605|Chr8:107334721_107366975_-(Pik3cb);</t>
  </si>
  <si>
    <t>circRNA_0375|Chr1:177651557_177654228_+(Tead1);circRNA_0881|Chr10:17619518_17632113_+(Fbxw11);circRNA_3057|Chr18:72593000_72595275_+(Smad2);</t>
  </si>
  <si>
    <t>circRNA_0369|Chr1:177360220_177377649_+(Parva);circRNA_0647|Chr1:251455609_251485480_+(Pten);circRNA_2592|Chr16:83563772_83585327_+(Col4a1);circRNA_3750|Chr2:212471565_212487554_+(Vav3);circRNA_3914|Chr20:12666784_12667523_+(Col6a1);circRNA_3915|Chr20:12784683_12785573_+(Col6a2);circRNA_6153|Chr7:114523676_114540933_-(Ptk2);circRNA_6605|Chr8:107334721_107366975_-(Pik3cb);</t>
  </si>
  <si>
    <t>circRNA_1375|Chr11:53545477_53563559_-(Cd47);circRNA_2592|Chr16:83563772_83585327_+(Col4a1);circRNA_3914|Chr20:12666784_12667523_+(Col6a1);circRNA_3915|Chr20:12784683_12785573_+(Col6a2);</t>
  </si>
  <si>
    <t>circRNA_1837|Chr13:83813058_83819669_-(Mpzl1);circRNA_3871|Chr20:3232306_3247033_+(RT1-T24-3);</t>
  </si>
  <si>
    <t>circRNA_0689|Chr1:259396273_259421082_-(Sorbs1);circRNA_0701|Chr1:259434763_259459540_-(Sorbs1);circRNA_0848|Chr10:11626519_11627228_+(Crebbp);circRNA_3057|Chr18:72593000_72595275_+(Smad2);circRNA_6183|Chr7:122834692_122835329_+(Ep300);</t>
  </si>
  <si>
    <t>circRNA_0035|Chr1:15488392_15526167_+(Map3k5);circRNA_0038|Chr1:15545013_15551204_+(Map3k5);circRNA_0805|Chr10:840321_841807_-(Myh11);circRNA_1305|Chr11:30029802_30036752_-(Tiam1);circRNA_3005|Chr18:60572935_60578301_+(Nedd4l);</t>
  </si>
  <si>
    <t>circRNA_0589|Chr1:233561451_233581182_+(Gnaq);circRNA_0591|Chr1:233578229_233581182_+(Gnaq);circRNA_4949|Chr4:180721313_180722357_-(Itpr2);circRNA_6264|Chr8:439822_456940_+(Gucy1a2);</t>
  </si>
  <si>
    <t>circRNA_3057|Chr18:72593000_72595275_+(Smad2);circRNA_3223|Chr19:42856166_42920390_-(Zfhx3);circRNA_3224|Chr19:42911935_42920390_-(Zfhx3);circRNA_3225|Chr19:42917629_42920390_-(Zfhx3);circRNA_6605|Chr8:107334721_107366975_-(Pik3cb);</t>
  </si>
  <si>
    <t>rno04610</t>
  </si>
  <si>
    <t>Complement and coagulation cascades</t>
  </si>
  <si>
    <t>circRNA_1755|Chr13:57029508_57030242_-(Cfh);circRNA_1756|Chr13:57044027_57047903_-(Cfh);</t>
  </si>
  <si>
    <t>circRNA_0589|Chr1:233561451_233581182_+(Gnaq);circRNA_0591|Chr1:233578229_233581182_+(Gnaq);circRNA_4949|Chr4:180721313_180722357_-(Itpr2);circRNA_6264|Chr8:439822_456940_+(Gucy1a2);circRNA_6605|Chr8:107334721_107366975_-(Pik3cb);</t>
  </si>
  <si>
    <t>circRNA_0904|Chr10:35816390_35818308_-(Canx);circRNA_3871|Chr20:3232306_3247033_+(RT1-T24-3);circRNA_3885|Chr20:4896892_4921063_-(Hspa1l);</t>
  </si>
  <si>
    <t>rno04620</t>
  </si>
  <si>
    <t>Toll-like receptor signaling pathway</t>
  </si>
  <si>
    <t>circRNA_5882|Chr6:135672583_135696475_+(Traf3);circRNA_6605|Chr8:107334721_107366975_-(Pik3cb);</t>
  </si>
  <si>
    <t>circRNA_3367|Chr2:30384653_30433774_-(Naip6);circRNA_3369|Chr2:30410157_30454166_-(Naip5);circRNA_4041|Chr3:2762162_2764477_-(Traf2);circRNA_4949|Chr4:180721313_180722357_-(Itpr2);circRNA_5042|Chr5:29851601_29865341_-(Ripk2);circRNA_5882|Chr6:135672583_135696475_+(Traf3);</t>
  </si>
  <si>
    <t>rno04622</t>
  </si>
  <si>
    <t>RIG-I-like receptor signaling pathway</t>
  </si>
  <si>
    <t>circRNA_3203|Chr19:38057557_38062193_+(Nfatc3);circRNA_4949|Chr4:180721313_180722357_-(Itpr2);circRNA_6032|Chr7:60733754_60737965_-(Mdm2);circRNA_6605|Chr8:107334721_107366975_-(Pik3cb);</t>
  </si>
  <si>
    <t>circRNA_0848|Chr10:11626519_11627228_+(Crebbp);circRNA_3061|Chr18:73479863_73490210_+(Pias2);circRNA_6183|Chr7:122834692_122835329_+(Ep300);circRNA_6605|Chr8:107334721_107366975_-(Pik3cb);</t>
  </si>
  <si>
    <t>rno04650</t>
  </si>
  <si>
    <t>Natural killer cell mediated cytotoxicity</t>
  </si>
  <si>
    <t>circRNA_3750|Chr2:212471565_212487554_+(Vav3);circRNA_3871|Chr20:3232306_3247033_+(RT1-T24-3);circRNA_6605|Chr8:107334721_107366975_-(Pik3cb);</t>
  </si>
  <si>
    <t>rno04657</t>
  </si>
  <si>
    <t>IL-17 signaling pathway</t>
  </si>
  <si>
    <t>circRNA_3203|Chr19:38057557_38062193_+(Nfatc3);circRNA_4377|Chr3:130093308_130099815_-(Jag1);</t>
  </si>
  <si>
    <t>circRNA_3057|Chr18:72593000_72595275_+(Smad2);circRNA_3203|Chr19:38057557_38062193_+(Nfatc3);</t>
  </si>
  <si>
    <t>circRNA_3203|Chr19:38057557_38062193_+(Nfatc3);circRNA_3750|Chr2:212471565_212487554_+(Vav3);circRNA_6605|Chr8:107334721_107366975_-(Pik3cb);</t>
  </si>
  <si>
    <t>rno04664</t>
  </si>
  <si>
    <t>Fc epsilon RI signaling pathway</t>
  </si>
  <si>
    <t>circRNA_3750|Chr2:212471565_212487554_+(Vav3);circRNA_6605|Chr8:107334721_107366975_-(Pik3cb);</t>
  </si>
  <si>
    <t>circRNA_0035|Chr1:15488392_15526167_+(Map3k5);circRNA_0038|Chr1:15545013_15551204_+(Map3k5);circRNA_4041|Chr3:2762162_2764477_-(Traf2);circRNA_4377|Chr3:130093308_130099815_-(Jag1);circRNA_5882|Chr6:135672583_135696475_+(Traf3);circRNA_6605|Chr8:107334721_107366975_-(Pik3cb);</t>
  </si>
  <si>
    <t>circRNA_3750|Chr2:212471565_212487554_+(Vav3);circRNA_6153|Chr7:114523676_114540933_-(Ptk2);circRNA_6605|Chr8:107334721_107366975_-(Pik3cb);</t>
  </si>
  <si>
    <t>circRNA_0881|Chr10:17619518_17632113_+(Fbxw11);</t>
  </si>
  <si>
    <t>circRNA_0589|Chr1:233561451_233581182_+(Gnaq);circRNA_0591|Chr1:233578229_233581182_+(Gnaq);circRNA_4863|Chr4:151118221_151123637_-(Cacna1c);circRNA_6264|Chr8:439822_456940_+(Gucy1a2);</t>
  </si>
  <si>
    <t>circRNA_0035|Chr1:15488392_15526167_+(Map3k5);circRNA_0038|Chr1:15545013_15551204_+(Map3k5);</t>
  </si>
  <si>
    <t>circRNA_0589|Chr1:233561451_233581182_+(Gnaq);circRNA_0591|Chr1:233578229_233581182_+(Gnaq);circRNA_0848|Chr10:11626519_11627228_+(Crebbp);circRNA_4863|Chr4:151118221_151123637_-(Cacna1c);circRNA_4949|Chr4:180721313_180722357_-(Itpr2);circRNA_6183|Chr7:122834692_122835329_+(Ep300);</t>
  </si>
  <si>
    <t>rno04721</t>
  </si>
  <si>
    <t>Synaptic vesicle cycle</t>
  </si>
  <si>
    <t>circRNA_0035|Chr1:15488392_15526167_+(Map3k5);circRNA_0038|Chr1:15545013_15551204_+(Map3k5);circRNA_1266|Chr10:109754888_109755050_+(Arhgdia);circRNA_1267|Chr10:109754906_109755050_+(Arhgdia);circRNA_5042|Chr5:29851601_29865341_-(Ripk2);circRNA_6605|Chr8:107334721_107366975_-(Pik3cb);</t>
  </si>
  <si>
    <t>circRNA_0589|Chr1:233561451_233581182_+(Gnaq);circRNA_0591|Chr1:233578229_233581182_+(Gnaq);circRNA_4863|Chr4:151118221_151123637_-(Cacna1c);circRNA_4949|Chr4:180721313_180722357_-(Itpr2);circRNA_6219|Chr7:130522030_130524289_+(Shank3);</t>
  </si>
  <si>
    <t>circRNA_0589|Chr1:233561451_233581182_+(Gnaq);circRNA_0591|Chr1:233578229_233581182_+(Gnaq);circRNA_4863|Chr4:151118221_151123637_-(Cacna1c);circRNA_4949|Chr4:180721313_180722357_-(Itpr2);circRNA_6605|Chr8:107334721_107366975_-(Pik3cb);</t>
  </si>
  <si>
    <t>circRNA_0589|Chr1:233561451_233581182_+(Gnaq);circRNA_0591|Chr1:233578229_233581182_+(Gnaq);circRNA_4863|Chr4:151118221_151123637_-(Cacna1c);circRNA_4949|Chr4:180721313_180722357_-(Itpr2);circRNA_5223|Chr5:115146569_115199307_-(Cyp2j3);</t>
  </si>
  <si>
    <t>circRNA_0589|Chr1:233561451_233581182_+(Gnaq);circRNA_0591|Chr1:233578229_233581182_+(Gnaq);circRNA_4949|Chr4:180721313_180722357_-(Itpr2);circRNA_5223|Chr5:115146569_115199307_-(Cyp2j3);circRNA_6605|Chr8:107334721_107366975_-(Pik3cb);</t>
  </si>
  <si>
    <t>circRNA_1026|Chr10:62623758_62664462_-(Git1);circRNA_1305|Chr11:30029802_30036752_-(Tiam1);circRNA_1878|Chr13:100347405_100353039_-(Enah);circRNA_2378|Chr15:70098761_70139170_-(Diaph3);circRNA_2379|Chr15:70121769_70139170_-(Diaph3);circRNA_3750|Chr2:212471565_212487554_+(Vav3);circRNA_6153|Chr7:114523676_114540933_-(Ptk2);circRNA_6605|Chr8:107334721_107366975_-(Pik3cb);</t>
  </si>
  <si>
    <t>circRNA_0689|Chr1:259396273_259421082_-(Sorbs1);circRNA_0701|Chr1:259434763_259459540_-(Sorbs1);circRNA_6605|Chr8:107334721_107366975_-(Pik3cb);</t>
  </si>
  <si>
    <t>circRNA_0589|Chr1:233561451_233581182_+(Gnaq);circRNA_0591|Chr1:233578229_233581182_+(Gnaq);circRNA_4863|Chr4:151118221_151123637_-(Cacna1c);</t>
  </si>
  <si>
    <t>rno04914</t>
  </si>
  <si>
    <t>Progesterone-mediated oocyte maturation</t>
  </si>
  <si>
    <t>circRNA_0589|Chr1:233561451_233581182_+(Gnaq);circRNA_0591|Chr1:233578229_233581182_+(Gnaq);circRNA_1185|Chr10:88046855_88047023_+(Krt15);circRNA_3885|Chr20:4896892_4921063_-(Hspa1l);circRNA_4949|Chr4:180721313_180722357_-(Itpr2);circRNA_6605|Chr8:107334721_107366975_-(Pik3cb);</t>
  </si>
  <si>
    <t>circRNA_0589|Chr1:233561451_233581182_+(Gnaq);circRNA_0591|Chr1:233578229_233581182_+(Gnaq);circRNA_0848|Chr10:11626519_11627228_+(Crebbp);circRNA_6183|Chr7:122834692_122835329_+(Ep300);</t>
  </si>
  <si>
    <t>rno04917</t>
  </si>
  <si>
    <t>Prolactin signaling pathway</t>
  </si>
  <si>
    <t>circRNA_0589|Chr1:233561451_233581182_+(Gnaq);circRNA_0591|Chr1:233578229_233581182_+(Gnaq);circRNA_0904|Chr10:35816390_35818308_-(Canx);circRNA_4949|Chr4:180721313_180722357_-(Itpr2);</t>
  </si>
  <si>
    <t>circRNA_0848|Chr10:11626519_11627228_+(Crebbp);circRNA_0972|Chr10:48749746_48753281_-(Ncor1);circRNA_1658|Chr12:43576497_43576734_-(Med13l);circRNA_6032|Chr7:60733754_60737965_-(Mdm2);circRNA_6183|Chr7:122834692_122835329_+(Ep300);circRNA_6605|Chr8:107334721_107366975_-(Pik3cb);</t>
  </si>
  <si>
    <t>rno04920</t>
  </si>
  <si>
    <t>Adipocytokine signaling pathway</t>
  </si>
  <si>
    <t>circRNA_4041|Chr3:2762162_2764477_-(Traf2);</t>
  </si>
  <si>
    <t>circRNA_0589|Chr1:233561451_233581182_+(Gnaq);circRNA_0591|Chr1:233578229_233581182_+(Gnaq);circRNA_3203|Chr19:38057557_38062193_+(Nfatc3);circRNA_4557|Chr4:15859003_15915406_-(Cacna2d1);circRNA_4863|Chr4:151118221_151123637_-(Cacna1c);circRNA_4949|Chr4:180721313_180722357_-(Itpr2);circRNA_6264|Chr8:439822_456940_+(Gucy1a2);</t>
  </si>
  <si>
    <t>circRNA_0589|Chr1:233561451_233581182_+(Gnaq);circRNA_0591|Chr1:233578229_233581182_+(Gnaq);circRNA_0722|Chr1:261165387_261165588_-(Pgam1);circRNA_0848|Chr10:11626519_11627228_+(Crebbp);circRNA_4949|Chr4:180721313_180722357_-(Itpr2);circRNA_6183|Chr7:122834692_122835329_+(Ep300);</t>
  </si>
  <si>
    <t>rno04923</t>
  </si>
  <si>
    <t>Regulation of lipolysis in adipocyte</t>
  </si>
  <si>
    <t>circRNA_0589|Chr1:233561451_233581182_+(Gnaq);circRNA_0591|Chr1:233578229_233581182_+(Gnaq);circRNA_4863|Chr4:151118221_151123637_-(Cacna1c);circRNA_4949|Chr4:180721313_180722357_-(Itpr2);circRNA_6264|Chr8:439822_456940_+(Gucy1a2);</t>
  </si>
  <si>
    <t>circRNA_2592|Chr16:83563772_83585327_+(Col4a1);circRNA_3057|Chr18:72593000_72595275_+(Smad2);circRNA_6605|Chr8:107334721_107366975_-(Pik3cb);</t>
  </si>
  <si>
    <t>circRNA_0589|Chr1:233561451_233581182_+(Gnaq);circRNA_0591|Chr1:233578229_233581182_+(Gnaq);circRNA_4863|Chr4:151118221_151123637_-(Cacna1c);circRNA_4949|Chr4:180721313_180722357_-(Itpr2);circRNA_6157|Chr7:116072198_116158807_-(Cyp11b3);</t>
  </si>
  <si>
    <t>circRNA_4863|Chr4:151118221_151123637_-(Cacna1c);circRNA_6605|Chr8:107334721_107366975_-(Pik3cb);</t>
  </si>
  <si>
    <t>circRNA_0647|Chr1:251455609_251485480_+(Pten);circRNA_6605|Chr8:107334721_107366975_-(Pik3cb);</t>
  </si>
  <si>
    <t>circRNA_0035|Chr1:15488392_15526167_+(Map3k5);circRNA_0038|Chr1:15545013_15551204_+(Map3k5);circRNA_4041|Chr3:2762162_2764477_-(Traf2);circRNA_6605|Chr8:107334721_107366975_-(Pik3cb);</t>
  </si>
  <si>
    <t>circRNA_0589|Chr1:233561451_233581182_+(Gnaq);circRNA_0591|Chr1:233578229_233581182_+(Gnaq);circRNA_4863|Chr4:151118221_151123637_-(Cacna1c);circRNA_4949|Chr4:180721313_180722357_-(Itpr2);circRNA_6157|Chr7:116072198_116158807_-(Cyp11b3);circRNA_6243|Chr7:140533891_140536242_-(Kmt2d);</t>
  </si>
  <si>
    <t>circRNA_3871|Chr20:3232306_3247033_+(RT1-T24-3);circRNA_4601|Chr4:34671682_34674413_-(Ica1);</t>
  </si>
  <si>
    <t>rno04960</t>
  </si>
  <si>
    <t>Aldosterone-regulated sodium reabsorption</t>
  </si>
  <si>
    <t>circRNA_3005|Chr18:60572935_60578301_+(Nedd4l);circRNA_6605|Chr8:107334721_107366975_-(Pik3cb);</t>
  </si>
  <si>
    <t>circRNA_0589|Chr1:233561451_233581182_+(Gnaq);circRNA_0591|Chr1:233578229_233581182_+(Gnaq);</t>
  </si>
  <si>
    <t>circRNA_1266|Chr10:109754888_109755050_+(Arhgdia);circRNA_1267|Chr10:109754906_109755050_+(Arhgdia);</t>
  </si>
  <si>
    <t>circRNA_0589|Chr1:233561451_233581182_+(Gnaq);circRNA_0591|Chr1:233578229_233581182_+(Gnaq);circRNA_4949|Chr4:180721313_180722357_-(Itpr2);</t>
  </si>
  <si>
    <t>rno04973</t>
  </si>
  <si>
    <t>Carbohydrate digestion and absorption</t>
  </si>
  <si>
    <t>circRNA_2592|Chr16:83563772_83585327_+(Col4a1);circRNA_3914|Chr20:12666784_12667523_+(Col6a1);circRNA_3915|Chr20:12784683_12785573_+(Col6a2);</t>
  </si>
  <si>
    <t>rno04976</t>
  </si>
  <si>
    <t>Bile secretion</t>
  </si>
  <si>
    <t>circRNA_2406|Chr15:103706020_103717662_-(Abcc4);</t>
  </si>
  <si>
    <t>circRNA_0786|Chr10:574395_593608_-(Abcc1);circRNA_3912|Chr20:12339749_12342262_-(Slc19a1);</t>
  </si>
  <si>
    <t>circRNA_0589|Chr1:233561451_233581182_+(Gnaq);circRNA_0591|Chr1:233578229_233581182_+(Gnaq);circRNA_0848|Chr10:11626519_11627228_+(Crebbp);circRNA_0984|Chr10:56342097_56352370_-(Polr2a);circRNA_6183|Chr7:122834692_122835329_+(Ep300);</t>
  </si>
  <si>
    <t>circRNA_4049|Chr3:3785953_3786880_+(Gpsm1);</t>
  </si>
  <si>
    <t>circRNA_1255|Chr10:106264856_106265494_+(Sept9);circRNA_6153|Chr7:114523676_114540933_-(Ptk2);circRNA_6605|Chr8:107334721_107366975_-(Pik3cb);</t>
  </si>
  <si>
    <t>circRNA_3367|Chr2:30384653_30433774_-(Naip6);circRNA_3369|Chr2:30410157_30454166_-(Naip5);circRNA_3885|Chr20:4896892_4921063_-(Hspa1l);</t>
  </si>
  <si>
    <t>circRNA_0589|Chr1:233561451_233581182_+(Gnaq);circRNA_0591|Chr1:233578229_233581182_+(Gnaq);circRNA_3057|Chr18:72593000_72595275_+(Smad2);circRNA_6605|Chr8:107334721_107366975_-(Pik3cb);</t>
  </si>
  <si>
    <t>circRNA_0589|Chr1:233561451_233581182_+(Gnaq);circRNA_0591|Chr1:233578229_233581182_+(Gnaq);circRNA_2592|Chr16:83563772_83585327_+(Col4a1);circRNA_6153|Chr7:114523676_114540933_-(Ptk2);circRNA_6605|Chr8:107334721_107366975_-(Pik3cb);</t>
  </si>
  <si>
    <t>circRNA_0848|Chr10:11626519_11627228_+(Crebbp);circRNA_4148|Chr3:46525736_46558304_-(Pla2r1);circRNA_5011|Chr5:14282912_14314250_-(Atp6v1h);circRNA_5042|Chr5:29851601_29865341_-(Ripk2);circRNA_6183|Chr7:122834692_122835329_+(Ep300);</t>
  </si>
  <si>
    <t>circRNA_4041|Chr3:2762162_2764477_-(Traf2);circRNA_5882|Chr6:135672583_135696475_+(Traf3);circRNA_6605|Chr8:107334721_107366975_-(Pik3cb);</t>
  </si>
  <si>
    <t>circRNA_0647|Chr1:251455609_251485480_+(Pten);circRNA_0848|Chr10:11626519_11627228_+(Crebbp);circRNA_3203|Chr19:38057557_38062193_+(Nfatc3);circRNA_6183|Chr7:122834692_122835329_+(Ep300);circRNA_6605|Chr8:107334721_107366975_-(Pik3cb);</t>
  </si>
  <si>
    <t>circRNA_0848|Chr10:11626519_11627228_+(Crebbp);circRNA_3885|Chr20:4896892_4921063_-(Hspa1l);circRNA_6183|Chr7:122834692_122835329_+(Ep300);circRNA_6605|Chr8:107334721_107366975_-(Pik3cb);</t>
  </si>
  <si>
    <t>circRNA_0647|Chr1:251455609_251485480_+(Pten);circRNA_0848|Chr10:11626519_11627228_+(Crebbp);circRNA_2592|Chr16:83563772_83585327_+(Col4a1);circRNA_3871|Chr20:3232306_3247033_+(RT1-T24-3);circRNA_3914|Chr20:12666784_12667523_+(Col6a1);circRNA_3915|Chr20:12784683_12785573_+(Col6a2);circRNA_4377|Chr3:130093308_130099815_-(Jag1);circRNA_5882|Chr6:135672583_135696475_+(Traf3);circRNA_6032|Chr7:60733754_60737965_-(Mdm2);circRNA_6153|Chr7:114523676_114540933_-(Ptk2);circRNA_6169|Chr7:119987740_119990307_-(Mfng);circRNA_6170|Chr7:119987740_119990759_-(Mfng);circRNA_6183|Chr7:122834692_122835329_+(Ep300);circRNA_6605|Chr8:107334721_107366975_-(Pik3cb);</t>
  </si>
  <si>
    <t>circRNA_0848|Chr10:11626519_11627228_+(Crebbp);circRNA_0904|Chr10:35816390_35818308_-(Canx);circRNA_3057|Chr18:72593000_72595275_+(Smad2);circRNA_3203|Chr19:38057557_38062193_+(Nfatc3);circRNA_3871|Chr20:3232306_3247033_+(RT1-T24-3);circRNA_6183|Chr7:122834692_122835329_+(Ep300);circRNA_6605|Chr8:107334721_107366975_-(Pik3cb);</t>
  </si>
  <si>
    <t>circRNA_0848|Chr10:11626519_11627228_+(Crebbp);circRNA_3203|Chr19:38057557_38062193_+(Nfatc3);circRNA_3871|Chr20:3232306_3247033_+(RT1-T24-3);circRNA_4041|Chr3:2762162_2764477_-(Traf2);circRNA_4949|Chr4:180721313_180722357_-(Itpr2);circRNA_5882|Chr6:135672583_135696475_+(Traf3);circRNA_6183|Chr7:122834692_122835329_+(Ep300);circRNA_6605|Chr8:107334721_107366975_-(Pik3cb);</t>
  </si>
  <si>
    <t>circRNA_0848|Chr10:11626519_11627228_+(Crebbp);circRNA_0984|Chr10:56342097_56352370_-(Polr2a);circRNA_3871|Chr20:3232306_3247033_+(RT1-T24-3);circRNA_4041|Chr3:2762162_2764477_-(Traf2);circRNA_5882|Chr6:135672583_135696475_+(Traf3);circRNA_6183|Chr7:122834692_122835329_+(Ep300);</t>
  </si>
  <si>
    <t>circRNA_0848|Chr10:11626519_11627228_+(Crebbp);circRNA_0984|Chr10:56342097_56352370_-(Polr2a);circRNA_2557|Chr16:62132750_62160831_-(Gtf2e2);circRNA_3871|Chr20:3232306_3247033_+(RT1-T24-3);circRNA_3885|Chr20:4896892_4921063_-(Hspa1l);circRNA_4041|Chr3:2762162_2764477_-(Traf2);circRNA_5882|Chr6:135672583_135696475_+(Traf3);circRNA_6032|Chr7:60733754_60737965_-(Mdm2);circRNA_6183|Chr7:122834692_122835329_+(Ep300);circRNA_6605|Chr8:107334721_107366975_-(Pik3cb);</t>
  </si>
  <si>
    <t>circRNA_0589|Chr1:233561451_233581182_+(Gnaq);circRNA_0591|Chr1:233578229_233581182_+(Gnaq);circRNA_0647|Chr1:251455609_251485480_+(Pten);circRNA_0848|Chr10:11626519_11627228_+(Crebbp);circRNA_2592|Chr16:83563772_83585327_+(Col4a1);circRNA_2606|Chr17:1059417_1065593_-(Ptch1);circRNA_3057|Chr18:72593000_72595275_+(Smad2);circRNA_3744|Chr2:210806416_210806638_+(Gstm1);circRNA_3745|Chr2:210808354_210822401_-(Gstm1);circRNA_4041|Chr3:2762162_2764477_-(Traf2);circRNA_4377|Chr3:130093308_130099815_-(Jag1);circRNA_5882|Chr6:135672583_135696475_+(Traf3);circRNA_6032|Chr7:60733754_60737965_-(Mdm2);circRNA_6153|Chr7:114523676_114540933_-(Ptk2);circRNA_6183|Chr7:122834692_122835329_+(Ep300);circRNA_6605|Chr8:107334721_107366975_-(Pik3cb);</t>
  </si>
  <si>
    <t>circRNA_0972|Chr10:48749746_48753281_-(Ncor1);circRNA_1949|Chr14:7291691_7293326_-(Aff1);circRNA_2865|Chr18:6047215_6051719_-(Ss18);circRNA_4565|Chr4:26336094_26341599_+(Cdk14);circRNA_5208|Chr5:106171074_106171781_-(Mllt3);circRNA_6032|Chr7:60733754_60737965_-(Mdm2);circRNA_6153|Chr7:114523676_114540933_-(Ptk2);circRNA_6753|Chr9:18653895_18660843_+(Runx2);</t>
  </si>
  <si>
    <t>circRNA_0848|Chr10:11626519_11627228_+(Crebbp);circRNA_2557|Chr16:62132750_62160831_-(Gtf2e2);circRNA_3871|Chr20:3232306_3247033_+(RT1-T24-3);circRNA_4041|Chr3:2762162_2764477_-(Traf2);circRNA_5882|Chr6:135672583_135696475_+(Traf3);circRNA_6032|Chr7:60733754_60737965_-(Mdm2);circRNA_6183|Chr7:122834692_122835329_+(Ep300);circRNA_6605|Chr8:107334721_107366975_-(Pik3cb);</t>
  </si>
  <si>
    <t>circRNA_1305|Chr11:30029802_30036752_-(Tiam1);circRNA_2606|Chr17:1059417_1065593_-(Ptch1);circRNA_3057|Chr18:72593000_72595275_+(Smad2);circRNA_4949|Chr4:180721313_180722357_-(Itpr2);circRNA_6032|Chr7:60733754_60737965_-(Mdm2);circRNA_6153|Chr7:114523676_114540933_-(Ptk2);circRNA_6605|Chr8:107334721_107366975_-(Pik3cb);</t>
  </si>
  <si>
    <t>circRNA_0647|Chr1:251455609_251485480_+(Pten);circRNA_0786|Chr10:574395_593608_-(Abcc1);circRNA_0848|Chr10:11626519_11627228_+(Crebbp);circRNA_1505|Chr12:8089735_8096761_+(Slc7a1);circRNA_6032|Chr7:60733754_60737965_-(Mdm2);circRNA_6183|Chr7:122834692_122835329_+(Ep300);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</si>
  <si>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</si>
  <si>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circRNA_0647|Chr1:251455609_251485480_+(Pten);circRNA_6032|Chr7:60733754_60737965_-(Mdm2);circRNA_6605|Chr8:107334721_107366975_-(Pik3cb);</t>
  </si>
  <si>
    <t>circRNA_0647|Chr1:251455609_251485480_+(Pten);circRNA_0848|Chr10:11626519_11627228_+(Crebbp);circRNA_6032|Chr7:60733754_60737965_-(Mdm2);circRNA_6183|Chr7:122834692_122835329_+(Ep300);circRNA_6605|Chr8:107334721_107366975_-(Pik3cb);</t>
  </si>
  <si>
    <t>rno05217</t>
  </si>
  <si>
    <t>Basal cell carcinoma</t>
  </si>
  <si>
    <t>circRNA_2606|Chr17:1059417_1065593_-(Ptch1);</t>
  </si>
  <si>
    <t>circRNA_6032|Chr7:60733754_60737965_-(Mdm2);</t>
  </si>
  <si>
    <t>rno05220</t>
  </si>
  <si>
    <t>Chronic myeloid leukemia</t>
  </si>
  <si>
    <t>circRNA_6032|Chr7:60733754_60737965_-(Mdm2);circRNA_6605|Chr8:107334721_107366975_-(Pik3cb);</t>
  </si>
  <si>
    <t>rno05221</t>
  </si>
  <si>
    <t>Acute myeloid leukemia</t>
  </si>
  <si>
    <t>circRNA_0647|Chr1:251455609_251485480_+(Pten);circRNA_2592|Chr16:83563772_83585327_+(Col4a1);circRNA_4041|Chr3:2762162_2764477_-(Traf2);circRNA_5882|Chr6:135672583_135696475_+(Traf3);circRNA_6153|Chr7:114523676_114540933_-(Ptk2);circRNA_6605|Chr8:107334721_107366975_-(Pik3cb);</t>
  </si>
  <si>
    <t>rno05223</t>
  </si>
  <si>
    <t>Non-small cell lung cancer</t>
  </si>
  <si>
    <t>circRNA_0647|Chr1:251455609_251485480_+(Pten);circRNA_4377|Chr3:130093308_130099815_-(Jag1);circRNA_6605|Chr8:107334721_107366975_-(Pik3cb);</t>
  </si>
  <si>
    <t>circRNA_0647|Chr1:251455609_251485480_+(Pten);circRNA_3057|Chr18:72593000_72595275_+(Smad2);circRNA_3744|Chr2:210806416_210806638_+(Gstm1);circRNA_3745|Chr2:210808354_210822401_-(Gstm1);circRNA_6605|Chr8:107334721_107366975_-(Pik3cb);</t>
  </si>
  <si>
    <t>circRNA_0647|Chr1:251455609_251485480_+(Pten);circRNA_0722|Chr1:261165387_261165588_-(Pgam1);circRNA_6605|Chr8:107334721_107366975_-(Pik3cb);</t>
  </si>
  <si>
    <t>circRNA_3871|Chr20:3232306_3247033_+(RT1-T24-3);</t>
  </si>
  <si>
    <t>circRNA_4557|Chr4:15859003_15915406_-(Cacna2d1);circRNA_4863|Chr4:151118221_151123637_-(Cacna1c);</t>
  </si>
  <si>
    <t>circRNA_3871|Chr20:3232306_3247033_+(RT1-T24-3);circRNA_5413|Chr5:156506448_156517254_+(Eif4g3);</t>
  </si>
  <si>
    <t>circRNA_0035|Chr1:15488392_15526167_+(Map3k5);circRNA_0038|Chr1:15545013_15551204_+(Map3k5);circRNA_3744|Chr2:210806416_210806638_+(Gstm1);circRNA_3745|Chr2:210808354_210822401_-(Gstm1);circRNA_6153|Chr7:114523676_114540933_-(Ptk2);circRNA_6605|Chr8:107334721_107366975_-(Pik3cb);</t>
  </si>
  <si>
    <t>rno00020</t>
  </si>
  <si>
    <t>Citrate cycle (TCA cycle)</t>
  </si>
  <si>
    <t>circRNA_1186|Chr10:88397108_88397582_-(Acly);circRNA_5064|Chr5:56464202_56465739_+(Aco1);</t>
  </si>
  <si>
    <t>circRNA_2001|Chr14:33083680_33089673_-(Polr2b);circRNA_5079|Chr5:59143243_59144331_+(Npr2);</t>
  </si>
  <si>
    <t>circRNA_1840|Chr13:85397122_85399509_-(Uck2);circRNA_2001|Chr14:33083680_33089673_-(Polr2b);</t>
  </si>
  <si>
    <t>circRNA_3361|Chr2:30216416_30228352_-(Mccc2);</t>
  </si>
  <si>
    <t>circRNA_0535|Chr1:219018599_219028923_+(Kmt5b);circRNA_3568|Chr2:140592437_140597578_-(Setd7);circRNA_3645|Chr2:188266536_188309036_+(Ash1l);circRNA_3652|Chr2:188281555_188286112_+(Ash1l);circRNA_3654|Chr2:188281555_188309036_+(Ash1l);circRNA_3658|Chr2:188298849_188309036_+(Ash1l);circRNA_3667|Chr2:188378866_188380644_+(Ash1l);circRNA_4626|Chr4:50180977_50200342_-(Aass);circRNA_5439|Chr5:161794861_161804292_-(Prdm2);</t>
  </si>
  <si>
    <t>circRNA_3745|Chr2:210808354_210822401_-(Gstm1);circRNA_5277|Chr5:128468460_128473338_+(Txndc12);</t>
  </si>
  <si>
    <t>rno00510</t>
  </si>
  <si>
    <t>N-Glycan biosynthesis</t>
  </si>
  <si>
    <t>circRNA_3706|Chr2:202970800_202998292_-(Man1a2);</t>
  </si>
  <si>
    <t>rno00512</t>
  </si>
  <si>
    <t>Mucin type O-glycan biosynthesis</t>
  </si>
  <si>
    <t>circRNA_3274|Chr19:57064910_57073804_+(Galnt2);</t>
  </si>
  <si>
    <t>circRNA_3105|Chr19:12536114_12555807_-(Large1);circRNA_5050|Chr5:40131915_40156826_-(Fut9);</t>
  </si>
  <si>
    <t>circRNA_0388|Chr1:185233419_185234547_+(Pik3c2a);circRNA_0647|Chr1:251455609_251485480_+(Pten);circRNA_0677|Chr1:257183839_257192683_+(Plce1);circRNA_0679|Chr1:257191149_257192683_+(Plce1);circRNA_2073|Chr14:60581951_60586776_-(Pi4k2b);circRNA_2831|Chr18:301858_306376_-(Mtmr1);circRNA_4375|Chr3:128863086_128865813_+(Plcb4);circRNA_4376|Chr3:128908691_128911559_+(Plcb4);circRNA_6917|Chr9:71915420_71927987_+(Pikfyve);circRNA_6922|Chr9:71954951_71960153_+(Pikfyve);</t>
  </si>
  <si>
    <t>circRNA_1685|Chr13:25616432_25627356_-(Pign);</t>
  </si>
  <si>
    <t>circRNA_1955|Chr14:9421418_9440942_-(Cds1);circRNA_3513|Chr2:113739689_113747247_+(Pld1);circRNA_3516|Chr2:113788385_113806098_+(Pld1);circRNA_3736|Chr2:209143856_209152642_-(Cept1);circRNA_5564|Chr6:25409775_25417047_-(Plb1);</t>
  </si>
  <si>
    <t>circRNA_3513|Chr2:113739689_113747247_+(Pld1);circRNA_3516|Chr2:113788385_113806098_+(Pld1);circRNA_3736|Chr2:209143856_209152642_-(Cept1);circRNA_4198|Chr3:62696762_62733674_+(Agps);circRNA_5564|Chr6:25409775_25417047_-(Plb1);</t>
  </si>
  <si>
    <t>circRNA_0310|Chr1:163182618_163216364_-(Acer3);circRNA_2887|Chr18:15480332_15494701_+(B4galt6);</t>
  </si>
  <si>
    <t>circRNA_3858|Chr2:259591896_259592305_-(St6galnac3);circRNA_4762|Chr4:99970321_99980034_+(St3gal5);</t>
  </si>
  <si>
    <t>rno00630</t>
  </si>
  <si>
    <t>Glyoxylate and dicarboxylate metabolism</t>
  </si>
  <si>
    <t>circRNA_5064|Chr5:56464202_56465739_+(Aco1);</t>
  </si>
  <si>
    <t>circRNA_4364|Chr3:123825681_123833222_+(Pank2);</t>
  </si>
  <si>
    <t>circRNA_3745|Chr2:210808354_210822401_-(Gstm1);</t>
  </si>
  <si>
    <t>circRNA_1840|Chr13:85397122_85399509_-(Uck2);circRNA_3745|Chr2:210808354_210822401_-(Gstm1);</t>
  </si>
  <si>
    <t>circRNA_0449|Chr1:200648164_200671090_-(Fgfr2);circRNA_0647|Chr1:251455609_251485480_+(Pten);circRNA_1058|Chr10:66812207_66822005_+(Nf1);circRNA_1060|Chr10:66897863_66898928_+(Nf1);circRNA_2564|Chr16:68958915_68959689_+(Eif4ebp1);circRNA_4703|Chr4:67449579_67455064_-(Braf);circRNA_5496|Chr6:3150789_3165551_-(Sos1);</t>
  </si>
  <si>
    <t>circRNA_4703|Chr4:67449579_67455064_-(Braf);circRNA_5496|Chr6:3150789_3165551_-(Sos1);circRNA_6032|Chr7:60733754_60737965_-(Mdm2);</t>
  </si>
  <si>
    <t>circRNA_0032|Chr1:15474913_15494771_+(Map3k5);circRNA_0035|Chr1:15488392_15526167_+(Map3k5);circRNA_0038|Chr1:15545013_15551204_+(Map3k5);circRNA_3745|Chr2:210808354_210822401_-(Gstm1);circRNA_3996|Chr20:44854295_44866267_+(Rev3l);circRNA_6032|Chr7:60733754_60737965_-(Mdm2);</t>
  </si>
  <si>
    <t>circRNA_3777|Chr2:225359048_225372948_-(Abcd3);</t>
  </si>
  <si>
    <t>circRNA_3471|Chr2:62955690_62956953_+(Drosha);circRNA_4405|Chr3:147736963_147740988_+(Csnk2a1);circRNA_5775|Chr6:108797786_108802113_+(Fcf1);</t>
  </si>
  <si>
    <t>circRNA_0432|Chr1:197981834_197983786_-(Eif3c);circRNA_0433|Chr1:197981834_197983858_-(Eif3c);circRNA_2564|Chr16:68958915_68959689_+(Eif4ebp1);circRNA_2766|Chr17:76245627_76265943_-(Upf2);circRNA_3273|Chr19:56720223_56722271_-(Nup133);circRNA_3456|Chr2:57212775_57217628_+(Nup155);</t>
  </si>
  <si>
    <t>circRNA_2766|Chr17:76245627_76265943_-(Upf2);circRNA_2904|Chr18:24611733_24614740_+(Wdr33);circRNA_5840|Chr6:129621583_129636485_+(Papola);</t>
  </si>
  <si>
    <t>circRNA_0937|Chr10:43539819_43542903_+(Cnot8);circRNA_4735|Chr4:87017858_87018778_-(Lsm5);circRNA_6022|Chr7:59556898_59587314_-(Cnot2);</t>
  </si>
  <si>
    <t>circRNA_1392|Chr11:66082755_66083227_+(Gtf2e1);circRNA_2557|Chr16:62132750_62160831_-(Gtf2e2);</t>
  </si>
  <si>
    <t>circRNA_4494|Chr3:177140837_177145025_+(Prpf6);circRNA_4735|Chr4:87017858_87018778_-(Lsm5);circRNA_5942|Chr7:18519655_18535599_-(Hnrnpm);</t>
  </si>
  <si>
    <t>circRNA_0273|Chr1:142733786_142740091_-(Sec11a);</t>
  </si>
  <si>
    <t>circRNA_0688|Chr1:259396273_259409897_-(Sorbs1);circRNA_0698|Chr1:259421033_259450845_-(Sorbs1);circRNA_0701|Chr1:259434763_259459540_-(Sorbs1);circRNA_4845|Chr4:147295666_147361944_+(Pparg);circRNA_4846|Chr4:147295666_147372423_+(Pparg);circRNA_6203|Chr7:126667194_126669197_+(Ppara);circRNA_6204|Chr7:126667194_126671241_+(Ppara);</t>
  </si>
  <si>
    <t>circRNA_1480|Chr11:89316354_89332868_-(Prkdc);</t>
  </si>
  <si>
    <t>rno03460</t>
  </si>
  <si>
    <t>Fanconi anemia pathway</t>
  </si>
  <si>
    <t>circRNA_3996|Chr20:44854295_44866267_+(Rev3l);</t>
  </si>
  <si>
    <t>circRNA_0032|Chr1:15474913_15494771_+(Map3k5);circRNA_0035|Chr1:15488392_15526167_+(Map3k5);circRNA_0038|Chr1:15545013_15551204_+(Map3k5);circRNA_0449|Chr1:200648164_200671090_-(Fgfr2);circRNA_1021|Chr10:62540625_62581037_+(Taok1);circRNA_1023|Chr10:62566642_62575768_+(Taok1);circRNA_1058|Chr10:66812207_66822005_+(Nf1);circRNA_1060|Chr10:66897863_66898928_+(Nf1);circRNA_1215|Chr10:94307816_94320863_+(Map3k3);circRNA_2339|Chr15:51936366_51954838_-(Ppp3cc);circRNA_3203|Chr19:38057557_38062193_+(Nfatc3);circRNA_3821|Chr2:242041489_242041689_+(Ppp3ca);circRNA_4552|Chr4:15748953_15780820_-(Cacna2d1);circRNA_4554|Chr4:15760711_15780820_-(Cacna2d1);circRNA_4703|Chr4:67449579_67455064_-(Braf);circRNA_5217|Chr5:113794314_113803150_+(Tek);circRNA_5496|Chr6:3150789_3165551_-(Sos1);circRNA_5518|Chr6:8249799_8261060_+(Ppm1b);circRNA_5804|Chr6:124625936_124652103_-(Rps6ka5);circRNA_6021|Chr7:59290002_59307430_+(Ptprr);</t>
  </si>
  <si>
    <t>circRNA_2564|Chr16:68958915_68959689_+(Eif4ebp1);circRNA_3794|Chr2:231056605_231078948_+(Camk2d);circRNA_4703|Chr4:67449579_67455064_-(Braf);circRNA_5496|Chr6:3150789_3165551_-(Sos1);circRNA_7190|ChrX:114972099_114978572_+(Pak3);circRNA_7191|ChrX:114972099_114999004_+(Pak3);</t>
  </si>
  <si>
    <t>circRNA_0449|Chr1:200648164_200671090_-(Fgfr2);circRNA_0677|Chr1:257183839_257192683_+(Plce1);circRNA_0679|Chr1:257191149_257192683_+(Plce1);circRNA_1058|Chr10:66812207_66822005_+(Nf1);circRNA_1060|Chr10:66897863_66898928_+(Nf1);circRNA_3513|Chr2:113739689_113747247_+(Pld1);circRNA_3516|Chr2:113788385_113806098_+(Pld1);circRNA_5217|Chr5:113794314_113803150_+(Tek);circRNA_5467|Chr5:172936581_172957859_+(Gnb1);circRNA_5468|Chr5:172936581_172965700_+(Gnb1);circRNA_5496|Chr6:3150789_3165551_-(Sos1);circRNA_7190|ChrX:114972099_114978572_+(Pak3);circRNA_7191|ChrX:114972099_114999004_+(Pak3);</t>
  </si>
  <si>
    <t>circRNA_0449|Chr1:200648164_200671090_-(Fgfr2);circRNA_0589|Chr1:233561451_233581182_+(Gnaq);circRNA_0591|Chr1:233578229_233581182_+(Gnaq);circRNA_0677|Chr1:257183839_257192683_+(Plce1);circRNA_0679|Chr1:257191149_257192683_+(Plce1);circRNA_1547|Chr12:13717791_13718009_-(Actb);circRNA_4375|Chr3:128863086_128865813_+(Plcb4);circRNA_4376|Chr3:128908691_128911559_+(Plcb4);circRNA_4703|Chr4:67449579_67455064_-(Braf);circRNA_5217|Chr5:113794314_113803150_+(Tek);circRNA_5766|Chr6:106053312_106055105_+(Sipa1l1);</t>
  </si>
  <si>
    <t>circRNA_0589|Chr1:233561451_233581182_+(Gnaq);circRNA_0591|Chr1:233578229_233581182_+(Gnaq);circRNA_0677|Chr1:257183839_257192683_+(Plce1);circRNA_0679|Chr1:257191149_257192683_+(Plce1);circRNA_2339|Chr15:51936366_51954838_-(Ppp3cc);circRNA_3124|Chr19:22103121_22128599_-(Phkb);circRNA_3129|Chr19:22143641_22179584_-(Phkb);circRNA_3794|Chr2:231056605_231078948_+(Camk2d);circRNA_3821|Chr2:242041489_242041689_+(Ppp3ca);circRNA_4375|Chr3:128863086_128865813_+(Plcb4);circRNA_4376|Chr3:128908691_128911559_+(Plcb4);circRNA_5986|Chr7:41167312_41167751_+(Atp2b1);</t>
  </si>
  <si>
    <t>circRNA_0232|Chr1:128239552_128242835_-(Mef2a);circRNA_0233|Chr1:128239552_128243030_-(Mef2a);circRNA_0589|Chr1:233561451_233581182_+(Gnaq);circRNA_0591|Chr1:233578229_233581182_+(Gnaq);circRNA_2339|Chr15:51936366_51954838_-(Ppp3cc);circRNA_3203|Chr19:38057557_38062193_+(Nfatc3);circRNA_3821|Chr2:242041489_242041689_+(Ppp3ca);circRNA_4375|Chr3:128863086_128865813_+(Plcb4);circRNA_4376|Chr3:128908691_128911559_+(Plcb4);circRNA_5079|Chr5:59143243_59144331_+(Npr2);circRNA_5986|Chr7:41167312_41167751_+(Atp2b1);circRNA_6004|Chr7:51453247_51479896_-(Ppp1r12a);circRNA_6005|Chr7:51465047_51479896_-(Ppp1r12a);</t>
  </si>
  <si>
    <t>circRNA_0677|Chr1:257183839_257192683_+(Plce1);circRNA_0679|Chr1:257191149_257192683_+(Plce1);circRNA_2606|Chr17:1059417_1065593_-(Ptch1);circRNA_3513|Chr2:113739689_113747247_+(Pld1);circRNA_3516|Chr2:113788385_113806098_+(Pld1);circRNA_3794|Chr2:231056605_231078948_+(Camk2d);circRNA_4703|Chr4:67449579_67455064_-(Braf);circRNA_5986|Chr7:41167312_41167751_+(Atp2b1);circRNA_6004|Chr7:51453247_51479896_-(Ppp1r12a);circRNA_6005|Chr7:51465047_51479896_-(Ppp1r12a);circRNA_6203|Chr7:126667194_126669197_+(Ppara);circRNA_6204|Chr7:126667194_126671241_+(Ppara);</t>
  </si>
  <si>
    <t>circRNA_4478|Chr3:170905824_170929765_-(Bmp7);circRNA_6754|Chr9:20568247_20599410_-(Tnfrsf21);</t>
  </si>
  <si>
    <t>circRNA_4375|Chr3:128863086_128865813_+(Plcb4);circRNA_4376|Chr3:128908691_128911559_+(Plcb4);circRNA_4703|Chr4:67449579_67455064_-(Braf);circRNA_5467|Chr5:172936581_172957859_+(Gnb1);circRNA_5468|Chr5:172936581_172965700_+(Gnb1);circRNA_5496|Chr6:3150789_3165551_-(Sos1);</t>
  </si>
  <si>
    <t>circRNA_4405|Chr3:147736963_147740988_+(Csnk2a1);</t>
  </si>
  <si>
    <t>circRNA_2564|Chr16:68958915_68959689_+(Eif4ebp1);circRNA_3794|Chr2:231056605_231078948_+(Camk2d);circRNA_5217|Chr5:113794314_113803150_+(Tek);</t>
  </si>
  <si>
    <t>circRNA_0647|Chr1:251455609_251485480_+(Pten);circRNA_3057|Chr18:72593000_72595275_+(Smad2);circRNA_3568|Chr2:140592437_140597578_-(Setd7);circRNA_4703|Chr4:67449579_67455064_-(Braf);circRNA_5496|Chr6:3150789_3165551_-(Sos1);circRNA_6032|Chr7:60733754_60737965_-(Mdm2);</t>
  </si>
  <si>
    <t>circRNA_0388|Chr1:185233419_185234547_+(Pik3c2a);circRNA_0647|Chr1:251455609_251485480_+(Pten);circRNA_0677|Chr1:257183839_257192683_+(Plce1);circRNA_0679|Chr1:257191149_257192683_+(Plce1);circRNA_1955|Chr14:9421418_9440942_-(Cds1);circRNA_2073|Chr14:60581951_60586776_-(Pi4k2b);circRNA_2831|Chr18:301858_306376_-(Mtmr1);circRNA_4375|Chr3:128863086_128865813_+(Plcb4);circRNA_4376|Chr3:128908691_128911559_+(Plcb4);circRNA_6917|Chr9:71915420_71927987_+(Pikfyve);circRNA_6922|Chr9:71954951_71960153_+(Pikfyve);</t>
  </si>
  <si>
    <t>circRNA_0032|Chr1:15474913_15494771_+(Map3k5);circRNA_0035|Chr1:15488392_15526167_+(Map3k5);circRNA_0038|Chr1:15545013_15551204_+(Map3k5);circRNA_0589|Chr1:233561451_233581182_+(Gnaq);circRNA_0591|Chr1:233578229_233581182_+(Gnaq);circRNA_0647|Chr1:251455609_251485480_+(Pten);circRNA_3513|Chr2:113739689_113747247_+(Pld1);circRNA_3516|Chr2:113788385_113806098_+(Pld1);circRNA_4375|Chr3:128863086_128865813_+(Plcb4);circRNA_4376|Chr3:128908691_128911559_+(Plcb4);</t>
  </si>
  <si>
    <t>circRNA_3513|Chr2:113739689_113747247_+(Pld1);circRNA_3516|Chr2:113788385_113806098_+(Pld1);circRNA_4375|Chr3:128863086_128865813_+(Plcb4);circRNA_4376|Chr3:128908691_128911559_+(Plcb4);circRNA_5496|Chr6:3150789_3165551_-(Sos1);</t>
  </si>
  <si>
    <t>circRNA_1480|Chr11:89316354_89332868_-(Prkdc);circRNA_3057|Chr18:72593000_72595275_+(Smad2);circRNA_4535|Chr4:9164919_9178179_+(Orc5);circRNA_6032|Chr7:60733754_60737965_-(Mdm2);</t>
  </si>
  <si>
    <t>circRNA_0664|Chr1:255727112_255774681_-(Cpeb3);circRNA_2339|Chr15:51936366_51954838_-(Ppp3cc);circRNA_3794|Chr2:231056605_231078948_+(Camk2d);circRNA_3821|Chr2:242041489_242041689_+(Ppp3ca);</t>
  </si>
  <si>
    <t>circRNA_0647|Chr1:251455609_251485480_+(Pten);circRNA_1813|Chr13:76979427_77035818_+(Rfwd2);circRNA_6032|Chr7:60733754_60737965_-(Mdm2);</t>
  </si>
  <si>
    <t>circRNA_1813|Chr13:76979427_77035818_+(Rfwd2);circRNA_3005|Chr18:60572935_60578301_+(Nedd4l);circRNA_3216|Chr19:39543248_39545672_+(Wwp2);circRNA_3621|Chr2:184309074_184309661_-(Fbxw7);circRNA_3958|Chr20:26818517_26823720_+(Herc4);circRNA_6032|Chr7:60733754_60737965_-(Mdm2);circRNA_6435|Chr8:67808880_67812158_-(Pias1);</t>
  </si>
  <si>
    <t>rno04137</t>
  </si>
  <si>
    <t>Mitophagy - animal</t>
  </si>
  <si>
    <t>circRNA_2770|Chr17:77176705_77178100_+(Optn);circRNA_4336|Chr3:119184942_119187183_+(Usp8);circRNA_4405|Chr3:147736963_147740988_+(Csnk2a1);circRNA_6053|Chr7:66611086_66646540_+(Usp15);</t>
  </si>
  <si>
    <t>circRNA_0319|Chr1:164046102_164055455_-(Uvrag);circRNA_0647|Chr1:251455609_251485480_+(Pten);</t>
  </si>
  <si>
    <t>circRNA_0032|Chr1:15474913_15494771_+(Map3k5);circRNA_0035|Chr1:15488392_15526167_+(Map3k5);circRNA_0038|Chr1:15545013_15551204_+(Map3k5);circRNA_0556|Chr1:221347566_221349792_-(Capn1);circRNA_0913|Chr10:37166067_37178344_-(Sec24a);circRNA_3706|Chr2:202970800_202998292_-(Man1a2);circRNA_5709|Chr6:80085774_80092480_-(Sec23a);</t>
  </si>
  <si>
    <t>circRNA_3332|Chr2:24067948_24083767_+(Ap3b1);circRNA_3335|Chr2:24125860_24161334_+(Ap3b1);</t>
  </si>
  <si>
    <t>circRNA_0449|Chr1:200648164_200671090_-(Fgfr2);circRNA_0504|Chr1:214562895_214605872_+(Ap2a2);circRNA_1693|Chr13:26826515_26846460_-(Vps4b);circRNA_2066|Chr14:48873174_48891769_+(Arap2);circRNA_3005|Chr18:60572935_60578301_+(Nedd4l);circRNA_3057|Chr18:72593000_72595275_+(Smad2);circRNA_3513|Chr2:113739689_113747247_+(Pld1);circRNA_3516|Chr2:113788385_113806098_+(Pld1);circRNA_4336|Chr3:119184942_119187183_+(Usp8);circRNA_4760|Chr4:99489315_99494425_+(Chmp3);circRNA_5983|Chr7:37119218_37131623_+(Eea1);circRNA_6032|Chr7:60733754_60737965_-(Mdm2);circRNA_6193|Chr7:124178915_124182706_-(Arfgap3);circRNA_6241|Chr7:140415223_140417547_-(Arf3);circRNA_6242|Chr7:140415833_140417547_-(Arf3);circRNA_6987|Chr9:96746440_96751314_+(Agap1);circRNA_7030|Chr9:113386175_113416653_-(Rab31);circRNA_7147|ChrX:71119280_71121063_-(Snx12);</t>
  </si>
  <si>
    <t>circRNA_1547|Chr12:13717791_13718009_-(Actb);circRNA_5983|Chr7:37119218_37131623_+(Eea1);circRNA_6917|Chr9:71915420_71927987_+(Pikfyve);circRNA_6922|Chr9:71954951_71960153_+(Pikfyve);</t>
  </si>
  <si>
    <t>circRNA_0163|Chr1:87010380_87010777_+(Ech1);circRNA_3777|Chr2:225359048_225372948_-(Abcd3);circRNA_4198|Chr3:62696762_62733674_+(Agps);</t>
  </si>
  <si>
    <t>circRNA_0647|Chr1:251455609_251485480_+(Pten);circRNA_2564|Chr16:68958915_68959689_+(Eif4ebp1);circRNA_3417|Chr2:44554761_44564131_+(Slc38a9);circRNA_3607|Chr2:178246797_178249289_-(Fnip2);circRNA_4085|Chr3:13510410_13602354_+(Mapkap1);circRNA_4703|Chr4:67449579_67455064_-(Braf);circRNA_5496|Chr6:3150789_3165551_-(Sos1);</t>
  </si>
  <si>
    <t>circRNA_0449|Chr1:200648164_200671090_-(Fgfr2);circRNA_0647|Chr1:251455609_251485480_+(Pten);circRNA_2564|Chr16:68958915_68959689_+(Eif4ebp1);circRNA_3425|Chr2:47139938_47146434_-(Itga1);circRNA_5217|Chr5:113794314_113803150_+(Tek);circRNA_5467|Chr5:172936581_172957859_+(Gnb1);circRNA_5468|Chr5:172936581_172965700_+(Gnb1);circRNA_5496|Chr6:3150789_3165551_-(Sos1);circRNA_5919|Chr7:3368026_3372361_+(Itga7);circRNA_6032|Chr7:60733754_60737965_-(Mdm2);</t>
  </si>
  <si>
    <t>circRNA_2564|Chr16:68958915_68959689_+(Eif4ebp1);circRNA_4845|Chr4:147295666_147361944_+(Pparg);circRNA_4846|Chr4:147295666_147372423_+(Pparg);</t>
  </si>
  <si>
    <t>circRNA_0032|Chr1:15474913_15494771_+(Map3k5);circRNA_0035|Chr1:15488392_15526167_+(Map3k5);circRNA_0038|Chr1:15545013_15551204_+(Map3k5);circRNA_0556|Chr1:221347566_221349792_-(Capn1);circRNA_1547|Chr12:13717791_13718009_-(Actb);circRNA_1952|Chr14:7796209_7810203_-(Ptpn13);</t>
  </si>
  <si>
    <t>circRNA_0556|Chr1:221347566_221349792_-(Capn1);circRNA_1693|Chr13:26826515_26846460_-(Vps4b);circRNA_3794|Chr2:231056605_231078948_+(Camk2d);circRNA_4337|Chr3:119264196_119265879_-(Trpm7);circRNA_4760|Chr4:99489315_99494425_+(Chmp3);circRNA_5289|Chr5:129413066_129457884_+(Faf1);circRNA_5291|Chr5:129413066_129491380_+(Faf1);</t>
  </si>
  <si>
    <t>circRNA_0556|Chr1:221347566_221349792_-(Capn1);circRNA_0647|Chr1:251455609_251485480_+(Pten);circRNA_1959|Chr14:10786399_10794860_+(Lin54);circRNA_2339|Chr15:51936366_51954838_-(Ppp3cc);circRNA_2564|Chr16:68958915_68959689_+(Eif4ebp1);circRNA_3057|Chr18:72593000_72595275_+(Smad2);circRNA_3203|Chr19:38057557_38062193_+(Nfatc3);circRNA_3821|Chr2:242041489_242041689_+(Ppp3ca);circRNA_4337|Chr3:119264196_119265879_-(Trpm7);circRNA_4695|Chr4:66463926_66473208_-(Hipk2);circRNA_6032|Chr7:60733754_60737965_-(Mdm2);</t>
  </si>
  <si>
    <t>circRNA_4552|Chr4:15748953_15780820_-(Cacna2d1);circRNA_4554|Chr4:15760711_15780820_-(Cacna2d1);</t>
  </si>
  <si>
    <t>circRNA_0589|Chr1:233561451_233581182_+(Gnaq);circRNA_0591|Chr1:233578229_233581182_+(Gnaq);circRNA_3794|Chr2:231056605_231078948_+(Camk2d);circRNA_4375|Chr3:128863086_128865813_+(Plcb4);circRNA_4376|Chr3:128908691_128911559_+(Plcb4);circRNA_4552|Chr4:15748953_15780820_-(Cacna2d1);circRNA_4554|Chr4:15760711_15780820_-(Cacna2d1);circRNA_5804|Chr6:124625936_124652103_-(Rps6ka5);circRNA_5986|Chr7:41167312_41167751_+(Atp2b1);</t>
  </si>
  <si>
    <t>circRNA_0589|Chr1:233561451_233581182_+(Gnaq);circRNA_0591|Chr1:233578229_233581182_+(Gnaq);circRNA_0807|Chr10:841855_843446_+(Myh11);circRNA_4375|Chr3:128863086_128865813_+(Plcb4);circRNA_4376|Chr3:128908691_128911559_+(Plcb4);circRNA_4703|Chr4:67449579_67455064_-(Braf);circRNA_4776|Chr4:115221467_115224878_-(Actg2);circRNA_5079|Chr5:59143243_59144331_+(Npr2);circRNA_6004|Chr7:51453247_51479896_-(Ppp1r12a);circRNA_6005|Chr7:51465047_51479896_-(Ppp1r12a);circRNA_6343|Chr8:47303909_47306590_-(Arhgef12);</t>
  </si>
  <si>
    <t>circRNA_2339|Chr15:51936366_51954838_-(Ppp3cc);circRNA_3203|Chr19:38057557_38062193_+(Nfatc3);circRNA_3709|Chr2:204602015_204607697_-(Vangl1);circRNA_3794|Chr2:231056605_231078948_+(Camk2d);circRNA_3821|Chr2:242041489_242041689_+(Ppp3ca);circRNA_4375|Chr3:128863086_128865813_+(Plcb4);circRNA_4376|Chr3:128908691_128911559_+(Plcb4);circRNA_4405|Chr3:147736963_147740988_+(Csnk2a1);</t>
  </si>
  <si>
    <t>circRNA_3057|Chr18:72593000_72595275_+(Smad2);circRNA_4478|Chr3:170905824_170929765_-(Bmp7);</t>
  </si>
  <si>
    <t>circRNA_1878|Chr13:100347405_100353039_-(Enah);circRNA_2339|Chr15:51936366_51954838_-(Ppp3cc);circRNA_2606|Chr17:1059417_1065593_-(Ptch1);circRNA_3203|Chr19:38057557_38062193_+(Nfatc3);circRNA_3794|Chr2:231056605_231078948_+(Camk2d);circRNA_3821|Chr2:242041489_242041689_+(Ppp3ca);circRNA_4478|Chr3:170905824_170929765_-(Bmp7);circRNA_6045|Chr7:64024698_64033477_-(Srgap1);circRNA_6046|Chr7:64125692_64131186_-(Srgap1);circRNA_6343|Chr8:47303909_47306590_-(Arhgef12);circRNA_7190|ChrX:114972099_114978572_+(Pak3);circRNA_7191|ChrX:114972099_114999004_+(Pak3);</t>
  </si>
  <si>
    <t>circRNA_2339|Chr15:51936366_51954838_-(Ppp3cc);circRNA_3821|Chr2:242041489_242041689_+(Ppp3ca);</t>
  </si>
  <si>
    <t>circRNA_0232|Chr1:128239552_128242835_-(Mef2a);circRNA_0233|Chr1:128239552_128243030_-(Mef2a);circRNA_0589|Chr1:233561451_233581182_+(Gnaq);circRNA_0591|Chr1:233578229_233581182_+(Gnaq);circRNA_3057|Chr18:72593000_72595275_+(Smad2);circRNA_4375|Chr3:128863086_128865813_+(Plcb4);circRNA_4376|Chr3:128908691_128911559_+(Plcb4);circRNA_5467|Chr5:172936581_172957859_+(Gnb1);circRNA_5468|Chr5:172936581_172965700_+(Gnb1);</t>
  </si>
  <si>
    <t>circRNA_2339|Chr15:51936366_51954838_-(Ppp3cc);circRNA_3821|Chr2:242041489_242041689_+(Ppp3ca);circRNA_4845|Chr4:147295666_147361944_+(Pparg);circRNA_4846|Chr4:147295666_147372423_+(Pparg);</t>
  </si>
  <si>
    <t>circRNA_1427|Chr11:72245130_72264219_-(Dlg1);circRNA_1547|Chr12:13717791_13718009_-(Actb);circRNA_2927|Chr18:27956412_27984766_+(Ctnna1);circRNA_3057|Chr18:72593000_72595275_+(Smad2);circRNA_4478|Chr3:170905824_170929765_-(Bmp7);circRNA_5228|Chr5:117052259_117060839_+(Patj);circRNA_6273|Chr8:6150134_6161740_-(Yap1);</t>
  </si>
  <si>
    <t>circRNA_6273|Chr8:6150134_6161740_-(Yap1);</t>
  </si>
  <si>
    <t>circRNA_0493|Chr1:206956299_206969242_+(Dock1);circRNA_0647|Chr1:251455609_251485480_+(Pten);circRNA_1547|Chr12:13717791_13718009_-(Actb);circRNA_3425|Chr2:47139938_47146434_-(Itga1);circRNA_4703|Chr4:67449579_67455064_-(Braf);circRNA_5496|Chr6:3150789_3165551_-(Sos1);circRNA_5919|Chr7:3368026_3372361_+(Itga7);circRNA_6004|Chr7:51453247_51479896_-(Ppp1r12a);circRNA_6005|Chr7:51465047_51479896_-(Ppp1r12a);circRNA_7047|Chr9:119309035_119311107_-(Myl12b);circRNA_7190|ChrX:114972099_114978572_+(Pak3);circRNA_7191|ChrX:114972099_114999004_+(Pak3);</t>
  </si>
  <si>
    <t>circRNA_3425|Chr2:47139938_47146434_-(Itga1);circRNA_5919|Chr7:3368026_3372361_+(Itga7);</t>
  </si>
  <si>
    <t>circRNA_3372|Chr2:30559682_30566431_-(Ocln);</t>
  </si>
  <si>
    <t>circRNA_0220|Chr1:126149975_126164946_-(Tjp1);circRNA_0688|Chr1:259396273_259409897_-(Sorbs1);circRNA_0698|Chr1:259421033_259450845_-(Sorbs1);circRNA_0701|Chr1:259434763_259459540_-(Sorbs1);circRNA_1547|Chr12:13717791_13718009_-(Actb);circRNA_2927|Chr18:27956412_27984766_+(Ctnna1);circRNA_3057|Chr18:72593000_72595275_+(Smad2);circRNA_4405|Chr3:147736963_147740988_+(Csnk2a1);</t>
  </si>
  <si>
    <t>circRNA_0032|Chr1:15474913_15494771_+(Map3k5);circRNA_0035|Chr1:15488392_15526167_+(Map3k5);circRNA_0038|Chr1:15545013_15551204_+(Map3k5);circRNA_0220|Chr1:126149975_126164946_-(Tjp1);circRNA_0607|Chr1:241963278_241964424_-(Tjp2);circRNA_0807|Chr10:841855_843446_+(Myh11);circRNA_1427|Chr11:72245130_72264219_-(Dlg1);circRNA_1497|Chr12:1975318_1979802_+(Arhgef18);circRNA_1547|Chr12:13717791_13718009_-(Actb);circRNA_3005|Chr18:60572935_60578301_+(Nedd4l);circRNA_3372|Chr2:30559682_30566431_-(Ocln);circRNA_5228|Chr5:117052259_117060839_+(Patj);circRNA_7047|Chr9:119309035_119311107_-(Myl12b);</t>
  </si>
  <si>
    <t>circRNA_0220|Chr1:126149975_126164946_-(Tjp1);circRNA_0589|Chr1:233561451_233581182_+(Gnaq);circRNA_0591|Chr1:233578229_233581182_+(Gnaq);circRNA_4375|Chr3:128863086_128865813_+(Plcb4);circRNA_4376|Chr3:128908691_128911559_+(Plcb4);circRNA_5496|Chr6:3150789_3165551_-(Sos1);</t>
  </si>
  <si>
    <t>circRNA_0449|Chr1:200648164_200671090_-(Fgfr2);circRNA_3057|Chr18:72593000_72595275_+(Smad2);circRNA_3224|Chr19:42911935_42920390_-(Zfhx3);circRNA_4741|Chr4:95892497_95912787_+(Smarcad1);</t>
  </si>
  <si>
    <t>circRNA_0589|Chr1:233561451_233581182_+(Gnaq);circRNA_0591|Chr1:233578229_233581182_+(Gnaq);circRNA_1547|Chr12:13717791_13718009_-(Actb);circRNA_4375|Chr3:128863086_128865813_+(Plcb4);circRNA_4376|Chr3:128908691_128911559_+(Plcb4);circRNA_6004|Chr7:51453247_51479896_-(Ppp1r12a);circRNA_6005|Chr7:51465047_51479896_-(Ppp1r12a);circRNA_6343|Chr8:47303909_47306590_-(Arhgef12);circRNA_7047|Chr9:119309035_119311107_-(Myl12b);</t>
  </si>
  <si>
    <t>circRNA_4337|Chr3:119264196_119265879_-(Trpm7);circRNA_4375|Chr3:128863086_128865813_+(Plcb4);circRNA_4376|Chr3:128908691_128911559_+(Plcb4);circRNA_4804|Chr4:119077003_119083375_-(Antxr1);circRNA_5042|Chr5:29851601_29865341_-(Ripk2);</t>
  </si>
  <si>
    <t>circRNA_2339|Chr15:51936366_51954838_-(Ppp3cc);circRNA_3203|Chr19:38057557_38062193_+(Nfatc3);circRNA_3821|Chr2:242041489_242041689_+(Ppp3ca);circRNA_6032|Chr7:60733754_60737965_-(Mdm2);circRNA_6343|Chr8:47303909_47306590_-(Arhgef12);</t>
  </si>
  <si>
    <t>circRNA_5496|Chr6:3150789_3165551_-(Sos1);circRNA_6435|Chr8:67808880_67812158_-(Pias1);</t>
  </si>
  <si>
    <t>circRNA_3425|Chr2:47139938_47146434_-(Itga1);</t>
  </si>
  <si>
    <t>circRNA_2339|Chr15:51936366_51954838_-(Ppp3cc);circRNA_3821|Chr2:242041489_242041689_+(Ppp3ca);circRNA_4703|Chr4:67449579_67455064_-(Braf);circRNA_5496|Chr6:3150789_3165551_-(Sos1);</t>
  </si>
  <si>
    <t>circRNA_6532|Chr8:82334237_82340165_-(Mapk6);</t>
  </si>
  <si>
    <t>circRNA_2339|Chr15:51936366_51954838_-(Ppp3cc);circRNA_3203|Chr19:38057557_38062193_+(Nfatc3);circRNA_3821|Chr2:242041489_242041689_+(Ppp3ca);</t>
  </si>
  <si>
    <t>circRNA_2339|Chr15:51936366_51954838_-(Ppp3cc);circRNA_3057|Chr18:72593000_72595275_+(Smad2);circRNA_3203|Chr19:38057557_38062193_+(Nfatc3);circRNA_3821|Chr2:242041489_242041689_+(Ppp3ca);</t>
  </si>
  <si>
    <t>circRNA_1427|Chr11:72245130_72264219_-(Dlg1);circRNA_2339|Chr15:51936366_51954838_-(Ppp3cc);circRNA_3203|Chr19:38057557_38062193_+(Nfatc3);circRNA_3821|Chr2:242041489_242041689_+(Ppp3ca);circRNA_5496|Chr6:3150789_3165551_-(Sos1);circRNA_7190|ChrX:114972099_114978572_+(Pak3);circRNA_7191|ChrX:114972099_114999004_+(Pak3);</t>
  </si>
  <si>
    <t>circRNA_2339|Chr15:51936366_51954838_-(Ppp3cc);circRNA_3203|Chr19:38057557_38062193_+(Nfatc3);circRNA_3821|Chr2:242041489_242041689_+(Ppp3ca);circRNA_5496|Chr6:3150789_3165551_-(Sos1);</t>
  </si>
  <si>
    <t>circRNA_5496|Chr6:3150789_3165551_-(Sos1);</t>
  </si>
  <si>
    <t>circRNA_3513|Chr2:113739689_113747247_+(Pld1);circRNA_3516|Chr2:113788385_113806098_+(Pld1);</t>
  </si>
  <si>
    <t>circRNA_0032|Chr1:15474913_15494771_+(Map3k5);circRNA_0035|Chr1:15488392_15526167_+(Map3k5);circRNA_0038|Chr1:15545013_15551204_+(Map3k5);circRNA_5804|Chr6:124625936_124652103_-(Rps6ka5);</t>
  </si>
  <si>
    <t>circRNA_1547|Chr12:13717791_13718009_-(Actb);circRNA_2927|Chr18:27956412_27984766_+(Ctnna1);circRNA_3372|Chr2:30559682_30566431_-(Ocln);circRNA_7047|Chr9:119309035_119311107_-(Myl12b);</t>
  </si>
  <si>
    <t>circRNA_0589|Chr1:233561451_233581182_+(Gnaq);circRNA_0591|Chr1:233578229_233581182_+(Gnaq);circRNA_3794|Chr2:231056605_231078948_+(Camk2d);circRNA_4375|Chr3:128863086_128865813_+(Plcb4);circRNA_4376|Chr3:128908691_128911559_+(Plcb4);circRNA_5467|Chr5:172936581_172957859_+(Gnb1);circRNA_5468|Chr5:172936581_172965700_+(Gnb1);circRNA_5804|Chr6:124625936_124652103_-(Rps6ka5);</t>
  </si>
  <si>
    <t>circRNA_0032|Chr1:15474913_15494771_+(Map3k5);circRNA_0035|Chr1:15488392_15526167_+(Map3k5);circRNA_0038|Chr1:15545013_15551204_+(Map3k5);circRNA_1547|Chr12:13717791_13718009_-(Actb);circRNA_3087|Chr18:79813606_79815529_+(Zfp516);circRNA_4845|Chr4:147295666_147361944_+(Pparg);circRNA_4846|Chr4:147295666_147372423_+(Pparg);circRNA_5496|Chr6:3150789_3165551_-(Sos1);circRNA_5918|Chr7:2888642_2889413_+(Smarcc2);</t>
  </si>
  <si>
    <t>circRNA_0589|Chr1:233561451_233581182_+(Gnaq);circRNA_0591|Chr1:233578229_233581182_+(Gnaq);circRNA_2339|Chr15:51936366_51954838_-(Ppp3cc);circRNA_3794|Chr2:231056605_231078948_+(Camk2d);circRNA_3821|Chr2:242041489_242041689_+(Ppp3ca);circRNA_4375|Chr3:128863086_128865813_+(Plcb4);circRNA_4376|Chr3:128908691_128911559_+(Plcb4);circRNA_4703|Chr4:67449579_67455064_-(Braf);</t>
  </si>
  <si>
    <t>circRNA_0504|Chr1:214562895_214605872_+(Ap2a2);</t>
  </si>
  <si>
    <t>circRNA_0032|Chr1:15474913_15494771_+(Map3k5);circRNA_0035|Chr1:15488392_15526167_+(Map3k5);circRNA_0038|Chr1:15545013_15551204_+(Map3k5);circRNA_1215|Chr10:94307816_94320863_+(Map3k3);circRNA_1266|Chr10:109754888_109755050_+(Arhgdia);circRNA_3794|Chr2:231056605_231078948_+(Camk2d);circRNA_4703|Chr4:67449579_67455064_-(Braf);circRNA_5042|Chr5:29851601_29865341_-(Ripk2);circRNA_5496|Chr6:3150789_3165551_-(Sos1);circRNA_5804|Chr6:124625936_124652103_-(Rps6ka5);circRNA_6047|Chr7:64927451_64960569_-(Irak3);</t>
  </si>
  <si>
    <t>circRNA_0589|Chr1:233561451_233581182_+(Gnaq);circRNA_0591|Chr1:233578229_233581182_+(Gnaq);circRNA_4375|Chr3:128863086_128865813_+(Plcb4);circRNA_4376|Chr3:128908691_128911559_+(Plcb4);circRNA_5467|Chr5:172936581_172957859_+(Gnb1);circRNA_5468|Chr5:172936581_172965700_+(Gnb1);</t>
  </si>
  <si>
    <t>circRNA_0589|Chr1:233561451_233581182_+(Gnaq);circRNA_0591|Chr1:233578229_233581182_+(Gnaq);circRNA_2339|Chr15:51936366_51954838_-(Ppp3cc);circRNA_3513|Chr2:113739689_113747247_+(Pld1);circRNA_3516|Chr2:113788385_113806098_+(Pld1);circRNA_3821|Chr2:242041489_242041689_+(Ppp3ca);circRNA_4375|Chr3:128863086_128865813_+(Plcb4);circRNA_4376|Chr3:128908691_128911559_+(Plcb4);circRNA_5467|Chr5:172936581_172957859_+(Gnb1);circRNA_5468|Chr5:172936581_172965700_+(Gnb1);circRNA_6219|Chr7:130522030_130524289_+(Shank3);</t>
  </si>
  <si>
    <t>circRNA_0589|Chr1:233561451_233581182_+(Gnaq);circRNA_0591|Chr1:233578229_233581182_+(Gnaq);circRNA_3794|Chr2:231056605_231078948_+(Camk2d);circRNA_4375|Chr3:128863086_128865813_+(Plcb4);circRNA_4376|Chr3:128908691_128911559_+(Plcb4);circRNA_5467|Chr5:172936581_172957859_+(Gnb1);circRNA_5468|Chr5:172936581_172965700_+(Gnb1);</t>
  </si>
  <si>
    <t>circRNA_0589|Chr1:233561451_233581182_+(Gnaq);circRNA_0591|Chr1:233578229_233581182_+(Gnaq);circRNA_4375|Chr3:128863086_128865813_+(Plcb4);circRNA_4376|Chr3:128908691_128911559_+(Plcb4);circRNA_4703|Chr4:67449579_67455064_-(Braf);circRNA_5467|Chr5:172936581_172957859_+(Gnb1);circRNA_5468|Chr5:172936581_172965700_+(Gnb1);</t>
  </si>
  <si>
    <t>circRNA_5467|Chr5:172936581_172957859_+(Gnb1);circRNA_5468|Chr5:172936581_172965700_+(Gnb1);</t>
  </si>
  <si>
    <t>circRNA_0589|Chr1:233561451_233581182_+(Gnaq);circRNA_0591|Chr1:233578229_233581182_+(Gnaq);circRNA_2339|Chr15:51936366_51954838_-(Ppp3cc);circRNA_3794|Chr2:231056605_231078948_+(Camk2d);circRNA_3821|Chr2:242041489_242041689_+(Ppp3ca);circRNA_4375|Chr3:128863086_128865813_+(Plcb4);circRNA_4376|Chr3:128908691_128911559_+(Plcb4);circRNA_5467|Chr5:172936581_172957859_+(Gnb1);circRNA_5468|Chr5:172936581_172965700_+(Gnb1);</t>
  </si>
  <si>
    <t>circRNA_0589|Chr1:233561451_233581182_+(Gnaq);circRNA_0591|Chr1:233578229_233581182_+(Gnaq);circRNA_4375|Chr3:128863086_128865813_+(Plcb4);circRNA_4376|Chr3:128908691_128911559_+(Plcb4);circRNA_4703|Chr4:67449579_67455064_-(Braf);</t>
  </si>
  <si>
    <t>rno04740</t>
  </si>
  <si>
    <t>Olfactory transduction</t>
  </si>
  <si>
    <t>circRNA_3794|Chr2:231056605_231078948_+(Camk2d);circRNA_5467|Chr5:172936581_172957859_+(Gnb1);circRNA_5468|Chr5:172936581_172965700_+(Gnb1);circRNA_6105|Chr7:76229137_76229533_-(Ncald);</t>
  </si>
  <si>
    <t>circRNA_0589|Chr1:233561451_233581182_+(Gnaq);circRNA_0591|Chr1:233578229_233581182_+(Gnaq);circRNA_3794|Chr2:231056605_231078948_+(Camk2d);circRNA_4375|Chr3:128863086_128865813_+(Plcb4);circRNA_4376|Chr3:128908691_128911559_+(Plcb4);</t>
  </si>
  <si>
    <t>circRNA_0449|Chr1:200648164_200671090_-(Fgfr2);circRNA_0493|Chr1:206956299_206969242_+(Dock1);circRNA_1547|Chr12:13717791_13718009_-(Actb);circRNA_1878|Chr13:100347405_100353039_-(Enah);circRNA_2378|Chr15:70098761_70139170_-(Diaph3);circRNA_3425|Chr2:47139938_47146434_-(Itga1);circRNA_4210|Chr3:67751613_67755221_-(Nckap1);circRNA_4703|Chr4:67449579_67455064_-(Braf);circRNA_5496|Chr6:3150789_3165551_-(Sos1);circRNA_5919|Chr7:3368026_3372361_+(Itga7);circRNA_6004|Chr7:51453247_51479896_-(Ppp1r12a);circRNA_6005|Chr7:51465047_51479896_-(Ppp1r12a);circRNA_6343|Chr8:47303909_47306590_-(Arhgef12);circRNA_6894|Chr9:67242046_67257543_+(Abi2);circRNA_6917|Chr9:71915420_71927987_+(Pikfyve);circRNA_6922|Chr9:71954951_71960153_+(Pikfyve);circRNA_7047|Chr9:119309035_119311107_-(Myl12b);circRNA_7190|ChrX:114972099_114978572_+(Pak3);circRNA_7191|ChrX:114972099_114999004_+(Pak3);</t>
  </si>
  <si>
    <t>circRNA_0688|Chr1:259396273_259409897_-(Sorbs1);circRNA_0698|Chr1:259421033_259450845_-(Sorbs1);circRNA_0701|Chr1:259434763_259459540_-(Sorbs1);circRNA_2564|Chr16:68958915_68959689_+(Eif4ebp1);circRNA_3124|Chr19:22103121_22128599_-(Phkb);circRNA_3129|Chr19:22143641_22179584_-(Phkb);circRNA_4703|Chr4:67449579_67455064_-(Braf);circRNA_5496|Chr6:3150789_3165551_-(Sos1);</t>
  </si>
  <si>
    <t>circRNA_0589|Chr1:233561451_233581182_+(Gnaq);circRNA_0591|Chr1:233578229_233581182_+(Gnaq);circRNA_3794|Chr2:231056605_231078948_+(Camk2d);circRNA_4375|Chr3:128863086_128865813_+(Plcb4);circRNA_4376|Chr3:128908691_128911559_+(Plcb4);circRNA_6110|Chr7:78170329_78189124_+(Rims2);</t>
  </si>
  <si>
    <t>circRNA_0589|Chr1:233561451_233581182_+(Gnaq);circRNA_0591|Chr1:233578229_233581182_+(Gnaq);circRNA_1215|Chr10:94307816_94320863_+(Map3k3);circRNA_3513|Chr2:113739689_113747247_+(Pld1);circRNA_3516|Chr2:113788385_113806098_+(Pld1);circRNA_3794|Chr2:231056605_231078948_+(Camk2d);circRNA_4375|Chr3:128863086_128865813_+(Plcb4);circRNA_4376|Chr3:128908691_128911559_+(Plcb4);circRNA_5496|Chr6:3150789_3165551_-(Sos1);</t>
  </si>
  <si>
    <t>circRNA_0664|Chr1:255727112_255774681_-(Cpeb3);circRNA_4703|Chr4:67449579_67455064_-(Braf);</t>
  </si>
  <si>
    <t>circRNA_0589|Chr1:233561451_233581182_+(Gnaq);circRNA_0591|Chr1:233578229_233581182_+(Gnaq);circRNA_4375|Chr3:128863086_128865813_+(Plcb4);circRNA_4376|Chr3:128908691_128911559_+(Plcb4);circRNA_5496|Chr6:3150789_3165551_-(Sos1);</t>
  </si>
  <si>
    <t>circRNA_0589|Chr1:233561451_233581182_+(Gnaq);circRNA_0591|Chr1:233578229_233581182_+(Gnaq);circRNA_4375|Chr3:128863086_128865813_+(Plcb4);circRNA_4376|Chr3:128908691_128911559_+(Plcb4);</t>
  </si>
  <si>
    <t>circRNA_0677|Chr1:257183839_257192683_+(Plce1);circRNA_0679|Chr1:257191149_257192683_+(Plce1);circRNA_1547|Chr12:13717791_13718009_-(Actb);circRNA_4375|Chr3:128863086_128865813_+(Plcb4);circRNA_4376|Chr3:128908691_128911559_+(Plcb4);circRNA_6032|Chr7:60733754_60737965_-(Mdm2);</t>
  </si>
  <si>
    <t>circRNA_6203|Chr7:126667194_126669197_+(Ppara);circRNA_6204|Chr7:126667194_126671241_+(Ppara);</t>
  </si>
  <si>
    <t>circRNA_0589|Chr1:233561451_233581182_+(Gnaq);circRNA_0591|Chr1:233578229_233581182_+(Gnaq);circRNA_1547|Chr12:13717791_13718009_-(Actb);circRNA_2339|Chr15:51936366_51954838_-(Ppp3cc);circRNA_3203|Chr19:38057557_38062193_+(Nfatc3);circRNA_3794|Chr2:231056605_231078948_+(Camk2d);circRNA_3821|Chr2:242041489_242041689_+(Ppp3ca);circRNA_4375|Chr3:128863086_128865813_+(Plcb4);circRNA_4376|Chr3:128908691_128911559_+(Plcb4);circRNA_4552|Chr4:15748953_15780820_-(Cacna2d1);circRNA_4554|Chr4:15760711_15780820_-(Cacna2d1);circRNA_5079|Chr5:59143243_59144331_+(Npr2);circRNA_6004|Chr7:51453247_51479896_-(Ppp1r12a);circRNA_6005|Chr7:51465047_51479896_-(Ppp1r12a);</t>
  </si>
  <si>
    <t>circRNA_0589|Chr1:233561451_233581182_+(Gnaq);circRNA_0591|Chr1:233578229_233581182_+(Gnaq);circRNA_0722|Chr1:261165387_261165588_-(Pgam1);circRNA_2339|Chr15:51936366_51954838_-(Ppp3cc);circRNA_3124|Chr19:22103121_22128599_-(Phkb);circRNA_3129|Chr19:22143641_22179584_-(Phkb);circRNA_3794|Chr2:231056605_231078948_+(Camk2d);circRNA_3821|Chr2:242041489_242041689_+(Ppp3ca);circRNA_4375|Chr3:128863086_128865813_+(Plcb4);circRNA_4376|Chr3:128908691_128911559_+(Plcb4);circRNA_6203|Chr7:126667194_126669197_+(Ppara);circRNA_6204|Chr7:126667194_126671241_+(Ppara);</t>
  </si>
  <si>
    <t>circRNA_0589|Chr1:233561451_233581182_+(Gnaq);circRNA_0591|Chr1:233578229_233581182_+(Gnaq);circRNA_2339|Chr15:51936366_51954838_-(Ppp3cc);circRNA_3821|Chr2:242041489_242041689_+(Ppp3ca);circRNA_4375|Chr3:128863086_128865813_+(Plcb4);circRNA_4376|Chr3:128908691_128911559_+(Plcb4);</t>
  </si>
  <si>
    <t>circRNA_0589|Chr1:233561451_233581182_+(Gnaq);circRNA_0591|Chr1:233578229_233581182_+(Gnaq);circRNA_3794|Chr2:231056605_231078948_+(Camk2d);circRNA_4375|Chr3:128863086_128865813_+(Plcb4);circRNA_4376|Chr3:128908691_128911559_+(Plcb4);circRNA_5986|Chr7:41167312_41167751_+(Atp2b1);</t>
  </si>
  <si>
    <t>circRNA_3057|Chr18:72593000_72595275_+(Smad2);circRNA_4375|Chr3:128863086_128865813_+(Plcb4);circRNA_4376|Chr3:128908691_128911559_+(Plcb4);circRNA_5467|Chr5:172936581_172957859_+(Gnb1);circRNA_5468|Chr5:172936581_172965700_+(Gnb1);circRNA_5496|Chr6:3150789_3165551_-(Sos1);</t>
  </si>
  <si>
    <t>circRNA_0647|Chr1:251455609_251485480_+(Pten);circRNA_6203|Chr7:126667194_126669197_+(Ppara);circRNA_6204|Chr7:126667194_126671241_+(Ppara);</t>
  </si>
  <si>
    <t>circRNA_0032|Chr1:15474913_15494771_+(Map3k5);circRNA_0035|Chr1:15488392_15526167_+(Map3k5);circRNA_0038|Chr1:15545013_15551204_+(Map3k5);circRNA_6203|Chr7:126667194_126669197_+(Ppara);circRNA_6204|Chr7:126667194_126671241_+(Ppara);</t>
  </si>
  <si>
    <t>circRNA_0677|Chr1:257183839_257192683_+(Plce1);circRNA_0679|Chr1:257191149_257192683_+(Plce1);circRNA_3057|Chr18:72593000_72595275_+(Smad2);circRNA_4375|Chr3:128863086_128865813_+(Plcb4);circRNA_4376|Chr3:128908691_128911559_+(Plcb4);</t>
  </si>
  <si>
    <t>circRNA_0589|Chr1:233561451_233581182_+(Gnaq);circRNA_0591|Chr1:233578229_233581182_+(Gnaq);circRNA_3794|Chr2:231056605_231078948_+(Camk2d);circRNA_4336|Chr3:119184942_119187183_+(Usp8);circRNA_4375|Chr3:128863086_128865813_+(Plcb4);circRNA_4376|Chr3:128908691_128911559_+(Plcb4);circRNA_4703|Chr4:67449579_67455064_-(Braf);</t>
  </si>
  <si>
    <t>circRNA_3005|Chr18:60572935_60578301_+(Nedd4l);</t>
  </si>
  <si>
    <t>circRNA_0504|Chr1:214562895_214605872_+(Ap2a2);circRNA_0589|Chr1:233561451_233581182_+(Gnaq);circRNA_0591|Chr1:233578229_233581182_+(Gnaq);circRNA_4375|Chr3:128863086_128865813_+(Plcb4);circRNA_4376|Chr3:128908691_128911559_+(Plcb4);circRNA_5986|Chr7:41167312_41167751_+(Atp2b1);</t>
  </si>
  <si>
    <t>circRNA_1266|Chr10:109754888_109755050_+(Arhgdia);</t>
  </si>
  <si>
    <t>circRNA_0589|Chr1:233561451_233581182_+(Gnaq);circRNA_0591|Chr1:233578229_233581182_+(Gnaq);circRNA_4375|Chr3:128863086_128865813_+(Plcb4);circRNA_4376|Chr3:128908691_128911559_+(Plcb4);circRNA_5986|Chr7:41167312_41167751_+(Atp2b1);</t>
  </si>
  <si>
    <t>circRNA_0589|Chr1:233561451_233581182_+(Gnaq);circRNA_0591|Chr1:233578229_233581182_+(Gnaq);circRNA_1547|Chr12:13717791_13718009_-(Actb);circRNA_3794|Chr2:231056605_231078948_+(Camk2d);circRNA_4375|Chr3:128863086_128865813_+(Plcb4);circRNA_4376|Chr3:128908691_128911559_+(Plcb4);</t>
  </si>
  <si>
    <t>circRNA_4337|Chr3:119264196_119265879_-(Trpm7);circRNA_5986|Chr7:41167312_41167751_+(Atp2b1);</t>
  </si>
  <si>
    <t>circRNA_0556|Chr1:221347566_221349792_-(Capn1);circRNA_0589|Chr1:233561451_233581182_+(Gnaq);circRNA_0591|Chr1:233578229_233581182_+(Gnaq);circRNA_2339|Chr15:51936366_51954838_-(Ppp3cc);circRNA_3821|Chr2:242041489_242041689_+(Ppp3ca);circRNA_4375|Chr3:128863086_128865813_+(Plcb4);circRNA_4376|Chr3:128908691_128911559_+(Plcb4);</t>
  </si>
  <si>
    <t>circRNA_0032|Chr1:15474913_15494771_+(Map3k5);circRNA_0035|Chr1:15488392_15526167_+(Map3k5);circRNA_0038|Chr1:15545013_15551204_+(Map3k5);circRNA_2339|Chr15:51936366_51954838_-(Ppp3cc);circRNA_3821|Chr2:242041489_242041689_+(Ppp3ca);</t>
  </si>
  <si>
    <t>circRNA_0504|Chr1:214562895_214605872_+(Ap2a2);circRNA_0589|Chr1:233561451_233581182_+(Gnaq);circRNA_0591|Chr1:233578229_233581182_+(Gnaq);circRNA_1579|Chr12:24285582_24285875_+(Hip1);circRNA_2001|Chr14:33083680_33089673_-(Polr2b);circRNA_4375|Chr3:128863086_128865813_+(Plcb4);circRNA_4376|Chr3:128908691_128911559_+(Plcb4);circRNA_4845|Chr4:147295666_147361944_+(Pparg);circRNA_4846|Chr4:147295666_147372423_+(Pparg);</t>
  </si>
  <si>
    <t>circRNA_2339|Chr15:51936366_51954838_-(Ppp3cc);circRNA_3794|Chr2:231056605_231078948_+(Camk2d);circRNA_3821|Chr2:242041489_242041689_+(Ppp3ca);</t>
  </si>
  <si>
    <t>rno05032</t>
  </si>
  <si>
    <t>Morphine addiction</t>
  </si>
  <si>
    <t>circRNA_4703|Chr4:67449579_67455064_-(Braf);circRNA_5467|Chr5:172936581_172957859_+(Gnb1);circRNA_5468|Chr5:172936581_172965700_+(Gnb1);circRNA_5496|Chr6:3150789_3165551_-(Sos1);</t>
  </si>
  <si>
    <t>circRNA_0493|Chr1:206956299_206969242_+(Dock1);circRNA_1547|Chr12:13717791_13718009_-(Actb);circRNA_2927|Chr18:27956412_27984766_+(Ctnna1);circRNA_3181|Chr19:34266719_34272145_+(Arhgap10);circRNA_3190|Chr19:34298523_34346224_+(Arhgap10);circRNA_3193|Chr19:34372674_34395489_+(Arhgap10);</t>
  </si>
  <si>
    <t>circRNA_0220|Chr1:126149975_126164946_-(Tjp1);circRNA_1547|Chr12:13717791_13718009_-(Actb);</t>
  </si>
  <si>
    <t>circRNA_0589|Chr1:233561451_233581182_+(Gnaq);circRNA_0591|Chr1:233578229_233581182_+(Gnaq);circRNA_3057|Chr18:72593000_72595275_+(Smad2);circRNA_4375|Chr3:128863086_128865813_+(Plcb4);circRNA_4376|Chr3:128908691_128911559_+(Plcb4);</t>
  </si>
  <si>
    <t>circRNA_2339|Chr15:51936366_51954838_-(Ppp3cc);circRNA_3794|Chr2:231056605_231078948_+(Camk2d);circRNA_3821|Chr2:242041489_242041689_+(Ppp3ca);circRNA_5042|Chr5:29851601_29865341_-(Ripk2);circRNA_5983|Chr7:37119218_37131623_+(Eea1);circRNA_6343|Chr8:47303909_47306590_-(Arhgef12);</t>
  </si>
  <si>
    <t>circRNA_3372|Chr2:30559682_30566431_-(Ocln);circRNA_4703|Chr4:67449579_67455064_-(Braf);circRNA_5496|Chr6:3150789_3165551_-(Sos1);circRNA_6203|Chr7:126667194_126669197_+(Ppara);circRNA_6204|Chr7:126667194_126671241_+(Ppara);circRNA_6435|Chr8:67808880_67812158_-(Pias1);</t>
  </si>
  <si>
    <t>circRNA_0647|Chr1:251455609_251485480_+(Pten);circRNA_3203|Chr19:38057557_38062193_+(Nfatc3);</t>
  </si>
  <si>
    <t>circRNA_0647|Chr1:251455609_251485480_+(Pten);circRNA_1427|Chr11:72245130_72264219_-(Dlg1);circRNA_2564|Chr16:68958915_68959689_+(Eif4ebp1);circRNA_3425|Chr2:47139938_47146434_-(Itga1);circRNA_5228|Chr5:117052259_117060839_+(Patj);circRNA_5496|Chr6:3150789_3165551_-(Sos1);circRNA_5919|Chr7:3368026_3372361_+(Itga7);circRNA_6032|Chr7:60733754_60737965_-(Mdm2);</t>
  </si>
  <si>
    <t>circRNA_1215|Chr10:94307816_94320863_+(Map3k3);circRNA_1427|Chr11:72245130_72264219_-(Dlg1);circRNA_2339|Chr15:51936366_51954838_-(Ppp3cc);circRNA_3057|Chr18:72593000_72595275_+(Smad2);circRNA_3203|Chr19:38057557_38062193_+(Nfatc3);circRNA_3821|Chr2:242041489_242041689_+(Ppp3ca);</t>
  </si>
  <si>
    <t>circRNA_2339|Chr15:51936366_51954838_-(Ppp3cc);circRNA_3203|Chr19:38057557_38062193_+(Nfatc3);circRNA_3821|Chr2:242041489_242041689_+(Ppp3ca);circRNA_5467|Chr5:172936581_172957859_+(Gnb1);circRNA_5468|Chr5:172936581_172965700_+(Gnb1);</t>
  </si>
  <si>
    <t>circRNA_1392|Chr11:66082755_66083227_+(Gtf2e1);circRNA_2001|Chr14:33083680_33089673_-(Polr2b);circRNA_2557|Chr16:62132750_62160831_-(Gtf2e2);circRNA_4405|Chr3:147736963_147740988_+(Csnk2a1);circRNA_6032|Chr7:60733754_60737965_-(Mdm2);</t>
  </si>
  <si>
    <t>circRNA_0449|Chr1:200648164_200671090_-(Fgfr2);circRNA_0589|Chr1:233561451_233581182_+(Gnaq);circRNA_0591|Chr1:233578229_233581182_+(Gnaq);circRNA_0647|Chr1:251455609_251485480_+(Pten);circRNA_2606|Chr17:1059417_1065593_-(Ptch1);circRNA_2927|Chr18:27956412_27984766_+(Ctnna1);circRNA_3057|Chr18:72593000_72595275_+(Smad2);circRNA_3745|Chr2:210808354_210822401_-(Gstm1);circRNA_3794|Chr2:231056605_231078948_+(Camk2d);circRNA_4375|Chr3:128863086_128865813_+(Plcb4);circRNA_4376|Chr3:128908691_128911559_+(Plcb4);circRNA_4703|Chr4:67449579_67455064_-(Braf);circRNA_4845|Chr4:147295666_147361944_+(Pparg);circRNA_4846|Chr4:147295666_147372423_+(Pparg);circRNA_5467|Chr5:172936581_172957859_+(Gnb1);circRNA_5468|Chr5:172936581_172965700_+(Gnb1);circRNA_5496|Chr6:3150789_3165551_-(Sos1);circRNA_5804|Chr6:124625936_124652103_-(Rps6ka5);circRNA_6032|Chr7:60733754_60737965_-(Mdm2);circRNA_6343|Chr8:47303909_47306590_-(Arhgef12);</t>
  </si>
  <si>
    <t>circRNA_4565|Chr4:26336094_26341599_+(Cdk14);circRNA_4845|Chr4:147295666_147361944_+(Pparg);circRNA_4846|Chr4:147295666_147372423_+(Pparg);circRNA_5208|Chr5:106171074_106171781_-(Mllt3);circRNA_5209|Chr5:106171074_106202563_-(Mllt3);circRNA_6032|Chr7:60733754_60737965_-(Mdm2);circRNA_6751|Chr9:18319246_18334707_-(Supt3h);</t>
  </si>
  <si>
    <t>circRNA_1392|Chr11:66082755_66083227_+(Gtf2e1);circRNA_1427|Chr11:72245130_72264219_-(Dlg1);circRNA_2557|Chr16:62132750_62160831_-(Gtf2e2);circRNA_6032|Chr7:60733754_60737965_-(Mdm2);</t>
  </si>
  <si>
    <t>circRNA_0677|Chr1:257183839_257192683_+(Plce1);circRNA_0679|Chr1:257191149_257192683_+(Plce1);circRNA_1547|Chr12:13717791_13718009_-(Actb);circRNA_2606|Chr17:1059417_1065593_-(Ptch1);circRNA_3057|Chr18:72593000_72595275_+(Smad2);circRNA_3471|Chr2:62955690_62956953_+(Drosha);circRNA_3794|Chr2:231056605_231078948_+(Camk2d);circRNA_3940|Chr20:20403689_20411476_+(Ank3);circRNA_4703|Chr4:67449579_67455064_-(Braf);circRNA_5496|Chr6:3150789_3165551_-(Sos1);circRNA_6004|Chr7:51453247_51479896_-(Ppp1r12a);circRNA_6005|Chr7:51465047_51479896_-(Ppp1r12a);circRNA_6032|Chr7:60733754_60737965_-(Mdm2);circRNA_6343|Chr8:47303909_47306590_-(Arhgef12);</t>
  </si>
  <si>
    <t>circRNA_0647|Chr1:251455609_251485480_+(Pten);circRNA_5496|Chr6:3150789_3165551_-(Sos1);circRNA_5804|Chr6:124625936_124652103_-(Rps6ka5);circRNA_6032|Chr7:60733754_60737965_-(Mdm2);</t>
  </si>
  <si>
    <t>circRNA_3057|Chr18:72593000_72595275_+(Smad2);circRNA_4703|Chr4:67449579_67455064_-(Braf);circRNA_5496|Chr6:3150789_3165551_-(Sos1);</t>
  </si>
  <si>
    <t>circRNA_4703|Chr4:67449579_67455064_-(Braf);circRNA_5496|Chr6:3150789_3165551_-(Sos1);circRNA_7190|ChrX:114972099_114978572_+(Pak3);circRNA_7191|ChrX:114972099_114999004_+(Pak3);</t>
  </si>
  <si>
    <t>circRNA_3057|Chr18:72593000_72595275_+(Smad2);circRNA_3513|Chr2:113739689_113747247_+(Pld1);circRNA_3516|Chr2:113788385_113806098_+(Pld1);circRNA_4703|Chr4:67449579_67455064_-(Braf);</t>
  </si>
  <si>
    <t>circRNA_0647|Chr1:251455609_251485480_+(Pten);circRNA_2927|Chr18:27956412_27984766_+(Ctnna1);circRNA_4703|Chr4:67449579_67455064_-(Braf);circRNA_5496|Chr6:3150789_3165551_-(Sos1);</t>
  </si>
  <si>
    <t>circRNA_0647|Chr1:251455609_251485480_+(Pten);circRNA_3794|Chr2:231056605_231078948_+(Camk2d);circRNA_4703|Chr4:67449579_67455064_-(Braf);circRNA_5496|Chr6:3150789_3165551_-(Sos1);circRNA_6032|Chr7:60733754_60737965_-(Mdm2);</t>
  </si>
  <si>
    <t>circRNA_0449|Chr1:200648164_200671090_-(Fgfr2);circRNA_0647|Chr1:251455609_251485480_+(Pten);circRNA_4703|Chr4:67449579_67455064_-(Braf);circRNA_5496|Chr6:3150789_3165551_-(Sos1);circRNA_6032|Chr7:60733754_60737965_-(Mdm2);</t>
  </si>
  <si>
    <t>rno05216</t>
  </si>
  <si>
    <t>Thyroid cancer</t>
  </si>
  <si>
    <t>circRNA_4703|Chr4:67449579_67455064_-(Braf);circRNA_4845|Chr4:147295666_147361944_+(Pparg);circRNA_4846|Chr4:147295666_147372423_+(Pparg);</t>
  </si>
  <si>
    <t>circRNA_0647|Chr1:251455609_251485480_+(Pten);circRNA_4703|Chr4:67449579_67455064_-(Braf);circRNA_6032|Chr7:60733754_60737965_-(Mdm2);</t>
  </si>
  <si>
    <t>circRNA_4703|Chr4:67449579_67455064_-(Braf);circRNA_5804|Chr6:124625936_124652103_-(Rps6ka5);circRNA_6032|Chr7:60733754_60737965_-(Mdm2);</t>
  </si>
  <si>
    <t>circRNA_2564|Chr16:68958915_68959689_+(Eif4ebp1);circRNA_4703|Chr4:67449579_67455064_-(Braf);circRNA_5496|Chr6:3150789_3165551_-(Sos1);</t>
  </si>
  <si>
    <t>circRNA_4703|Chr4:67449579_67455064_-(Braf);circRNA_5496|Chr6:3150789_3165551_-(Sos1);</t>
  </si>
  <si>
    <t>circRNA_0647|Chr1:251455609_251485480_+(Pten);circRNA_4703|Chr4:67449579_67455064_-(Braf);circRNA_5496|Chr6:3150789_3165551_-(Sos1);</t>
  </si>
  <si>
    <t>circRNA_0647|Chr1:251455609_251485480_+(Pten);circRNA_1547|Chr12:13717791_13718009_-(Actb);circRNA_2458|Chr16:7126591_7138308_+(Pbrm1);circRNA_3057|Chr18:72593000_72595275_+(Smad2);circRNA_3745|Chr2:210808354_210822401_-(Gstm1);circRNA_4703|Chr4:67449579_67455064_-(Braf);circRNA_5496|Chr6:3150789_3165551_-(Sos1);circRNA_5918|Chr7:2888642_2889413_+(Smarcc2);</t>
  </si>
  <si>
    <t>circRNA_0449|Chr1:200648164_200671090_-(Fgfr2);circRNA_2927|Chr18:27956412_27984766_+(Ctnna1);circRNA_3057|Chr18:72593000_72595275_+(Smad2);circRNA_4703|Chr4:67449579_67455064_-(Braf);circRNA_5496|Chr6:3150789_3165551_-(Sos1);</t>
  </si>
  <si>
    <t>circRNA_0449|Chr1:200648164_200671090_-(Fgfr2);circRNA_0647|Chr1:251455609_251485480_+(Pten);circRNA_0722|Chr1:261165387_261165588_-(Pgam1);</t>
  </si>
  <si>
    <t>circRNA_2564|Chr16:68958915_68959689_+(Eif4ebp1);circRNA_3513|Chr2:113739689_113747247_+(Pld1);circRNA_3516|Chr2:113788385_113806098_+(Pld1);circRNA_5105|Chr5:70292288_70326250_+(Slc44a1);circRNA_5496|Chr6:3150789_3165551_-(Sos1);</t>
  </si>
  <si>
    <t>circRNA_5217|Chr5:113794314_113803150_+(Tek);</t>
  </si>
  <si>
    <t>circRNA_1547|Chr12:13717791_13718009_-(Actb);circRNA_3425|Chr2:47139938_47146434_-(Itga1);circRNA_4552|Chr4:15748953_15780820_-(Cacna2d1);circRNA_4554|Chr4:15760711_15780820_-(Cacna2d1);circRNA_5919|Chr7:3368026_3372361_+(Itga7);</t>
  </si>
  <si>
    <t>circRNA_1474|Chr11:88940949_88954297_-(Pkp2);circRNA_1547|Chr12:13717791_13718009_-(Actb);circRNA_2927|Chr18:27956412_27984766_+(Ctnna1);circRNA_3425|Chr2:47139938_47146434_-(Itga1);circRNA_4552|Chr4:15748953_15780820_-(Cacna2d1);circRNA_4554|Chr4:15760711_15780820_-(Cacna2d1);circRNA_5919|Chr7:3368026_3372361_+(Itga7);</t>
  </si>
  <si>
    <t>circRNA_0032|Chr1:15474913_15494771_+(Map3k5);circRNA_0035|Chr1:15488392_15526167_+(Map3k5);circRNA_0038|Chr1:15545013_15551204_+(Map3k5);circRNA_0232|Chr1:128239552_128242835_-(Mef2a);circRNA_0233|Chr1:128239552_128243030_-(Mef2a);circRNA_1547|Chr12:13717791_13718009_-(Actb);circRNA_3745|Chr2:210808354_210822401_-(Gstm1);</t>
  </si>
  <si>
    <t>Acss1;Adh1;Adh4;Aldoc;Eno3</t>
  </si>
  <si>
    <t>Idh2</t>
  </si>
  <si>
    <t>rno00030</t>
  </si>
  <si>
    <t>Pentose phosphate pathway</t>
  </si>
  <si>
    <t>Aldoc;Rgn</t>
  </si>
  <si>
    <t>Ugt2b1</t>
  </si>
  <si>
    <t>rno00051</t>
  </si>
  <si>
    <t>Fructose and mannose metabolism</t>
  </si>
  <si>
    <t>Aldoc</t>
  </si>
  <si>
    <t>Rgn;Ugt2b1</t>
  </si>
  <si>
    <t>rno00061</t>
  </si>
  <si>
    <t>Fatty acid biosynthesis</t>
  </si>
  <si>
    <t>Acacb;Acsl6</t>
  </si>
  <si>
    <t>rno00062</t>
  </si>
  <si>
    <t>Fatty acid elongation</t>
  </si>
  <si>
    <t>Elovl4</t>
  </si>
  <si>
    <t>rno00071</t>
  </si>
  <si>
    <t>Fatty acid degradation</t>
  </si>
  <si>
    <t>Acadsb;Acsl6;Adh1;Adh4</t>
  </si>
  <si>
    <t>rno00072</t>
  </si>
  <si>
    <t>Synthesis and degradation of ketone bodies</t>
  </si>
  <si>
    <t>Bdh2</t>
  </si>
  <si>
    <t>rno00100</t>
  </si>
  <si>
    <t>Steroid biosynthesis</t>
  </si>
  <si>
    <t>Cel</t>
  </si>
  <si>
    <t>rno00120</t>
  </si>
  <si>
    <t>Primary bile acid biosynthesis</t>
  </si>
  <si>
    <t>Acox2;Akr1d1;Cyp46a1;Cyp8b1;Slc27a5</t>
  </si>
  <si>
    <t>Akr1d1;Cyp11a1;Cyp21a1;Cyp2c23;Cyp2d4;Cyp2e1;Cyp3a18;Ugt2b1</t>
  </si>
  <si>
    <t>Atp6v0d2;Atp6v1b1;Atp6v1g2</t>
  </si>
  <si>
    <t>Adcy1;Adcy5;Adcy9;Gmpr;Gucy1a3;Nt5c1a;Nt5e;Pde1b;Pde2a;Pde3a;Pde5a;Pde9a</t>
  </si>
  <si>
    <t>Nt5c1a;Nt5e</t>
  </si>
  <si>
    <t>Abat;Folh1</t>
  </si>
  <si>
    <t>rno00260</t>
  </si>
  <si>
    <t>Glycine, serine and threonine metabolism</t>
  </si>
  <si>
    <t>Cbs;Maoa;Maob</t>
  </si>
  <si>
    <t>Cbs</t>
  </si>
  <si>
    <t>Abat;Acadsb;Aldh6a1;Aox1;Aox3</t>
  </si>
  <si>
    <t>Aass;Bbox1;Prdm6;Prdm9</t>
  </si>
  <si>
    <t>rno00330</t>
  </si>
  <si>
    <t>Arginine and proline metabolism</t>
  </si>
  <si>
    <t>Carns1;Ckm;Maoa;Maob;Prodh1</t>
  </si>
  <si>
    <t>rno00340</t>
  </si>
  <si>
    <t>Histidine metabolism</t>
  </si>
  <si>
    <t>Carns1;Maoa;Maob</t>
  </si>
  <si>
    <t>rno00350</t>
  </si>
  <si>
    <t>Tyrosine metabolism</t>
  </si>
  <si>
    <t>Adh1;Adh4;Aox1;Aox3;Dct;Ddc;Maoa;Maob;Pnmt</t>
  </si>
  <si>
    <t>rno00360</t>
  </si>
  <si>
    <t>Phenylalanine metabolism</t>
  </si>
  <si>
    <t>Ddc;Maoa;Maob</t>
  </si>
  <si>
    <t>rno00380</t>
  </si>
  <si>
    <t>Tryptophan metabolism</t>
  </si>
  <si>
    <t>Aox1;Aox3;Ddc;Maoa;Maob</t>
  </si>
  <si>
    <t>Abat;Aldh6a1;Carns1</t>
  </si>
  <si>
    <t>Gstm7;Idh2;Nat8;Nat8f3</t>
  </si>
  <si>
    <t>Pygb;Pygm</t>
  </si>
  <si>
    <t>St6gal2</t>
  </si>
  <si>
    <t>Galnt15</t>
  </si>
  <si>
    <t>Cmah;Cyb5r2</t>
  </si>
  <si>
    <t>rno00531</t>
  </si>
  <si>
    <t>Glycosaminoglycan degradation</t>
  </si>
  <si>
    <t>Hpse2</t>
  </si>
  <si>
    <t>rno00534</t>
  </si>
  <si>
    <t>Glycosaminoglycan biosynthesis - heparan sulfate / heparin</t>
  </si>
  <si>
    <t>Extl1;Ndst3;Ndst4</t>
  </si>
  <si>
    <t>Agpat4;Cel;Dgkb;Dgkg;Dgki;Gpat2;Lpin1;Plpp3;Pnpla2</t>
  </si>
  <si>
    <t>Aldh6a1;Itpk1;Itpkb;Mtmr7</t>
  </si>
  <si>
    <t>Agpat4;Cds2;Chka;Dgkb;Dgkg;Dgki;Gpat2;Gpd1;Lpin1;Pla2g2a;Pla2g5;Plpp3</t>
  </si>
  <si>
    <t>Enpp2;Gal3st1;Pla2g2a;Pla2g5;Plpp3;Tmem86b;Ugt8</t>
  </si>
  <si>
    <t>Alox12;Cyp2c23;Cyp2e1;Cyp2j3;Cyp2j4;Cyp4f1;Cyp4f18;Pla2g2a;Pla2g5</t>
  </si>
  <si>
    <t>Cyp2c23;Cyp2e1;Cyp2j3;Cyp2j4;Cyp3a18;Pla2g2a;Pla2g5</t>
  </si>
  <si>
    <t>Pla2g2a;Pla2g5</t>
  </si>
  <si>
    <t>Cers4;Gal3st1;Plpp3;Sptlc3;Ugt8</t>
  </si>
  <si>
    <t>B3galt5;Fut2;Gcnt2;Gcnt6</t>
  </si>
  <si>
    <t>rno00603</t>
  </si>
  <si>
    <t>Glycosphingolipid biosynthesis - globo and isoglobo series</t>
  </si>
  <si>
    <t>B3galt5;Fut2</t>
  </si>
  <si>
    <t>Acacb;Acss1;Me3</t>
  </si>
  <si>
    <t>Abat;Acacb;Acss1;Aldh6a1</t>
  </si>
  <si>
    <t>rno00650</t>
  </si>
  <si>
    <t>Butanoate metabolism</t>
  </si>
  <si>
    <t>Abat;Acsm4;Acsm5;Bdh2</t>
  </si>
  <si>
    <t>rno00730</t>
  </si>
  <si>
    <t>Thiamine metabolism</t>
  </si>
  <si>
    <t>Alpp</t>
  </si>
  <si>
    <t>rno00750</t>
  </si>
  <si>
    <t>Vitamin B6 metabolism</t>
  </si>
  <si>
    <t>Aox1;Aox3</t>
  </si>
  <si>
    <t>Aox1;Aox3;Nmrk2;Nt5c1a;Nt5e</t>
  </si>
  <si>
    <t>rno00790</t>
  </si>
  <si>
    <t>Folate biosynthesis</t>
  </si>
  <si>
    <t>Adh1;Adh4;Aox1;Aox3;Awat2;Cyp26b1;Cyp2c23;Cyp3a18;Ugt2b1</t>
  </si>
  <si>
    <t>rno00910</t>
  </si>
  <si>
    <t>Nitrogen metabolism</t>
  </si>
  <si>
    <t>Car14</t>
  </si>
  <si>
    <t>Adh1;Adh4;Cyp2e1;Cyp2f4;Gstm7;Ugt2b1</t>
  </si>
  <si>
    <t>Adh1;Adh4;Aox1;Aox3;Cyp2e1;Fmo1;Fmo2;Fmo3;Fmo6;Gstm7;Maoa;Maob;Ugt2b1</t>
  </si>
  <si>
    <t>Ces1d;Ces1f;Cyp2e1;Gstm7;Ugt2b1</t>
  </si>
  <si>
    <t>Scd</t>
  </si>
  <si>
    <t>Egf</t>
  </si>
  <si>
    <t>Adcy1;Adcy5;Adcy9</t>
  </si>
  <si>
    <t>Alox12</t>
  </si>
  <si>
    <t>Gstm7</t>
  </si>
  <si>
    <t>Abca6;Abca8a;Abcb1a;Abcc6;Abcc9;Abcd2;Abcg4</t>
  </si>
  <si>
    <t>Pabpc1l</t>
  </si>
  <si>
    <t>Msi1;Pabpc1l</t>
  </si>
  <si>
    <t>Eno3;Pabpc1l</t>
  </si>
  <si>
    <t>Gtf2a1l</t>
  </si>
  <si>
    <t>Hspa2</t>
  </si>
  <si>
    <t>Acox2;Acsl6;Cyp8b1;Plin1;Plin4;Rxrg;Scd;Slc27a5;Slc27a6</t>
  </si>
  <si>
    <t>Polm</t>
  </si>
  <si>
    <t>Cacna1a;Cacna1b;Cacna1h;Cacna1i;Cacna2d3;Cacnb2;Cacnb4;Egf;Hspa2;Ntf3;Ntrk2;Ppp3r2;Rasgrf2;Rasgrp2;Rps6ka2</t>
  </si>
  <si>
    <t>Egf;Pak3</t>
  </si>
  <si>
    <t>Egf;Ntf3;Ntrk2;Pak3;Pla2g2a;Pla2g5;Rasal1;Rasgrf2;Rasgrp2</t>
  </si>
  <si>
    <t>Adcy1;Adcy5;Adcy9;Adora2b;Cnr1;Egf;Gnao1;Lpar3;Magi2;Pard6a;Prkd1;Rasgrp2</t>
  </si>
  <si>
    <t>Adcy1;Adcy9;Adora2b;Adra1a;Adra1b;Adrb3;Atp2a3;Atp2b4;Avpr1a;Cacna1a;Cacna1b;Cacna1h;Cacna1i;Camk4;Chrna7;Gna14;Grin2c;Itpkb;Itpr1;Mylk;Ntsr1;Oxtr;P2rx1;P2rx2;P2rx6;Pde1b;Phkg1;Pln;Ppp3r2;Ryr3;Slc8a2;Tacr2;Tacr3</t>
  </si>
  <si>
    <t>Adcy1;Adcy5;Adcy9;Adra1a;Adra1b;Adrb3;Atp1a2;Atp1a4;Atp1b2;Atp2a3;Atp2b4;Gucy1a3;Itpr1;Kcnma1;Kcnmb2;Kcnmb4;Mef2b;Mrvi1;Mylk;Pde2a;Pde3a;Pde5a;Pln;Ppp1r12a;Ppp3r2;Rgs2;Slc8a2</t>
  </si>
  <si>
    <t>Adcy1;Adcy5;Adcy9;Adcyap1r1;Atp1a2;Atp1a4;Atp1b2;Atp2b4;Camk4;Cnga3;Fxyd1;Gria2;Grin2c;Grin3a;Htr1d;Npy1r;Oxtr;Pde3a;Pln;Ppp1r12a;Sstr1</t>
  </si>
  <si>
    <t>Acvr2b;Ccl21;Ccl24;Ccl27;Ccr10;Cntfr;Cxcr6;Egf;Il11ra1;Il12a;Il17d;Lep;Lepr;Lifr;Prlr;Tnfrsf17;Tnfrsf19;Tnfsf10</t>
  </si>
  <si>
    <t>Adcy1;Adcy5;Adcy9;Ccl21;Ccl24;Ccl27;Ccr10;Cxcr6;Rasgrp2</t>
  </si>
  <si>
    <t>Ccl21</t>
  </si>
  <si>
    <t>Egf;Egln3;Eno3</t>
  </si>
  <si>
    <t>Agap2;Egf;Fbxo32;Foxo6;Prkab2;Prkag3;Rag2;Slc2a4;Tnfsf10</t>
  </si>
  <si>
    <t>Cds2;Dgkb;Dgkg;Dgki;Itpk1;Itpkb;Itpr1;Mtmr7</t>
  </si>
  <si>
    <t>Cers4;Sptlc3</t>
  </si>
  <si>
    <t>Adcy1;Adcy5;Adcy9;Agpat4;Avpr1a;Dgkb;Dgkg;Dgki;Egf;Grm3;Grm6;Lpar3;Plpp3</t>
  </si>
  <si>
    <t>rno04080</t>
  </si>
  <si>
    <t>Neuroactive ligand-receptor interaction</t>
  </si>
  <si>
    <t>Adcyap1r1;Adora2b;Adra1a;Adra1b;Adrb3;Avpr1a;Chrna7;Chrnb3;Chrne;Cnr1;Glrb;Gria2;Grik2;Grik3;Grik5;Grin2c;Grin3a;Grm3;Grm6;Hcrtr1;Hcrtr2;Htr1d;Lep;Lepr;Lpar3;Mchr1;Nmbr;Nmu;Nmur2;Npff;Npy1r;Ntsr1;Oxtr;P2rx1;P2rx2;P2rx6;P2ry4;Prlr;Sstr1;Taar4;Tacr2;Tacr3;Thra;Thrb;Trpv1;Tshb</t>
  </si>
  <si>
    <t>Cdkn1c;Tfdp2;Wee2</t>
  </si>
  <si>
    <t>Adcy1;Adcy5;Adcy9;Ar;Cpeb3;Itpr1;Ppp3r2;Rps6ka2</t>
  </si>
  <si>
    <t>Adgrb1;Igfbp3</t>
  </si>
  <si>
    <t>Park2;Wwp1</t>
  </si>
  <si>
    <t>Park2</t>
  </si>
  <si>
    <t>Atg16l2;Itpr1;Prap1;Rragd</t>
  </si>
  <si>
    <t>Hspa2;Park2;Sec31b;Svip</t>
  </si>
  <si>
    <t>Ap3b2;Atp6v0d2</t>
  </si>
  <si>
    <t>Agap2;Hspa2;Pard6a;Psd2;Rab11fip4;Sh3gl2;Wipf3;Wwp1</t>
  </si>
  <si>
    <t>Atp6v0d2;Atp6v1b1;Atp6v1g2;Cd209e</t>
  </si>
  <si>
    <t>Abcd2;Acox2;Acsl6;Far2;Idh2;Pex5l;Pxmp2</t>
  </si>
  <si>
    <t>Atp6v1b1;Atp6v1g2;Fzd3;Lpin1;Rps6ka2;Rragd;Wnt10b;Wnt11</t>
  </si>
  <si>
    <t>Col4a6;Egf;Lpar3;Ntf3;Ntrk2;Prlr</t>
  </si>
  <si>
    <t>Acacb;Adra1a;Lep;Lepr;Ppargc1a;Prkab2;Prkag3;Scd;Slc2a4</t>
  </si>
  <si>
    <t>Itpr1;Tnfsf10</t>
  </si>
  <si>
    <t>Adcy1;Adcy5;Adcy9;Camk4;Ppargc1a;Prkab2;Prkag3</t>
  </si>
  <si>
    <t>Adcy1;Adcy5;Adcy9;Hspa2;Prkab2;Prkag3</t>
  </si>
  <si>
    <t>Acsl6</t>
  </si>
  <si>
    <t>Pygb;Pygm;Tnfsf10</t>
  </si>
  <si>
    <t>Igfbp3;Itpr1;Ppp3r2</t>
  </si>
  <si>
    <t>Atp1a2;Atp1a4;Atp1b2;Cacna2d3;Cacnb2;Cacnb4;Myh6;Tnnt2</t>
  </si>
  <si>
    <t>Adcy1;Adcy5;Adcy9;Adra1a;Adra1b;Atp1a2;Atp1a4;Atp1b2;Atp2b4;Cacna2d3;Cacnb2;Cacnb4;Myh6;Pln;Ppp1r1a;Scn4b;Scn7a;Tnnt2</t>
  </si>
  <si>
    <t>Adcy1;Adcy5;Adcy9;Adora2b;Adra1a;Adra1b;Avpr1a;Gucy1a3;Itpr1;Kcnma1;Kcnmb2;Kcnmb4;Mrvi1;Mylk;Pla2g2a;Pla2g5;Ppp1r12a;Ppp1r12b;Ppp1r14a</t>
  </si>
  <si>
    <t>Apc2;Bambi;Frat1;Frat2;Fzd3;Nkd1;Nkd2;Notum;Ppp3r2;Sfrp2;Sfrp5;Wnt10b;Wnt11</t>
  </si>
  <si>
    <t>Dtx1</t>
  </si>
  <si>
    <t>Ihh</t>
  </si>
  <si>
    <t>Acvr1c;Acvr2b;Bambi;Bmp8a;Bmp8b;Gdf7;Id2;Id4;Pitx2;Smad9</t>
  </si>
  <si>
    <t>Ablim2;Dcc;Efnb3;Epha5;Ephb6;Fzd3;Gdf7;L1cam;Ntn1;Ntng1;Pak3;Pard6a;Plxnb3;Ppp3r2;Sema3a;Sema3e;Sema5a;Sema6c;Trpc5;Unc5d</t>
  </si>
  <si>
    <t>Ppp3r2</t>
  </si>
  <si>
    <t>Adcy1;Adcy5;Adcy9;Camk4;Itpr1;Mef2b;Mylk;Plin1;Ppargc1a;Prkab2;Prkag3;Ryr3;Slc8a2</t>
  </si>
  <si>
    <t>Camk4;Ppp3r2</t>
  </si>
  <si>
    <t>Apc2;Bmp8a;Bmp8b;Ctnna3;Dlg2;Fzd3;Gdf7;Id2;Nkd1;Pard6a;Wnt10b;Wnt11</t>
  </si>
  <si>
    <t>Dchs2;Rassf2</t>
  </si>
  <si>
    <t>Col4a6;Egf;Myl7;Mylk;Pak3;Ppp1r12a;Ppp1r12b</t>
  </si>
  <si>
    <t>Col4a6;Gp1ba</t>
  </si>
  <si>
    <t>Cadm3;Cdh4;Cldn1;Cldn23;Cntn1;Cntnap2;L1cam;Mpz;Ncam2;Negr1;Nrxn2;Ntng1</t>
  </si>
  <si>
    <t>Ctnna3</t>
  </si>
  <si>
    <t>Actr3b;Bves;Cldn1;Cldn23;Dlg2;Pard6a;Prkab2;Prkag3</t>
  </si>
  <si>
    <t>Adcy1;Adcy5;Adcy9;Egf;Gucy1a3;Itpr1</t>
  </si>
  <si>
    <t>Acvr1c;Acvr2b;Apc2;Fzd3;Hand1;Id2;Id4;Lifr;Smad9;Wnt10b;Wnt11</t>
  </si>
  <si>
    <t>C6</t>
  </si>
  <si>
    <t>Adcy1;Adcy5;Adcy9;Gp1ba;Gucy1a3;Itpr1;Mylk;P2rx1;Ppp1r12a;Rasgrp2</t>
  </si>
  <si>
    <t>Hspa2;Rfxapl1</t>
  </si>
  <si>
    <t>rno04614</t>
  </si>
  <si>
    <t>Renin-angiotensin system</t>
  </si>
  <si>
    <t>Mrgprd</t>
  </si>
  <si>
    <t>Il12a</t>
  </si>
  <si>
    <t>Itpr1;Nod2</t>
  </si>
  <si>
    <t>Cd209e;Il12a;Il17d;Itpr1;Ppp3r2</t>
  </si>
  <si>
    <t>Aox1;Aox3;Cntfr;Egf;Il11ra1;Il12a;Il17d;Lep;Lepr;Lifr;Prlr</t>
  </si>
  <si>
    <t>Gp1ba;Il11ra1</t>
  </si>
  <si>
    <t>Ppp3r2;Tnfsf10</t>
  </si>
  <si>
    <t>Il17d</t>
  </si>
  <si>
    <t>Il12a;Ppp3r2</t>
  </si>
  <si>
    <t>Foxp3;Il17d;Ppp3r2;Rxrg</t>
  </si>
  <si>
    <t>Grap2;Pak3;Ppp3r2</t>
  </si>
  <si>
    <t>Gsn;Plpp3</t>
  </si>
  <si>
    <t>Nod2</t>
  </si>
  <si>
    <t>Cldn1;Cldn23;Ctnna3;Myl7</t>
  </si>
  <si>
    <t>rno04672</t>
  </si>
  <si>
    <t>Intestinal immune network for IgA production</t>
  </si>
  <si>
    <t>Ccr10;Tnfrsf17</t>
  </si>
  <si>
    <t>Npas2;Nr1d1;Prkab2;Prkag3</t>
  </si>
  <si>
    <t>Adcy1;Adcy5;Adcy9;Adcyap1r1;Cacna1h;Cacna1i;Gnao1;Gria2;Grin2c;Gucy1a3;Itpr1;Kcnj5;Kcnj9;Ryr3</t>
  </si>
  <si>
    <t>Acsl6;Adcy1;Adcy5;Adcy9;Adrb3;Bmp8a;Bmp8b;Cnr1;Cox20;Dpf3;Plin1;Pnpla2;Ppargc1a;Prkab2;Prkag3;Rps6ka2;Slc25a29</t>
  </si>
  <si>
    <t>Adcy1;Camk4;Gria2;Grin2c;Itpr1;Ppp1r1a;Ppp3r2;Rps6ka2</t>
  </si>
  <si>
    <t>Atp6v0d2;Atp6v1b1;Atp6v1g2;Cacna1a;Cacna1b;Cplx1;Rims1;Syt1</t>
  </si>
  <si>
    <t>Camk4;Ntf3;Ntrk2;Ntrk3;Rps6ka2</t>
  </si>
  <si>
    <t>Adcy1;Adcy5;Adcy9;Cacna1a;Cacna1b;Cnr1;Gnao1;Gria2;Itpr1;Kcnj5;Kcnj9;Rims1</t>
  </si>
  <si>
    <t>Adcy1;Adcy5;Adcy9;Cacna1a;Gnao1;Gria2;Grik2;Grik3;Grik5;Grin2c;Grin3a;Grm3;Grm6;Itpr1;Ppp3r2;Shank2</t>
  </si>
  <si>
    <t>Adcy1;Adcy5;Adcy9;Cacna1a;Cacna1b;Camk4;Chrna7;Gnao1;Itpr1;Kcnj12;Kcnq4;Kcnq5</t>
  </si>
  <si>
    <t>Adcy5;Alox12;Cacna1a;Cacna1b;Cyp2c23;Cyp2d4;Cyp2j3;Cyp2j4;Ddc;Gnao1;Htr1d;Itpr1;Kcnj5;Kcnj9;Kcnn2;Maoa;Maob</t>
  </si>
  <si>
    <t>Abat;Adcy1;Adcy5;Adcy9;Cacna1a;Cacna1b;Gnao1;Slc6a1;Slc6a13</t>
  </si>
  <si>
    <t>Adcy5;Cacna1a;Cacna1b;Ddc;Gnao1;Gria2;Itpr1;Kcnj5;Kcnj9;Maoa;Maob</t>
  </si>
  <si>
    <t>Cacna1a;Gnao1;Gnaz;Gria2;Gucy1a3;Itpr1</t>
  </si>
  <si>
    <t>Cnga3;Ncald;Olr1375;Olr1592;Pde1b;Pde2a;Rgs2;Slc8a2</t>
  </si>
  <si>
    <t>Asic2;Cacna1a;Htr1d;P2rx2;P2ry4;Pde1b;Scn9a;Scnn1b;Scnn1g</t>
  </si>
  <si>
    <t>rno04744</t>
  </si>
  <si>
    <t>Phototransduction</t>
  </si>
  <si>
    <t>Rgs9</t>
  </si>
  <si>
    <t>Adcy1;Adcy5;Adcy9;Alox12;Asic2;Asic4;Cyp2c23;Cyp2j3;Cyp2j4;Itpr1;Trpv1</t>
  </si>
  <si>
    <t>Apc2;Egf;Gsn;Myl7;Mylk;Pak3;Ppp1r12a;Ppp1r12b;Spata13</t>
  </si>
  <si>
    <t>Acacb;Exoc7;Phkg1;Ppargc1a;Ppp1r3a;Ppp1r3b;Ppp1r3e;Prkab2;Prkag3;Pygb;Pygm;Slc2a4</t>
  </si>
  <si>
    <t>Adcy1;Adcy5;Adcy9;Adcyap1r1;Atp1a2;Atp1a4;Atp1b2;Kcnma1;Kcnmb2;Kcnmb4;Kcnn1;Kcnn2;Kcnn3;Pclo</t>
  </si>
  <si>
    <t>Adcy1;Adcy5;Adcy9;Itpr1</t>
  </si>
  <si>
    <t>Adcy1;Adcy5;Adcy9;Bmp15;Cyp11a1;Cyp2j3;Cyp2j4</t>
  </si>
  <si>
    <t>Adcy1;Adcy5;Adcy9;Cpeb3;Rps6ka2</t>
  </si>
  <si>
    <t>Adcy1;Adcy5;Adcy9;Gnao1;Hspa2;Itpr1;Ka11;Kcnj5;Kcnj9;Krt20;Tff1</t>
  </si>
  <si>
    <t>Adcy1;Adcy5;Adcy9;Dct;Fzd3;Gnao1;Wnt10b;Wnt11</t>
  </si>
  <si>
    <t>Elf5;Prlr</t>
  </si>
  <si>
    <t>Adcy1;Adcy5;Adcy9;Atp1a2;Atp1a4;Atp1b2;Itpr1;Slc5a5;Tshb;Ttr</t>
  </si>
  <si>
    <t>Atp1a2;Atp1a4;Atp1b2;Myh6;Pln;Rcan2;Rxrg;Slc16a10;Thra;Thrb</t>
  </si>
  <si>
    <t>Acacb;Acsl6;Lep;Lepr;Ppargc1a;Prkab2;Prkag3;Rxrg;Slc2a4</t>
  </si>
  <si>
    <t>Adcy1;Adcy5;Adcy9;Cacna2d3;Cacnb2;Cacnb4;Camk4;Gnao1;Gucy1a3;Itpr1;Kcnj12;Kcnj5;Kcnj9;Mylk;Oxtr;Ppp1r12a;Ppp1r12b;Ppp3r2;Prkab2;Prkag3;Rgs2;Ryr3</t>
  </si>
  <si>
    <t>Acacb;Itpr1;Phkg1;Ppargc1a;Ppp3r2;Prkab2;Prkag3;Pygb;Pygm</t>
  </si>
  <si>
    <t>Adcy1;Adcy5;Adcy9;Adrb3;Npy1r;Plin1;Pnpla2;Tshb</t>
  </si>
  <si>
    <t>Adcy5;Adcyap1r1;Adrb3;Gucy1a3;Itpr1;Kcnma1;Pde1b;Pde3a;Ppp3r2</t>
  </si>
  <si>
    <t>Adcy1;Adcy5;Adcy9;Atp1a2;Atp1a4;Atp1b2;Atp2b4;Cacna1h;Cacna1i;Camk4;Cyp11a1;Cyp21a1;Itpr1;Kcnj5;Pde2a;Prkd1</t>
  </si>
  <si>
    <t>Adcy1;Adcy5;Adcy9;Col4a6;Gnao1</t>
  </si>
  <si>
    <t>Adcy1;Adcy5;Adcy9;Cacna1h;Cacna1i;Cyp11a1;Cyp21a1;Itpr1</t>
  </si>
  <si>
    <t>Cacna1a;Cacna1b;Slc2a4</t>
  </si>
  <si>
    <t>Acacb;Ppargc1a;Ppargc1b;Ppp1r3a;Ppp1r3b;Ppp1r3e;Prkab2;Prkag3;Pygb;Pygm;Rps6ka2;Slc27a5;Slc27a6;Slc2a4</t>
  </si>
  <si>
    <t>Cyp2e1;Lep;Lepr;Prkab2;Prkag3</t>
  </si>
  <si>
    <t>Col4a6</t>
  </si>
  <si>
    <t>Adcy1;Adcy5;Adcy9;Apc2;Cacna1h;Cacna1i;Cyp11a1;Cyp21a1;Fzd3;Itpr1;Wnt10b;Wnt11</t>
  </si>
  <si>
    <t>rno04950</t>
  </si>
  <si>
    <t>Maturity onset diabetes of the young</t>
  </si>
  <si>
    <t>Foxa3;Iapp</t>
  </si>
  <si>
    <t>Atp1a2;Atp1a4;Atp1b2;Nr3c2;Scnn1b;Scnn1g</t>
  </si>
  <si>
    <t>Adcy9;Atp1a2;Atp1a4;Atp1b2</t>
  </si>
  <si>
    <t>Adcy9</t>
  </si>
  <si>
    <t>rno04964</t>
  </si>
  <si>
    <t>Proximal tubule bicarbonate reclamation</t>
  </si>
  <si>
    <t>Atp1a2;Atp1a4;Atp1b2</t>
  </si>
  <si>
    <t>rno04966</t>
  </si>
  <si>
    <t>Collecting duct acid secretion</t>
  </si>
  <si>
    <t>Adcy1;Adcy5;Adcy9;Adra1a;Adra1b;Adrb3;Atp1a2;Atp1a4;Atp1b2;Atp2b4;Cst3;Gucy1a3;Itpr1;Kcnma1;Ryr3;Trpv6</t>
  </si>
  <si>
    <t>Adcy1;Adcy5;Adcy9;Atp1a2;Atp1a4;Atp1b2;Itpr1;Kcne2;Mylk</t>
  </si>
  <si>
    <t>Adcy1;Adcy5;Adcy9;Atp1a2;Atp1a4;Atp1b2;Atp2a3;Atp2b4;Cel;Itpr1;Kcnma1;Pla2g2a;Pla2g5</t>
  </si>
  <si>
    <t>Atp1a2;Atp1a4;Atp1b2;Slc5a1</t>
  </si>
  <si>
    <t>Atp1a2;Atp1a4;Atp1b2;Col11a2;Col22a1;Col4a6;Slc16a10;Slc8a2;Xpnpep2</t>
  </si>
  <si>
    <t>rno04975</t>
  </si>
  <si>
    <t>Fat digestion and absorption</t>
  </si>
  <si>
    <t>Apob;Cel;Pla2g2a;Pla2g5;Plpp3</t>
  </si>
  <si>
    <t>Abcb1a;Adcy1;Adcy5;Adcy9;Atp1a2;Atp1a4;Atp1b2;Kcnn2;Slc27a5;Slc5a1;Slco1a2;Slco1a5</t>
  </si>
  <si>
    <t>Apob;Awat2;Folh1</t>
  </si>
  <si>
    <t>Atp1a2;Atp1a4;Atp1b2;Slc5a1;Trpv6</t>
  </si>
  <si>
    <t>rno04979</t>
  </si>
  <si>
    <t>Cholesterol metabolism</t>
  </si>
  <si>
    <t>Apob</t>
  </si>
  <si>
    <t>Apbb1;Atp2a3;Grin2c;Itpr1;Ppp3r2;Ryr3</t>
  </si>
  <si>
    <t>rno05012</t>
  </si>
  <si>
    <t>Parkinson's disease</t>
  </si>
  <si>
    <t>Adcy5;Park2</t>
  </si>
  <si>
    <t>Gria2;Grin2c;Nefl;Ppp3r2;Prph</t>
  </si>
  <si>
    <t>Dnah2;Dnah7;Dnah9;Dnai1;Itpr1;Ppargc1a</t>
  </si>
  <si>
    <t>rno05020</t>
  </si>
  <si>
    <t>Prion diseases</t>
  </si>
  <si>
    <t>C6;Ncam2</t>
  </si>
  <si>
    <t>Adcy5;Ddc;Gria2;Grin2c;Grin3a;Grm3;Maoa;Maob;Rgs9</t>
  </si>
  <si>
    <t>Adcy5;Camk4;Ddc;Gria2;Grin2c;Grin3a;Maoa;Maob;Ppp3r2</t>
  </si>
  <si>
    <t>Adcy1;Adcy5;Adcy9;Cacna1a;Cacna1b;Gnao1;Kcnj5;Kcnj9;Pde1b;Pde2a;Pde3a</t>
  </si>
  <si>
    <t>rno05033</t>
  </si>
  <si>
    <t>Nicotine addiction</t>
  </si>
  <si>
    <t>Cacna1a;Cacna1b;Chrna7;Gria2;Grin2c;Grin3a</t>
  </si>
  <si>
    <t>Adcy5;Adora2b;Camk4;Ddc;Gnao1;Grin2c;Grin3a;Hdac11;Maoa;Maob;Ntrk2</t>
  </si>
  <si>
    <t>Arhgef26;Ctnna3;Sept6</t>
  </si>
  <si>
    <t>Hspa2;Il12a</t>
  </si>
  <si>
    <t>Adcy1;Gna14;Gnao1;Il12a</t>
  </si>
  <si>
    <t>Gnao1;Hspa2;Il12a</t>
  </si>
  <si>
    <t>Adcy1;Col4a6;Gna14;Il12a</t>
  </si>
  <si>
    <t>Atp6v0d2;Cd209e;Il12a;Nod2;Ppp3r2;Rfxapl1</t>
  </si>
  <si>
    <t>Cldn1;Cldn23;Egf</t>
  </si>
  <si>
    <t>Cd209e;Hspa2;Il12a;Tnfsf10</t>
  </si>
  <si>
    <t>Hspa2;Il12a;Tnfsf10</t>
  </si>
  <si>
    <t>Apc2;Col4a6;Dlg2;Egf;Fzd3;Hdac11;Pard6a;Wnt10b;Wnt11</t>
  </si>
  <si>
    <t>Adcy1;Adcy5;Adcy9;Apc2;Fzd3;Ppp3r2;Wnt10b;Wnt11</t>
  </si>
  <si>
    <t>Itpr1;Ppp3r2</t>
  </si>
  <si>
    <t>Adcy1;Adcy5;Adcy9;Apc2;Ar;Col4a6;Ctnna3;Dcc;Egf;Egln3;Frat1;Frat2;Fzd3;Gstm7;Il12a;Lpar3;Rasgrp2;Runx1t1;Rxrg;Wnt10b;Wnt11;Zbtb16</t>
  </si>
  <si>
    <t>Etv1;Eya1;Hpgd;Id2;Igfbp3;Runx1t1;Rxrg;Ssx1;Zbtb16</t>
  </si>
  <si>
    <t>Atp6v0d2;Gsn;Gtf2a1l;Hdac11</t>
  </si>
  <si>
    <t>Adh1;Adh4;Chrna7;Cyp2c23;Cyp2e1;Cyp3a18;Gstm7;Sult1a1;Ugt2b1</t>
  </si>
  <si>
    <t>Fzd3;Hoxd10;Hpse2;Ihh;Itpr1;Ppp1r12a;Ppp1r12b;Twist1;Wnt10b;Wnt11</t>
  </si>
  <si>
    <t>Abcb1a;Apc2;Fzd3;Hoxd10;Igf2bp1;Mmp16</t>
  </si>
  <si>
    <t>Apc2;Dcc;Egf</t>
  </si>
  <si>
    <t>Egln3;Pak3</t>
  </si>
  <si>
    <t>Apc2;Ctnna3;Egf</t>
  </si>
  <si>
    <t>Ar;Egf</t>
  </si>
  <si>
    <t>Rxrg</t>
  </si>
  <si>
    <t>Apc2;Fzd3;Wnt10b;Wnt11</t>
  </si>
  <si>
    <t>Runx1t1;Zbtb16</t>
  </si>
  <si>
    <t>Col4a6;Rxrg</t>
  </si>
  <si>
    <t>Egf;Rxrg</t>
  </si>
  <si>
    <t>Apc2;Egf;Frat1;Frat2;Fzd3;Wnt10b;Wnt11</t>
  </si>
  <si>
    <t>Apc2;Dpf3;Frat1;Frat2;Fzd3;Gstm7;Wnt10b;Wnt11</t>
  </si>
  <si>
    <t>Abcb1a;Apc2;Ctnna3;Egf;Frat1;Frat2;Fzd3;Rxrg;Wnt10b;Wnt11</t>
  </si>
  <si>
    <t>Ntrk3</t>
  </si>
  <si>
    <t>Chka;Dgkb;Dgkg;Dgki;Egf;Plpp3;Slc22a2;Slc22a3</t>
  </si>
  <si>
    <t>rno05310</t>
  </si>
  <si>
    <t>Asthma</t>
  </si>
  <si>
    <t>Epx</t>
  </si>
  <si>
    <t>Tshb</t>
  </si>
  <si>
    <t>Foxp3;Il12a;Nod2</t>
  </si>
  <si>
    <t>rno05340</t>
  </si>
  <si>
    <t>Primary immunodeficiency</t>
  </si>
  <si>
    <t>Rag2;Rfxapl1</t>
  </si>
  <si>
    <t>Cacna2d3;Cacnb2;Cacnb4;Myh6;Prkab2;Prkag3;Sgca;Sgcd;Tnnt2</t>
  </si>
  <si>
    <t>Actn3;Cacna2d3;Cacnb2;Cacnb4;Ctnna3;Sgca;Sgcd</t>
  </si>
  <si>
    <t>Adcy1;Adcy5;Adcy9;Cacna2d3;Cacnb2;Cacnb4;Myh6;Pln;Sgca;Sgcd;Tnnt2</t>
  </si>
  <si>
    <t>Myh6;Sgca;Sgcd</t>
  </si>
  <si>
    <t>Acvr2b;Gstm7</t>
  </si>
  <si>
    <t>Adh1;Aldh3b2;Eno2;Eno3;Fbp1;Galm</t>
  </si>
  <si>
    <t>Fbp1;Rgn</t>
  </si>
  <si>
    <t>Fbp1</t>
  </si>
  <si>
    <t>rno00052</t>
  </si>
  <si>
    <t>Galactose metabolism</t>
  </si>
  <si>
    <t>Galm</t>
  </si>
  <si>
    <t>Rgn</t>
  </si>
  <si>
    <t>Acacb;Acsbg2;Acsl6</t>
  </si>
  <si>
    <t>Acot1;Acot4;Elovl4</t>
  </si>
  <si>
    <t>Acadsb;Acsbg2;Acsl6;Adh1</t>
  </si>
  <si>
    <t>Cyp39a1;Cyp8b1</t>
  </si>
  <si>
    <t>Cyp11a1;Cyp21a1;Cyp2d4;Cyp3a18;Hsd11b2;Hsd17b2;Hsd17b3</t>
  </si>
  <si>
    <t>Atp12a;Atp6v1b1;Atp6v1g2</t>
  </si>
  <si>
    <t>Cps1</t>
  </si>
  <si>
    <t>Adcy1;Adcy5;Adcy9;Gmpr;Gucy1a3;Gucy1b3;Gucy2d;Nt5e;Pde1b;Pde1c;Pde2a;Pde3a;Pde5a</t>
  </si>
  <si>
    <t>Dpyd;Nt5e</t>
  </si>
  <si>
    <t>Abat;Cps1;Folh1</t>
  </si>
  <si>
    <t>Aoc3;Cbs;Dao;Maoa;Maob</t>
  </si>
  <si>
    <t>Cbs;Tst</t>
  </si>
  <si>
    <t>Aass;Bbox1;Colgalt2;Prdm6;Prdm9</t>
  </si>
  <si>
    <t>Carns1;Ckb;Ckm;Dao;Maoa;Maob;Prodh1</t>
  </si>
  <si>
    <t>Aldh3b2;Carns1;Maoa;Maob</t>
  </si>
  <si>
    <t>Adh1;Aldh3b2;Aoc3;Aox1;Aox3;Dct;Ddc;Maoa;Maob</t>
  </si>
  <si>
    <t>Aldh3b2;Aoc3;Ddc;Maoa;Maob</t>
  </si>
  <si>
    <t>Aox1;Aox3;Ddc;Inmt;Maoa;Maob;Tdo2</t>
  </si>
  <si>
    <t>Abat;Aldh3b2;Aldh6a1;Aoc3;Carns1;Dpyd</t>
  </si>
  <si>
    <t>rno00450</t>
  </si>
  <si>
    <t>Selenocompound metabolism</t>
  </si>
  <si>
    <t>Inmt</t>
  </si>
  <si>
    <t>Gstm7;Nat8;Nat8f3;Nat8f4</t>
  </si>
  <si>
    <t>Agl;Pygm</t>
  </si>
  <si>
    <t>rno00511</t>
  </si>
  <si>
    <t>Other glycan degradation</t>
  </si>
  <si>
    <t>Neu3</t>
  </si>
  <si>
    <t>Galnt15;Galnt5;Wbscr17</t>
  </si>
  <si>
    <t>Colgalt2;St6gal2</t>
  </si>
  <si>
    <t>Chst3;Chsy3l</t>
  </si>
  <si>
    <t>Cel;Dgkb;Dgkg;Dgki;Pnpla3</t>
  </si>
  <si>
    <t>Aldh6a1;Inpp5b;Itpk1;Itpkb;Mtm1;Mtmr4;Plce1</t>
  </si>
  <si>
    <t>Cds2;Chka;Dgkb;Dgkg;Dgki;Pla2g2a;Pla2g3;Pla2g5</t>
  </si>
  <si>
    <t>Enpp2;Gal3st1;Gdpd3;Pla2g2a;Pla2g3;Pla2g5</t>
  </si>
  <si>
    <t>Alox12;Alox15b;Cyp2j3;Cyp2j4;Cyp4f1;Pla2g2a;Pla2g3;Pla2g5;Ptgds</t>
  </si>
  <si>
    <t>Cyp2j3;Cyp2j4;Cyp3a18;Pla2g2a;Pla2g3;Pla2g5</t>
  </si>
  <si>
    <t>Pla2g2a;Pla2g3;Pla2g5</t>
  </si>
  <si>
    <t>Acer2;Cers4;Gal3st1;Neu3;Smpd3;Sptlc3</t>
  </si>
  <si>
    <t>A4galt;Gcnt6</t>
  </si>
  <si>
    <t>A4galt</t>
  </si>
  <si>
    <t>Acacb;Me3</t>
  </si>
  <si>
    <t>Abat;Acacb;Aldh6a1</t>
  </si>
  <si>
    <t>Abat;Acsm5</t>
  </si>
  <si>
    <t>Aox1;Aox3;Nmnat2;Nmrk2;Nt5e</t>
  </si>
  <si>
    <t>Dpyd</t>
  </si>
  <si>
    <t>Adh1;Aox1;Aox3;Cyp26b1;Cyp3a18</t>
  </si>
  <si>
    <t>Car14;Cps1</t>
  </si>
  <si>
    <t>rno00920</t>
  </si>
  <si>
    <t>Sulfur metabolism</t>
  </si>
  <si>
    <t>Tst</t>
  </si>
  <si>
    <t>Adh1;Aldh3b2;Cyp2f4;Gstm7</t>
  </si>
  <si>
    <t>Adh1;Aldh3b2;Aox1;Aox3;Fmo1;Fmo2;Fmo3;Fmo6;Gstm7;Maoa;Maob</t>
  </si>
  <si>
    <t>Ces1d;Ces1f;Dpyd;Gstm7</t>
  </si>
  <si>
    <t>Acot1;Acot4;Scd</t>
  </si>
  <si>
    <t>Eno2;Eno3</t>
  </si>
  <si>
    <t>Taf9b</t>
  </si>
  <si>
    <t>RGD1563496;Wbp11l1</t>
  </si>
  <si>
    <t>Acsbg2;Acsl6;Cyp8b1;Plin4;Rxrg;Scd;Slc27a6</t>
  </si>
  <si>
    <t>Angpt1;Cacna1b;Cacna1d;Cacna1h;Cacna1i;Cacna2d3;Cacnb2;Cacnb4;Egf;Fgf1;Map2k6;Ngfr;Ntf3;Ntrk2;Pak2;Ppp3r2;Rasgrf2;Rasgrp2;Rps6ka2</t>
  </si>
  <si>
    <t>Egf;Pak2;Pak3</t>
  </si>
  <si>
    <t>Angpt1;Egf;Fgf1;Gng7;Ksr2;Ngfr;Ntf3;Ntrk2;Pak2;Pak3;Pla2g2a;Pla2g3;Pla2g5;Plce1;Rasal1;Rasgrf2;Rasgrp2</t>
  </si>
  <si>
    <t>Adcy1;Adcy5;Adcy9;Angpt1;Cnr1;Egf;Fgf1;Gnai1;Gnao1;Magi2;Map2k6;Ngfr;Plce1;Prkd1;Rap1gap;Rasgrp2</t>
  </si>
  <si>
    <t>Adcy1;Adcy9;Adra1a;Adra1b;Adrb3;Agtr1b;Atp2a3;Atp2b4;Avpr1a;Cacna1b;Cacna1d;Cacna1h;Cacna1i;Camk4;Chrna7;Gna14;Grin2c;Htr4;Itpkb;Itpr1;Mylk;Ntsr1;P2rx1;P2rx2;P2rx6;Pde1b;Pde1c;Phkg1;Plce1;Pln;Ppp3r2;Ptger3;Ryr3;Slc8a1;Slc8a2;Tacr2;Tacr3</t>
  </si>
  <si>
    <t>Adcy1;Adcy5;Adcy9;Adra1a;Adra1b;Adra2c;Adrb3;Agtr1b;Atp1a2;Atp1b2;Atp2a3;Atp2b4;Cacna1d;Creb5;Gnai1;Gucy1a3;Gucy1b3;Itpr1;Kcnma1;Kcnmb1;Kcnmb2;Kcnmb4;Mef2b;Mrvi1;Mylk;Pde2a;Pde3a;Pde5a;Pln;Ppp1r12a;Ppp3r2;Rgs2;Slc8a1;Slc8a2</t>
  </si>
  <si>
    <t>Adcy1;Adcy5;Adcy9;Atp1a2;Atp1b2;Atp2b4;Cacna1d;Camk4;Creb5;Fxyd1;Gnai1;Gria2;Grin2c;Grin3a;Hhip;Htr1d;Htr4;Npy1r;Pde3a;Plce1;Pln;Ppp1r12a;Ptger3;Sox9;Sstr1;Tshr</t>
  </si>
  <si>
    <t>Acvr2b;Ccl24;Ccl27;Cntfr;Cxcl14;Eda;Egf;Ghr;Il11ra1;Il12a;Il17d;Lepr;Lifr;Ngfr;Prlr;Tnfrsf19</t>
  </si>
  <si>
    <t>Adcy1;Adcy5;Adcy9;Ccl24;Ccl27;Cxcl14;Gnai1;Gng7;Rasgrp2</t>
  </si>
  <si>
    <t>Prkcq</t>
  </si>
  <si>
    <t>Angpt1;Egf;Eno2;Eno3</t>
  </si>
  <si>
    <t>Ccnd2;Egf;Fbxo32;Foxo6;Prkaa2;Prkab2;Prkag2;Prkag3;Rag2;Slc2a4</t>
  </si>
  <si>
    <t>Cds2;Dgkb;Dgkg;Dgki;Inpp5b;Itpk1;Itpkb;Itpr1;Mtm1;Mtmr4;Plce1</t>
  </si>
  <si>
    <t>Acer2;Cers4;Gnai1;Sptlc3</t>
  </si>
  <si>
    <t>Adcy1;Adcy5;Adcy9;Agtr1b;Avpr1a;Dgkb;Dgkg;Dgki;Egf;Grm3;Grm4;Grm6</t>
  </si>
  <si>
    <t>Adra1a;Adra1b;Adra2c;Adrb3;Agtr1b;Avpr1a;Calcrl;Chrna5;Chrna7;Cnr1;Gabra3;Gabre;Ghr;Glrb;Gria2;Grik2;Grik3;Grin2c;Grin3a;Grm3;Grm4;Grm6;Hcrtr2;Hrh3;Htr1d;Htr4;Lepr;Mchr1;Nmbr;Nmu;Npy1r;Ntsr1;P2rx1;P2rx2;P2rx6;Prlr;Ptger3;Sstr1;Taar4;Tacr2;Tacr3;Thra;Thrb;Trpv1;Tshb;Tshr</t>
  </si>
  <si>
    <t>Ccnd2;Cdkn1c;Tfdp2</t>
  </si>
  <si>
    <t>Adgrb1;Ccnd2;Igfbp3</t>
  </si>
  <si>
    <t>rno04122</t>
  </si>
  <si>
    <t>Sulfur relay system</t>
  </si>
  <si>
    <t>Itpr1;Mtmr4;Prkaa2;Prkcq;Rragd</t>
  </si>
  <si>
    <t>Park2;Sec31b;Svip</t>
  </si>
  <si>
    <t>Ap3b2;Sort1</t>
  </si>
  <si>
    <t>Psd2;Rab11fip4;Sh3gl2;Wipf3</t>
  </si>
  <si>
    <t>Atp6v1b1;Atp6v1g2;Tubb4a</t>
  </si>
  <si>
    <t>Abcd2;Acsl6;Dao;Pxmp2</t>
  </si>
  <si>
    <t>Atp6v1b1;Atp6v1g2;Fzd3;Fzd4;Prkaa2;Rps6ka2;Rragd;Wnt10b;Wnt11;Wnt2b</t>
  </si>
  <si>
    <t>Angpt1;Ccnd2;Col4a3;Col4a6;Creb5;Egf;Fgf1;Ghr;Gng7;Itga11;Lamc3;Ngfr;Ntf3;Ntrk2;Prkaa2;Prlr</t>
  </si>
  <si>
    <t>Acacb;Adra1a;Creb5;Fbp1;Lepr;Ppargc1a;Prkaa2;Prkab2;Prkag2;Prkag3;Scd;Slc2a4</t>
  </si>
  <si>
    <t>Itpr1</t>
  </si>
  <si>
    <t>Adcy1;Adcy5;Adcy9;Camk4;Creb5;Ppargc1a;Prkaa2;Prkab2;Prkag2;Prkag3</t>
  </si>
  <si>
    <t>Adcy1;Adcy5;Adcy9;Prkaa2;Prkab2;Prkag2;Prkag3</t>
  </si>
  <si>
    <t>rno04215</t>
  </si>
  <si>
    <t>Apoptosis - multiple species</t>
  </si>
  <si>
    <t>Ngfr</t>
  </si>
  <si>
    <t>Pygm</t>
  </si>
  <si>
    <t>Cacna1d;Ccnd2;Igfbp3;Itpr1;Map2k6;Ppp3r2</t>
  </si>
  <si>
    <t>Atp1a2;Atp1b2;Cacna1d;Cacna2d3;Cacnb2;Cacnb4;Myh6;Slc8a1;Tnnt2</t>
  </si>
  <si>
    <t>Adcy1;Adcy5;Adcy9;Adra1a;Adra1b;Agtr1b;Atp1a2;Atp1b2;Atp2b4;Cacna1d;Cacna2d3;Cacnb2;Cacnb4;Creb5;Gnai1;Myh6;Pln;Ppp1r1a;Scn4b;Scn7a;Slc8a1;Tnnt2</t>
  </si>
  <si>
    <t>Adcy1;Adcy5;Adcy9;Adra1a;Adra1b;Agtr1b;Avpr1a;Cacna1d;Calcrl;Gucy1a3;Gucy1b3;Itpr1;Kcnma1;Kcnmb1;Kcnmb2;Kcnmb4;Mrvi1;Mylk;Pla2g2a;Pla2g3;Pla2g5;Ppp1r12a;Ppp1r12b;Ppp1r12c;Ppp1r14a;Prkcq</t>
  </si>
  <si>
    <t>Bambi;Ccnd2;Cxxc4;Frat1;Fzd3;Fzd4;Nkd1;Nkd2;Notum;Ppp3r2;Sfrp2;Sfrp5;Sox17;Wnt10b;Wnt11;Wnt2b</t>
  </si>
  <si>
    <t>Ccnd2;Hhip;Ihh</t>
  </si>
  <si>
    <t>Acvr1c;Acvr2b;Bambi;Bmp8a;Dcn;Gdf7;Id2;Id4;Pitx2;Smad6</t>
  </si>
  <si>
    <t>Ablim2;Fzd3;Gdf7;Gnai1;L1cam;Ngef;Ntn1;Ntng1;Pak2;Pak3;Plxna4;Plxnb1;Plxnb3;Ppp3r2;Sema3a;Sema3b;Sema3e;Sema5a;Unc5b;Unc5d</t>
  </si>
  <si>
    <t>Adcy1;Adcy5;Adcy9;Agtr1b;Camk4;Gnai1;Gng7;Itpr1;Mef2b;Mylk;Ppargc1a;Prkaa2;Prkab2;Prkag2;Prkag3;Ryr3;Slc8a1;Slc8a2</t>
  </si>
  <si>
    <t>Camk4;Fosb;Map2k6;Ppp3r2</t>
  </si>
  <si>
    <t>Bmp8a;Ccnd2;Ctnna3;Dlg2;Fgf1;Fzd3;Fzd4;Gdf7;Id2;Nkd1;Wnt10b;Wnt11;Wnt2b</t>
  </si>
  <si>
    <t>Dchs2;Fat4;Rassf2</t>
  </si>
  <si>
    <t>Ccnd2;Col4a3;Col4a6;Egf;Itga11;Lamc3;Mylk;Pak2;Pak3;Ppp1r12a;Ppp1r12b;Ppp1r12c</t>
  </si>
  <si>
    <t>Col4a3;Col4a6;Itga11;Lamc3</t>
  </si>
  <si>
    <t>Cadm3;Cdh4;Cldn1;Cldn11;Cntn1;Cntnap2;L1cam;Lrrc4b;Ncam2;Negr1;Neo1;Nrxn2;Ntng1;Sdc2</t>
  </si>
  <si>
    <t>Actr3b;Bves;Cacna1d;Cldn1;Cldn11;Dlg2;Prkaa2;Prkab2;Prkag2;Prkag3</t>
  </si>
  <si>
    <t>Adcy1;Adcy5;Adcy9;Egf;Gnai1;Gucy1a3;Gucy1b3;Itpr1;Tubb4a</t>
  </si>
  <si>
    <t>Acvr1c;Acvr2b;Fzd3;Fzd4;Hand1;Id2;Id4;Klf4;Lifr;Wnt10b;Wnt11;Wnt2b</t>
  </si>
  <si>
    <t>C6;C7;F13a1;Thbd</t>
  </si>
  <si>
    <t>Adcy1;Adcy5;Adcy9;Gnai1;Gucy1a3;Gucy1b3;Itpr1;Mylk;P2rx1;Ppp1r12a;Rasgrp2</t>
  </si>
  <si>
    <t>Rfxapl1</t>
  </si>
  <si>
    <t>Agtr1b;Mrgprd</t>
  </si>
  <si>
    <t>Il12a;Map2k6</t>
  </si>
  <si>
    <t>Il12a;Il17d;Itpr1;Ppp3r2</t>
  </si>
  <si>
    <t>Aox1;Aox3;Ccnd2;Cntfr;Egf;Ghr;Il11ra1;Il12a;Il13ra2;Il17d;Lepr;Lifr;Prlr</t>
  </si>
  <si>
    <t>Il11ra1</t>
  </si>
  <si>
    <t>Fosb;Il17d</t>
  </si>
  <si>
    <t>Il12a;Ppp3r2;Prkcq</t>
  </si>
  <si>
    <t>Il17d;Ppp3r2;Prkcq;Rxrg</t>
  </si>
  <si>
    <t>Grap2;Pak2;Pak3;Ppp3r2;Prkcq</t>
  </si>
  <si>
    <t>Map2k6</t>
  </si>
  <si>
    <t>Gsn</t>
  </si>
  <si>
    <t>Creb5;Map2k6</t>
  </si>
  <si>
    <t>Cldn1;Cldn11;Ctnna3;Gnai1</t>
  </si>
  <si>
    <t>Npas2;Prkaa2;Prkab2;Prkag2;Prkag3</t>
  </si>
  <si>
    <t>Adcy1;Adcy5;Adcy9;Cacna1d;Cacna1h;Cacna1i;Gnai1;Gnao1;Gng7;Gria2;Grin2c;Gucy1a3;Gucy1b3;Itpr1;Kcnj3;Rasd1;Ryr3</t>
  </si>
  <si>
    <t>Acsl6;Adcy1;Adcy5;Adcy9;Adrb3;Bmp8a;Cnr1;Cox20;Creb5;Dpf3;Ppargc1a;Prkaa2;Prkab2;Prkag2;Prkag3;Rps6ka2;Smarcd3</t>
  </si>
  <si>
    <t>Atp6v1b1;Atp6v1g2;Cacna1b;Cplx1;Rims1</t>
  </si>
  <si>
    <t>Camk4;Ngfr;Ntf3;Ntrk2;Ntrk3;Rps6ka2;Sort1</t>
  </si>
  <si>
    <t>Adcy1;Adcy5;Adcy9;Cacna1b;Cacna1d;Cnr1;Gabra3;Gabre;Gnai1;Gnao1;Gng7;Gria2;Itpr1;Kcnj3;Rims1</t>
  </si>
  <si>
    <t>Adcy1;Adcy5;Adcy9;Cacna1d;Gnai1;Gnao1;Gng7;Gria2;Grik2;Grik3;Grin2c;Grin3a;Grm3;Grm4;Grm6;Itpr1;Kcnj3;Ppp3r2;Shank1;Shank2;Slc38a3</t>
  </si>
  <si>
    <t>Adcy1;Adcy5;Adcy9;Cacna1b;Cacna1d;Camk4;Chrna7;Creb5;Gnai1;Gnao1;Gng7;Itpr1;Kcnj12;Kcnj3;Kcnq4;Kcnq5</t>
  </si>
  <si>
    <t>Adcy5;Alox12;Alox15b;Cacna1b;Cacna1d;Cyp2d4;Cyp2j3;Cyp2j4;Ddc;Gnai1;Gnao1;Gng7;Htr1d;Htr4;Itpr1;Kcnj3;Kcnn2;Maoa;Maob</t>
  </si>
  <si>
    <t>Abat;Adcy1;Adcy5;Adcy9;Cacna1b;Cacna1d;Gabra3;Gabre;Gnai1;Gnao1;Gng7;Slc38a3;Slc38a5;Slc6a1</t>
  </si>
  <si>
    <t>Adcy5;Cacna1b;Cacna1d;Creb5;Ddc;Gnai1;Gnao1;Gng7;Gria2;Itpr1;Kcnj3;Maoa;Maob</t>
  </si>
  <si>
    <t>Gnai1;Gnao1;Gnaz;Gria2;Gucy1a3;Gucy1b3;Itpr1</t>
  </si>
  <si>
    <t>Gng7;Gucy2d;Ncald;Olr1375;Pde1b;Pde1c;Pde2a;Rgs2;Slc8a1;Slc8a2</t>
  </si>
  <si>
    <t>Asic2;Gabra3;Grm4;Htr1d;P2rx2;Pde1b;Pde1c;Scn2a;Scn9a;Scnn1b;Scnn1g;Tas1r3</t>
  </si>
  <si>
    <t>Gucy2d;Rgs9</t>
  </si>
  <si>
    <t>Adcy1;Adcy5;Adcy9;Alox12;Asic2;Asic4;Cyp2j3;Cyp2j4;Itpr1;Map2k6;Prkcq;Trpv1</t>
  </si>
  <si>
    <t>Arhgef6;Egf;Fgf1;Gsn;Itga11;Mylk;Pak2;Pak3;Ppp1r12a;Ppp1r12b;Ppp1r12c</t>
  </si>
  <si>
    <t>Acacb;Fbp1;Phkg1;Ppargc1a;Ppp1r3a;Prkaa2;Prkab2;Prkag2;Prkag3;Pygm;Slc2a4</t>
  </si>
  <si>
    <t>Adcy1;Adcy5;Adcy9;Atp1a2;Atp1b2;Cacna1d;Creb5;Kcnma1;Kcnmb1;Kcnmb2;Kcnmb4;Kcnn1;Kcnn2;Pclo</t>
  </si>
  <si>
    <t>Adcy1;Adcy5;Adcy9;Cacna1d;Itpr1;Map2k6</t>
  </si>
  <si>
    <t>Adcy1;Adcy5;Adcy9;Bmp15;Cyp11a1;Cyp2j3;Cyp2j4;Hsd17b2</t>
  </si>
  <si>
    <t>Adcy1;Adcy5;Adcy9;Cpeb3;Gnai1;Rps6ka2</t>
  </si>
  <si>
    <t>Adcy1;Adcy5;Adcy9;Creb5;Gnai1;Gnao1;Itpr1;Kcnj3;Krt20</t>
  </si>
  <si>
    <t>Adcy1;Adcy5;Adcy9;Dct;Fzd3;Fzd4;Gnai1;Gnao1;Wnt10b;Wnt11;Wnt2b</t>
  </si>
  <si>
    <t>Ccnd2;Prlr</t>
  </si>
  <si>
    <t>Adcy1;Adcy5;Adcy9;Asgr1;Atp1a2;Atp1b2;Creb5;Itpr1;Tshb;Tshr;Ttr</t>
  </si>
  <si>
    <t>Atp1a2;Atp1b2;Med12l;Myh6;Plce1;Pln;Rcan2;Rxrg;Slc16a10;Thra;Thrb</t>
  </si>
  <si>
    <t>Acacb;Acsbg2;Acsl6;Lepr;Ppargc1a;Prkaa2;Prkab2;Prkag2;Prkag3;Prkcq;Rxrg;Slc2a4</t>
  </si>
  <si>
    <t>Adcy1;Adcy5;Adcy9;Cacna1d;Cacna2d3;Cacnb2;Cacnb4;Camk4;Gnai1;Gnao1;Gucy1a3;Gucy1b3;Itpr1;Kcnj12;Kcnj3;Mylk;Ppp1r12a;Ppp1r12b;Ppp1r12c;Ppp3r2;Prkaa2;Prkab2;Prkag2;Prkag3;Rgs2;Ryr3</t>
  </si>
  <si>
    <t>Acacb;Creb5;Fbp1;Itpr1;Phkg1;Ppargc1a;Ppp3r2;Prkaa2;Prkab2;Prkag2;Prkag3;Pygm</t>
  </si>
  <si>
    <t>Adcy1;Adcy5;Adcy9;Adrb3;Gnai1;Npy1r;Ptger3;Tshb;Tshr</t>
  </si>
  <si>
    <t>Adcy5;Adrb3;Agtr1b;Cacna1d;Gnai1;Gucy1a3;Gucy1b3;Itpr1;Kcnma1;Pde1b;Pde1c;Pde3a;Ppp3r2</t>
  </si>
  <si>
    <t>Adcy1;Adcy5;Adcy9;Agtr1b;Atp1a2;Atp1b2;Atp2b4;Cacna1d;Cacna1h;Cacna1i;Camk4;Creb5;Cyp11a1;Cyp21a1;Itpr1;Kcnk3;Pde2a;Prkd1</t>
  </si>
  <si>
    <t>Adcy1;Adcy5;Adcy9;Col4a3;Col4a6;Creb5;Gnai1;Gnao1;Gng7</t>
  </si>
  <si>
    <t>Adcy1;Adcy5;Adcy9;Agtr1b;Cacna1d;Cacna1h;Cacna1i;Creb5;Cyp11a1;Cyp21a1;Itpr1;Kcnk3</t>
  </si>
  <si>
    <t>Cacna1b;Cacna1d;Slc2a4</t>
  </si>
  <si>
    <t>Acacb;Creb5;Ppargc1a;Ppp1r3a;Prkaa2;Prkab2;Prkag2;Prkag3;Prkcq;Pygm;Rps6ka2;Slc27a6;Slc2a4</t>
  </si>
  <si>
    <t>Lepr;Prkaa2;Prkab2;Prkag2;Prkag3</t>
  </si>
  <si>
    <t>Agtr1b;Col4a3;Col4a6;Plce1;Thbd</t>
  </si>
  <si>
    <t>Adcy1;Adcy5;Adcy9;Agtr1b;Cacna1d;Cacna1h;Cacna1i;Creb5;Cyp11a1;Cyp21a1;Fzd3;Fzd4;Gnai1;Itpr1;Kcnk3;Rasd1;Wnt10b;Wnt11;Wnt2b</t>
  </si>
  <si>
    <t>Iapp</t>
  </si>
  <si>
    <t>Atp1a2;Atp1b2;Hsd11b2;Nr3c2;Scnn1b;Scnn1g</t>
  </si>
  <si>
    <t>Adcy9;Atp1a2;Atp1b2;Slc8a1</t>
  </si>
  <si>
    <t>Adcy9;Creb5</t>
  </si>
  <si>
    <t>Atp1a2;Atp1b2;Slc38a3</t>
  </si>
  <si>
    <t>Atp6v1b1;Atp6v1g2;Slc12a7</t>
  </si>
  <si>
    <t>Adcy1;Adcy5;Adcy9;Adra1a;Adra1b;Adrb3;Atp1a2;Atp1b2;Atp2b4;Gucy1a3;Gucy1b3;Itpr1;Kcnma1;Ryr3</t>
  </si>
  <si>
    <t>Adcy1;Adcy5;Adcy9;Atp1a2;Atp1b2;Gnai1;Itpr1;Mylk;Slc26a7</t>
  </si>
  <si>
    <t>Adcy1;Adcy5;Adcy9;Atp1a2;Atp1b2;Atp2a3;Atp2b4;Cel;Cela3b;Itpr1;Kcnma1;Pla2g2a;Pla2g3;Pla2g5</t>
  </si>
  <si>
    <t>Atp1a2;Atp1b2;Cacna1d;Tas1r3</t>
  </si>
  <si>
    <t>Atp1a2;Atp1b2;Cela3b;Col11a2;Col4a3;Col4a6;Slc16a10;Slc8a1;Slc8a2;Xpnpep2</t>
  </si>
  <si>
    <t>Cel;Mttp;Pla2g2a;Pla2g3;Pla2g5</t>
  </si>
  <si>
    <t>Abcb1a;Adcy1;Adcy5;Adcy9;Atp1a2;Atp1b2;Kcnn2;Nr1h4;Slco1a2;Slco1a5</t>
  </si>
  <si>
    <t>Folh1;Slc23a1</t>
  </si>
  <si>
    <t>Atp1a2;Atp1b2;Slc8a1</t>
  </si>
  <si>
    <t>Sort1</t>
  </si>
  <si>
    <t>Apbb1;Atp2a3;Cacna1d;Grin2c;Itpr1;Ppp3r2;Ryr3</t>
  </si>
  <si>
    <t>Adcy5;Gnai1;Park2</t>
  </si>
  <si>
    <t>Gria2;Grin2c;Map2k6;Nefl;Ppp3r2;Prph</t>
  </si>
  <si>
    <t>Creb5;Dnah10;Dnah9;Dnai1;Itpr1;Ppargc1a</t>
  </si>
  <si>
    <t>C6;C7;Ncam2</t>
  </si>
  <si>
    <t>Adcy5;Creb5;Ddc;Fosb;Gnai1;Gria2;Grin2c;Grin3a;Grm3;Maoa;Maob;Rgs9</t>
  </si>
  <si>
    <t>Adcy5;Arc;Cacna1d;Camk4;Creb5;Ddc;Fosb;Gria2;Grin2c;Grin3a;Maoa;Maob;Ppp3r2</t>
  </si>
  <si>
    <t>Adcy1;Adcy5;Adcy9;Cacna1b;Gabra3;Gabre;Gnai1;Gnao1;Gng7;Kcnj3;Pde1b;Pde1c;Pde2a;Pde3a</t>
  </si>
  <si>
    <t>Cacna1b;Chrna7;Gabra3;Gabre;Gria2;Grin2c;Grin3a</t>
  </si>
  <si>
    <t>Adcy5;Camk4;Camkk1;Creb5;Ddc;Fosb;Gnai1;Gnao1;Gng7;Grin2c;Grin3a;Hdac11;Maoa;Maob;Ntrk2;Pkia</t>
  </si>
  <si>
    <t>Arhgef26;Ctnna3</t>
  </si>
  <si>
    <t>Gnai1;Il12a</t>
  </si>
  <si>
    <t>Adcy1;Gna14;Gnai1;Gnao1;Il12a</t>
  </si>
  <si>
    <t>Il12a;Sdc2</t>
  </si>
  <si>
    <t>Gnai1;Gnao1;Il12a;Lamc3;Map2k6</t>
  </si>
  <si>
    <t>Adcy1;Col4a3;Col4a6;Gna14;Il12a;Lamc3</t>
  </si>
  <si>
    <t>Il12a;Ppp3r2;Rfxapl1</t>
  </si>
  <si>
    <t>Cldn1;Cldn11;Egf</t>
  </si>
  <si>
    <t>Creb5</t>
  </si>
  <si>
    <t>Ccnd2;Il12a;Prkcq</t>
  </si>
  <si>
    <t>Ccnd2;Col4a3;Col4a6;Creb5;Dlg2;Egf;Fzd3;Fzd4;Hdac11;Itga11;Lamc3;Wnt10b;Wnt11;Wnt2b</t>
  </si>
  <si>
    <t>Adcy1;Adcy5;Adcy9;Ccnd2;Fzd3;Fzd4;Ppp3r2;Wnt10b;Wnt11;Wnt2b</t>
  </si>
  <si>
    <t>Gng7;Itpr1;Map2k6;Ppp3r2</t>
  </si>
  <si>
    <t>Il12a;Taf9b</t>
  </si>
  <si>
    <t>Hspb2;Map2k6</t>
  </si>
  <si>
    <t>Adcy1;Adcy5;Adcy9;Agtr1b;Alk;Ar;Ccnd2;Col4a3;Col4a6;Ctnna3;Egf;Fgf1;Frat1;Fzd3;Fzd4;Gnai1;Gng7;Gstm7;Hhip;Il12a;Lamc3;Ptger3;Rasgrp2;Runx1t1;Rxrg;Wnt10b;Wnt11;Wnt2b</t>
  </si>
  <si>
    <t>Ccnd2;Etv1;Eya1;Hpgd;Id2;Igfbp3;Ngfr;Runx1t1;Rxrg;Ssx1</t>
  </si>
  <si>
    <t>Ccnd2;Creb5;Gsn;Hdac11</t>
  </si>
  <si>
    <t>Adh1;Aldh3b2;Chrna7;Cyp3a18;Gstm7;Sult1a1</t>
  </si>
  <si>
    <t>Ank2;Dcn;Fzd3;Fzd4;Hoxd10;Hpse2;Hspb2;Ihh;Itpr1;Plce1;Ppp1r12a;Ppp1r12b;Ppp1r12c;Sdc2;Twist1;Wnt10b;Wnt11;Wnt2b</t>
  </si>
  <si>
    <t>Abcb1a;Ccnd2;Fzd3;Hoxd10;Mmp16</t>
  </si>
  <si>
    <t>Pak2;Pak3</t>
  </si>
  <si>
    <t>Arhgef6;Egf</t>
  </si>
  <si>
    <t>Ctnna3;Egf</t>
  </si>
  <si>
    <t>Ar;Creb5;Egf</t>
  </si>
  <si>
    <t>Fzd3;Fzd4;Hhip;Wnt10b;Wnt11;Wnt2b</t>
  </si>
  <si>
    <t>Egf;Fgf1</t>
  </si>
  <si>
    <t>Runx1t1</t>
  </si>
  <si>
    <t>Col4a3;Col4a6;Lamc3;Rxrg</t>
  </si>
  <si>
    <t>Alk;Egf;Rxrg</t>
  </si>
  <si>
    <t>Egf;Fgf1;Frat1;Fzd3;Fzd4;Wnt10b;Wnt11;Wnt2b</t>
  </si>
  <si>
    <t>Dpf3;Frat1;Fzd3;Fzd4;Gstm7;Smarcd3;Wnt10b;Wnt11;Wnt2b</t>
  </si>
  <si>
    <t>Abcb1a;Ctnna3;Egf;Fgf1;Frat1;Fzd3;Fzd4;Rxrg;Wnt10b;Wnt11;Wnt2b</t>
  </si>
  <si>
    <t>Chka;Dgkb;Dgkg;Dgki;Egf;Slc22a2;Slc22a3;Slc22a5</t>
  </si>
  <si>
    <t>Tshb;Tshr</t>
  </si>
  <si>
    <t>C6;C7</t>
  </si>
  <si>
    <t>Angpt1;Atp6v1b1;Atp6v1g2</t>
  </si>
  <si>
    <t>Cacna1d;Cacna2d3;Cacnb2;Cacnb4;Itga11;Myh6;Prkaa2;Prkab2;Prkag2;Prkag3;Sgca;Sgcd;Slc8a1;Tnnt2</t>
  </si>
  <si>
    <t>Cacna1d;Cacna2d3;Cacnb2;Cacnb4;Ctnna3;Itga11;Sgca;Sgcd;Slc8a1</t>
  </si>
  <si>
    <t>Adcy1;Adcy5;Adcy9;Cacna1d;Cacna2d3;Cacnb2;Cacnb4;Itga11;Myh6;Pln;Sgca;Sgcd;Slc8a1;Tnnt2</t>
  </si>
  <si>
    <t>Acvr2b;Gstm7;Map2k6;Prkaa2;Sdc2;Thbd</t>
  </si>
  <si>
    <t>Adh1;Eno2</t>
  </si>
  <si>
    <t>Acsl6;Adh1;Cyp4a1</t>
  </si>
  <si>
    <t>Cyp2d4;Cyp3a18</t>
  </si>
  <si>
    <t>Atp6v1g2</t>
  </si>
  <si>
    <t>Entpd1;Gucy1a3;Pde1b</t>
  </si>
  <si>
    <t>Entpd1</t>
  </si>
  <si>
    <t>Folh1</t>
  </si>
  <si>
    <t>Maob;Psat1</t>
  </si>
  <si>
    <t>Cdo1</t>
  </si>
  <si>
    <t>Aox3</t>
  </si>
  <si>
    <t>Bbox1;Colgalt2</t>
  </si>
  <si>
    <t>Aldh18a1;Ckm;Maob;Pycr1</t>
  </si>
  <si>
    <t>Maob</t>
  </si>
  <si>
    <t>Adh1;Aox3;Ddc;Maob</t>
  </si>
  <si>
    <t>Ddc;Maob</t>
  </si>
  <si>
    <t>Aox3;Ddc;Inmt;Maob</t>
  </si>
  <si>
    <t>rno00430</t>
  </si>
  <si>
    <t>Taurine and hypotaurine metabolism</t>
  </si>
  <si>
    <t>Gstm7;Nat8f3</t>
  </si>
  <si>
    <t>Galnt5</t>
  </si>
  <si>
    <t>Cmah</t>
  </si>
  <si>
    <t>rno00533</t>
  </si>
  <si>
    <t>Glycosaminoglycan biosynthesis - keratan sulfate</t>
  </si>
  <si>
    <t>Chst1</t>
  </si>
  <si>
    <t>Ndst4</t>
  </si>
  <si>
    <t>Lpl</t>
  </si>
  <si>
    <t>Inpp5j</t>
  </si>
  <si>
    <t>Enpp2;Pla2g2a;Pla2g5;Ugt8</t>
  </si>
  <si>
    <t>Cyp4a1;Pla2g2a;Pla2g5</t>
  </si>
  <si>
    <t>Cyp3a18;Pla2g2a;Pla2g5</t>
  </si>
  <si>
    <t>Cers4;Enpp7;Ugt8</t>
  </si>
  <si>
    <t>Fut2</t>
  </si>
  <si>
    <t>St6galnac3</t>
  </si>
  <si>
    <t>Acacb</t>
  </si>
  <si>
    <t>Acacb;Acss3</t>
  </si>
  <si>
    <t>rno00670</t>
  </si>
  <si>
    <t>One carbon pool by folate</t>
  </si>
  <si>
    <t>Aldh1l2</t>
  </si>
  <si>
    <t>Aox3;Psat1</t>
  </si>
  <si>
    <t>Aox3;Nmnat2</t>
  </si>
  <si>
    <t>Vnn3</t>
  </si>
  <si>
    <t>Adh1;Aox3;Cyp26b1;Cyp3a18;Cyp4a1;Lrat</t>
  </si>
  <si>
    <t>Adh1;Cyp2f4;Gstm7</t>
  </si>
  <si>
    <t>Adh1;Aox3;Fmo1;Gstm7;Maob</t>
  </si>
  <si>
    <t>Ces1d;Ces1f;Gstm7</t>
  </si>
  <si>
    <t>Cdkn2a;Esr1;Fos</t>
  </si>
  <si>
    <t>Abcg2</t>
  </si>
  <si>
    <t>Cdkn2a;Gstm7;Top2a</t>
  </si>
  <si>
    <t>Abca6;Abca8a;Abcb1a;Abcc6;Abcd2;Abcg2</t>
  </si>
  <si>
    <t>Eno2</t>
  </si>
  <si>
    <t>rno03030</t>
  </si>
  <si>
    <t>DNA replication</t>
  </si>
  <si>
    <t>Mcm5</t>
  </si>
  <si>
    <t>RGD1563496</t>
  </si>
  <si>
    <t>Acsl6;Cyp4a1;Lpl;Rxrg;Scd;Slc27a6</t>
  </si>
  <si>
    <t>Rmi2</t>
  </si>
  <si>
    <t>Cacna1b;Cacna1i;Efna2;Fgf10;Fgfr4;Fos;Igf2;Ngfr;Nr4a1;Ntrk2;Pak2;Ppp3r2;Rasgrf2</t>
  </si>
  <si>
    <t>Pak2</t>
  </si>
  <si>
    <t>Efna2;Fgf10;Fgfr4;Igf2;Ngfr;Ntrk2;Pak2;Pla2g2a;Pla2g5;Rasgrf2</t>
  </si>
  <si>
    <t>Efna2;Fgf10;Fgfr4;Ngfr</t>
  </si>
  <si>
    <t>Adra1a;Agtr1a;Agtr1b;Atp2a3;Cacna1b;Cacna1i;Camk4;Gna14;Hrh2;Ntsr1;Oxtr;Pde1b;Ppp3r2;Ptgfr;Slc8a3;Tacr2;Tacr3</t>
  </si>
  <si>
    <t>Adra1a;Agtr1a;Agtr1b;Atp1a2;Atp1b2;Atp2a3;Gucy1a3;Ppp3r2;Rgs2;Slc8a3</t>
  </si>
  <si>
    <t>Atp1a2;Atp1b2;Camk4;Fos;Gria2;Gria4;Grin3a;Oxtr;Sox9;Sstr1</t>
  </si>
  <si>
    <t>Ccl11;Ccl19;Ccl21;Cntfr;Cxcl12;Eda;Il9r;Ngfr;Prlr;Tnfsf13b</t>
  </si>
  <si>
    <t>Ccl11;Ccl19;Ccl21;Cxcl12;Grk3</t>
  </si>
  <si>
    <t>Ccl19;Ccl21;Cxcl12;Tnfsf13b</t>
  </si>
  <si>
    <t>Ccnd2;Foxo6</t>
  </si>
  <si>
    <t>Cers4</t>
  </si>
  <si>
    <t>Agtr1a;Agtr1b;Grm3;Ptgfr</t>
  </si>
  <si>
    <t>Adra1a;Agtr1a;Agtr1b;Agtr2;Chrna5;Gabra3;Gabrb2;Glrb;Gria2;Gria4;Grid2;Grik2;Grin3a;Grm3;Hrh2;Ltb4r;Mchr1;Nmbr;Nmur2;Npffr2;Ntsr1;Oxtr;P2ry14;Prlr;Ptgfr;Rxfp1;Sstr1;Tacr2;Tacr3;Tshb</t>
  </si>
  <si>
    <t>Bub1b;Ccnd2;Cdkn2a;Mcm5</t>
  </si>
  <si>
    <t>Ar;Ppp3r2</t>
  </si>
  <si>
    <t>Adgrb1;Ccnd2;Cdkn2a;Igfbp3</t>
  </si>
  <si>
    <t>Ap3b2</t>
  </si>
  <si>
    <t>Fgfr4;Grk3</t>
  </si>
  <si>
    <t>Atp6v1g2;Cd209e;Cd209f;Clec7a;Fcgr2a;Thbs3;Tubb6</t>
  </si>
  <si>
    <t>Abcd2;Acsl6</t>
  </si>
  <si>
    <t>Atp6v1g2;Wnt2b</t>
  </si>
  <si>
    <t>Ccnd2;Col1a1;Col6a5;Efna2;Fgf10;Fgfr4;Igf2;Ngfr;Nr4a1;Ntrk2;Prlr;Thbs3</t>
  </si>
  <si>
    <t>Acacb;Adra1a;Scd</t>
  </si>
  <si>
    <t>Fos;Hrk</t>
  </si>
  <si>
    <t>Camk4</t>
  </si>
  <si>
    <t>Ccnd2;Cdkn2a;Igfbp3;Ppp3r2</t>
  </si>
  <si>
    <t>Atp1a2;Atp1b2;Myh6</t>
  </si>
  <si>
    <t>Adra1a;Agtr1a;Agtr1b;Agtr2;Atp1a2;Atp1b2;Myh6;Ppp1r1a;Scn7a</t>
  </si>
  <si>
    <t>Adra1a;Agtr1a;Agtr1b;Cyp4a1;Gucy1a3;Pla2g2a;Pla2g5</t>
  </si>
  <si>
    <t>Ccnd2;Ppp3r2;Sfrp2;Sfrp5;Wnt2b</t>
  </si>
  <si>
    <t>Ccnd2;Dhh;Grk3</t>
  </si>
  <si>
    <t>Fst;Gdf7</t>
  </si>
  <si>
    <t>Cxcl12;Efna2;Efnb3;Epha3;Gdf7;Lrrc4c;Pak2;Plxnb3;Ppp3r2;Sema5a;Unc5d</t>
  </si>
  <si>
    <t>Agtr1a;Agtr1b;Camk4;Egr1;Slc8a3</t>
  </si>
  <si>
    <t>Camk4;Fcgr2a;Fos;Lilra5;Ppp3r2</t>
  </si>
  <si>
    <t>Ccnd2;Dlg2;Gdf7;Wnt2b</t>
  </si>
  <si>
    <t>Rassf4</t>
  </si>
  <si>
    <t>Ccnd2;Col1a1;Col6a5;Pak2;Thbs3</t>
  </si>
  <si>
    <t>Col1a1;Col6a5;Thbs3</t>
  </si>
  <si>
    <t>Cadm3;Cdh4;Cldn1;Cntn1;Lrrc4b;Lrrc4c;Mpz;Ncam2;Negr1;Vtcn1</t>
  </si>
  <si>
    <t>Wasf3</t>
  </si>
  <si>
    <t>Actr3b;Cldn1;Dlg2</t>
  </si>
  <si>
    <t>Gucy1a3;Tubb6</t>
  </si>
  <si>
    <t>Fgfr4;Wnt2b</t>
  </si>
  <si>
    <t>C6;C7;Cfb;F13a1</t>
  </si>
  <si>
    <t>Col1a1;Gucy1a3</t>
  </si>
  <si>
    <t>Agtr1a;Agtr1b;Agtr2;Klk1c6</t>
  </si>
  <si>
    <t>Fos</t>
  </si>
  <si>
    <t>Mefv;Nod2</t>
  </si>
  <si>
    <t>Cd209e;Cd209f;Clec7a;Egr3;Ppp3r2</t>
  </si>
  <si>
    <t>Aox3;Ccnd2;Cntfr;Gfap;Il13ra2;Il9r;Prlr</t>
  </si>
  <si>
    <t>Cd7;Il9r</t>
  </si>
  <si>
    <t>Fcgr2a;Ppp3r2</t>
  </si>
  <si>
    <t>Ccl11;Fos</t>
  </si>
  <si>
    <t>Fos;Ppp3r2</t>
  </si>
  <si>
    <t>Fos;Ppp3r2;Rxrg</t>
  </si>
  <si>
    <t>Fos;Grap2;Pak2;Ppp3r2</t>
  </si>
  <si>
    <t>Fcgr2a;Wasf3</t>
  </si>
  <si>
    <t>Fos;Nod2</t>
  </si>
  <si>
    <t>Cldn1;Cxcl12</t>
  </si>
  <si>
    <t>Cxcl12;Tnfsf13b</t>
  </si>
  <si>
    <t>Cacna1i;Fos;Gria2;Gria4;Gucy1a3;Kcnj3;Rasd1</t>
  </si>
  <si>
    <t>Camk4;Gria2;Ppp1r1a;Ppp3r2</t>
  </si>
  <si>
    <t>Atp6v1g2;Cacna1b;Cplx1;Syt1</t>
  </si>
  <si>
    <t>Camk4;Ngfr;Ntrk2</t>
  </si>
  <si>
    <t>Cacna1b;Gabra3;Gabrb2;Gria2;Gria4;Kcnj3</t>
  </si>
  <si>
    <t>Gria2;Gria4;Grik2;Grin3a;Grk3;Grm3;Kcnj3;Ppp3r2;Slc38a3</t>
  </si>
  <si>
    <t>Cacna1b;Camk4;Fos;Kcnj3;Kcnq4</t>
  </si>
  <si>
    <t>Cacna1b;Cyp2d4;Ddc;Gabrb2;Kcnj3;Maob</t>
  </si>
  <si>
    <t>Cacna1b;Gabra3;Gabrb2;Slc38a3;Slc38a5;Slc6a1</t>
  </si>
  <si>
    <t>Cacna1b;Ddc;Fos;Gria2;Gria4;Kcnj3;Maob</t>
  </si>
  <si>
    <t>Gria2;Grid2;Gucy1a3</t>
  </si>
  <si>
    <t>Grk3;Pde1b;Rgs2;Slc8a3</t>
  </si>
  <si>
    <t>Asic2;Gabra3;Pde1b;Scn9a</t>
  </si>
  <si>
    <t>Asic2;Asic4;Cyp4a1;Trpv3</t>
  </si>
  <si>
    <t>Fgf10;Fgfr4;Iqgap2;Pak2</t>
  </si>
  <si>
    <t>Acacb;Exoc7</t>
  </si>
  <si>
    <t>Atp1a2;Atp1b2</t>
  </si>
  <si>
    <t>Esr1;Fos;Ka11;Kcnj3;Krt14;Krt15;Krt17;Krt20</t>
  </si>
  <si>
    <t>Wnt2b</t>
  </si>
  <si>
    <t>Ccnd2;Elf5;Esr1;Fos;Prlr</t>
  </si>
  <si>
    <t>Asgr1;Asgr2;Atp1a2;Atp1b2;Slc5a5;Tshb</t>
  </si>
  <si>
    <t>Atp1a2;Atp1b2;Dio2;Esr1;Med12l;Myh6;Rxrg;Slc16a10</t>
  </si>
  <si>
    <t>Acacb;Acsl6;Rxrg</t>
  </si>
  <si>
    <t>Camk4;Fos;Gucy1a3;Kcnj3;Oxtr;Ppp3r2;Rgs2</t>
  </si>
  <si>
    <t>Acacb;Ppp3r2</t>
  </si>
  <si>
    <t>Agtr1a;Agtr1b;Clca2;Gucy1a3;Pde1b;Ppp3r2</t>
  </si>
  <si>
    <t>Agtr1a;Agtr1b;Atp1a2;Atp1b2;Cacna1i;Camk4;Nr4a1</t>
  </si>
  <si>
    <t>Col1a1;Fos;Rxfp1</t>
  </si>
  <si>
    <t>Agtr1a;Agtr1b;Cacna1i;Nr4a1</t>
  </si>
  <si>
    <t>Cacna1b</t>
  </si>
  <si>
    <t>Acacb;Slc27a6</t>
  </si>
  <si>
    <t>Agtr1a;Agtr1b;Col1a1;Egr1</t>
  </si>
  <si>
    <t>Agtr1a;Agtr1b;Cacna1i;Cdkn2a;Nr4a1;Rasd1;Wnt2b</t>
  </si>
  <si>
    <t>Iapp;Nr5a2</t>
  </si>
  <si>
    <t>Atp1a2;Atp1b2;Esr1;Klk1c6</t>
  </si>
  <si>
    <t>Adra1a;Atp1a2;Atp1b2;Gucy1a3</t>
  </si>
  <si>
    <t>Atp1a2;Atp1b2;Hrh2</t>
  </si>
  <si>
    <t>Atp1a2;Atp1b2;Atp2a3;Cela3b;Clca2;Pla2g2a;Pla2g5</t>
  </si>
  <si>
    <t>Atp1a2;Atp1b2;Cela3b;Col1a1;Col6a5;Col7a1;Slc16a10;Slc7a8;Slc8a3;Xpnpep2</t>
  </si>
  <si>
    <t>Abcb1a;Abcg2;Atp1a2;Atp1b2;Nr1h4;Slco1a2</t>
  </si>
  <si>
    <t>Cubn;Folh1;Lrat</t>
  </si>
  <si>
    <t>Atp2a3;Lpl;Ppp3r2;Snca</t>
  </si>
  <si>
    <t>Snca;Sncaip</t>
  </si>
  <si>
    <t>Gria2;Nefl;Ppp3r2</t>
  </si>
  <si>
    <t>Dnah10</t>
  </si>
  <si>
    <t>C6;C7;Egr1;Ncam2</t>
  </si>
  <si>
    <t>Ddc;Gria2;Grin3a;Grm3;Maob;Rgs9</t>
  </si>
  <si>
    <t>Arc;Camk4;Ddc;Fos;Gria2;Gria4;Grin3a;Maob;Ppp3r2</t>
  </si>
  <si>
    <t>Cacna1b;Gabra3;Gabrb2;Grk3;Kcnj3;Pde1b</t>
  </si>
  <si>
    <t>Cacna1b;Gabra3;Gabrb2;Gria2;Gria4;Grin3a</t>
  </si>
  <si>
    <t>Camk4;Ddc;Grin3a;Hist1h3a;Hist3h2ba;Maob;Ntrk2;Slc29a1</t>
  </si>
  <si>
    <t>Fcgr2a;Fos</t>
  </si>
  <si>
    <t>Fos;Gna14</t>
  </si>
  <si>
    <t>Thbs3</t>
  </si>
  <si>
    <t>Col1a1;Gna14</t>
  </si>
  <si>
    <t>Cfb;Fcgr2a</t>
  </si>
  <si>
    <t>Cd209e;Cd209f;Clec7a;Fcgr2a;Nod2;Ppp3r2</t>
  </si>
  <si>
    <t>Cldn1</t>
  </si>
  <si>
    <t>Egr3;Fos</t>
  </si>
  <si>
    <t>Ccnd2;Cd209e;Cd209f</t>
  </si>
  <si>
    <t>Ccnd2;Col1a1;Col6a5;Dlg2;Thbs3;Wnt2b</t>
  </si>
  <si>
    <t>Atf3;Bub1b;Ccnd2;Cdkn2a;Egr1;Fos;Ppp3r2;Wnt2b</t>
  </si>
  <si>
    <t>Agtr1a;Agtr1b;Alk;Ar;Ccnd2;Cdkn2a;Cxcl12;Esr1;Fgf10;Fgfr4;Fos;Gstm7;Igf2;Rxrg;Wnt2b</t>
  </si>
  <si>
    <t>Ccnd2;Hist1h3a;Igfbp3;Ngfr;Rxrg</t>
  </si>
  <si>
    <t>Ccnd2;Cdkn2a;Egr3;Hist3h2ba</t>
  </si>
  <si>
    <t>Adh1;Cyp3a18;Gstm7</t>
  </si>
  <si>
    <t>Esr1;Igf2;Lum;Wnt2b</t>
  </si>
  <si>
    <t>Abcb1a;Ccnd2;Cdkn2a;Igf2bp1</t>
  </si>
  <si>
    <t>Cdkn2a</t>
  </si>
  <si>
    <t>Ar</t>
  </si>
  <si>
    <t>Cdkn2a;Fgf10</t>
  </si>
  <si>
    <t>Alk;Cdkn2a;Rxrg</t>
  </si>
  <si>
    <t>Esr1;Fgf10;Fos;Wnt2b</t>
  </si>
  <si>
    <t>Cdkn2a;Gstm7;Igf2;Wnt2b</t>
  </si>
  <si>
    <t>Abcb1a;Fgf10;Rxrg;Wnt2b</t>
  </si>
  <si>
    <t>Fos;Slc22a2;Slc22a3;Wasf3</t>
  </si>
  <si>
    <t>Ccl11</t>
  </si>
  <si>
    <t>C6;C7;Fcgr2a;Hist1h3a;Hist3h2ba</t>
  </si>
  <si>
    <t>Atp6v1g2;Cxcl12;Fos;Tnfsf13b</t>
  </si>
  <si>
    <t>Myh6</t>
  </si>
  <si>
    <t>Fos;Gstm7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</si>
</sst>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0"/>
  <sheetViews>
    <sheetView tabSelected="1"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1</v>
      </c>
      <c r="F2">
        <v>151</v>
      </c>
      <c r="G2">
        <v>5</v>
      </c>
      <c r="H2">
        <v>2681</v>
      </c>
      <c r="I2">
        <v>0.25179304173154099</v>
      </c>
      <c r="J2">
        <v>0.99728819895371701</v>
      </c>
      <c r="K2">
        <v>3.5509933774834401</v>
      </c>
      <c r="L2" t="s">
        <v>17</v>
      </c>
      <c r="M2" t="str">
        <f>HYPERLINK("../../3.KEGG_map/SCI_I-vs-NC-Up/rno00010.html","rno00010")</f>
        <v>rno00010</v>
      </c>
    </row>
    <row r="3" spans="1:13" x14ac:dyDescent="0.25">
      <c r="A3" t="s">
        <v>18</v>
      </c>
      <c r="B3" t="s">
        <v>19</v>
      </c>
      <c r="C3" t="s">
        <v>15</v>
      </c>
      <c r="D3" t="s">
        <v>16</v>
      </c>
      <c r="E3">
        <v>2</v>
      </c>
      <c r="F3">
        <v>151</v>
      </c>
      <c r="G3">
        <v>8</v>
      </c>
      <c r="H3">
        <v>2681</v>
      </c>
      <c r="I3">
        <v>7.0549155240579295E-2</v>
      </c>
      <c r="J3">
        <v>0.80892100010911905</v>
      </c>
      <c r="K3">
        <v>4.4387417218543002</v>
      </c>
      <c r="L3" t="s">
        <v>20</v>
      </c>
      <c r="M3" t="str">
        <f>HYPERLINK("../../3.KEGG_map/SCI_I-vs-NC-Up/rno00040.html","rno00040")</f>
        <v>rno00040</v>
      </c>
    </row>
    <row r="4" spans="1:13" x14ac:dyDescent="0.25">
      <c r="A4" t="s">
        <v>21</v>
      </c>
      <c r="B4" t="s">
        <v>22</v>
      </c>
      <c r="C4" t="s">
        <v>15</v>
      </c>
      <c r="D4" t="s">
        <v>16</v>
      </c>
      <c r="E4">
        <v>2</v>
      </c>
      <c r="F4">
        <v>151</v>
      </c>
      <c r="G4">
        <v>6</v>
      </c>
      <c r="H4">
        <v>2681</v>
      </c>
      <c r="I4">
        <v>4.0695787063123601E-2</v>
      </c>
      <c r="J4">
        <v>0.67379569722592303</v>
      </c>
      <c r="K4">
        <v>5.9183222958057398</v>
      </c>
      <c r="L4" t="s">
        <v>20</v>
      </c>
      <c r="M4" t="str">
        <f>HYPERLINK("../../3.KEGG_map/SCI_I-vs-NC-Up/rno00053.html","rno00053")</f>
        <v>rno00053</v>
      </c>
    </row>
    <row r="5" spans="1:13" x14ac:dyDescent="0.25">
      <c r="A5" t="s">
        <v>23</v>
      </c>
      <c r="B5" t="s">
        <v>24</v>
      </c>
      <c r="C5" t="s">
        <v>15</v>
      </c>
      <c r="D5" t="s">
        <v>25</v>
      </c>
      <c r="E5">
        <v>2</v>
      </c>
      <c r="F5">
        <v>151</v>
      </c>
      <c r="G5">
        <v>6</v>
      </c>
      <c r="H5">
        <v>2681</v>
      </c>
      <c r="I5">
        <v>4.0695787063123601E-2</v>
      </c>
      <c r="J5">
        <v>0.67379569722592303</v>
      </c>
      <c r="K5">
        <v>5.9183222958057398</v>
      </c>
      <c r="L5" t="s">
        <v>26</v>
      </c>
      <c r="M5" t="str">
        <f>HYPERLINK("../../3.KEGG_map/SCI_I-vs-NC-Up/rno00140.html","rno00140")</f>
        <v>rno00140</v>
      </c>
    </row>
    <row r="6" spans="1:13" x14ac:dyDescent="0.25">
      <c r="A6" t="s">
        <v>27</v>
      </c>
      <c r="B6" t="s">
        <v>28</v>
      </c>
      <c r="C6" t="s">
        <v>15</v>
      </c>
      <c r="D6" t="s">
        <v>29</v>
      </c>
      <c r="E6">
        <v>1</v>
      </c>
      <c r="F6">
        <v>151</v>
      </c>
      <c r="G6">
        <v>5</v>
      </c>
      <c r="H6">
        <v>2681</v>
      </c>
      <c r="I6">
        <v>0.25179304173154099</v>
      </c>
      <c r="J6">
        <v>0.99728819895371701</v>
      </c>
      <c r="K6">
        <v>3.5509933774834401</v>
      </c>
      <c r="L6" t="s">
        <v>30</v>
      </c>
      <c r="M6" t="str">
        <f>HYPERLINK("../../3.KEGG_map/SCI_I-vs-NC-Up/rno00220.html","rno00220")</f>
        <v>rno00220</v>
      </c>
    </row>
    <row r="7" spans="1:13" x14ac:dyDescent="0.25">
      <c r="A7" t="s">
        <v>31</v>
      </c>
      <c r="B7" t="s">
        <v>32</v>
      </c>
      <c r="C7" t="s">
        <v>15</v>
      </c>
      <c r="D7" t="s">
        <v>33</v>
      </c>
      <c r="E7">
        <v>1</v>
      </c>
      <c r="F7">
        <v>151</v>
      </c>
      <c r="G7">
        <v>57</v>
      </c>
      <c r="H7">
        <v>2681</v>
      </c>
      <c r="I7">
        <v>0.96457629636094899</v>
      </c>
      <c r="J7">
        <v>0.99728819895371701</v>
      </c>
      <c r="K7">
        <v>0.31149064714767</v>
      </c>
      <c r="L7" t="s">
        <v>34</v>
      </c>
      <c r="M7" t="str">
        <f>HYPERLINK("../../3.KEGG_map/SCI_I-vs-NC-Up/rno00230.html","rno00230")</f>
        <v>rno00230</v>
      </c>
    </row>
    <row r="8" spans="1:13" x14ac:dyDescent="0.25">
      <c r="A8" t="s">
        <v>35</v>
      </c>
      <c r="B8" t="s">
        <v>36</v>
      </c>
      <c r="C8" t="s">
        <v>15</v>
      </c>
      <c r="D8" t="s">
        <v>33</v>
      </c>
      <c r="E8">
        <v>1</v>
      </c>
      <c r="F8">
        <v>151</v>
      </c>
      <c r="G8">
        <v>19</v>
      </c>
      <c r="H8">
        <v>2681</v>
      </c>
      <c r="I8">
        <v>0.668877031686263</v>
      </c>
      <c r="J8">
        <v>0.99728819895371701</v>
      </c>
      <c r="K8">
        <v>0.93447194144301104</v>
      </c>
      <c r="L8" t="s">
        <v>37</v>
      </c>
      <c r="M8" t="str">
        <f>HYPERLINK("../../3.KEGG_map/SCI_I-vs-NC-Up/rno00240.html","rno00240")</f>
        <v>rno00240</v>
      </c>
    </row>
    <row r="9" spans="1:13" x14ac:dyDescent="0.25">
      <c r="A9" t="s">
        <v>38</v>
      </c>
      <c r="B9" t="s">
        <v>39</v>
      </c>
      <c r="C9" t="s">
        <v>15</v>
      </c>
      <c r="D9" t="s">
        <v>29</v>
      </c>
      <c r="E9">
        <v>1</v>
      </c>
      <c r="F9">
        <v>151</v>
      </c>
      <c r="G9">
        <v>13</v>
      </c>
      <c r="H9">
        <v>2681</v>
      </c>
      <c r="I9">
        <v>0.53015819726262003</v>
      </c>
      <c r="J9">
        <v>0.99728819895371701</v>
      </c>
      <c r="K9">
        <v>1.36576668364748</v>
      </c>
      <c r="L9" t="s">
        <v>30</v>
      </c>
      <c r="M9" t="str">
        <f>HYPERLINK("../../3.KEGG_map/SCI_I-vs-NC-Up/rno00250.html","rno00250")</f>
        <v>rno00250</v>
      </c>
    </row>
    <row r="10" spans="1:13" x14ac:dyDescent="0.25">
      <c r="A10" t="s">
        <v>40</v>
      </c>
      <c r="B10" t="s">
        <v>41</v>
      </c>
      <c r="C10" t="s">
        <v>15</v>
      </c>
      <c r="D10" t="s">
        <v>29</v>
      </c>
      <c r="E10">
        <v>1</v>
      </c>
      <c r="F10">
        <v>151</v>
      </c>
      <c r="G10">
        <v>8</v>
      </c>
      <c r="H10">
        <v>2681</v>
      </c>
      <c r="I10">
        <v>0.37148097525381502</v>
      </c>
      <c r="J10">
        <v>0.99728819895371701</v>
      </c>
      <c r="K10">
        <v>2.2193708609271501</v>
      </c>
      <c r="L10" t="s">
        <v>30</v>
      </c>
      <c r="M10" t="str">
        <f>HYPERLINK("../../3.KEGG_map/SCI_I-vs-NC-Up/rno00270.html","rno00270")</f>
        <v>rno00270</v>
      </c>
    </row>
    <row r="11" spans="1:13" x14ac:dyDescent="0.25">
      <c r="A11" t="s">
        <v>42</v>
      </c>
      <c r="B11" t="s">
        <v>43</v>
      </c>
      <c r="C11" t="s">
        <v>15</v>
      </c>
      <c r="D11" t="s">
        <v>29</v>
      </c>
      <c r="E11">
        <v>2</v>
      </c>
      <c r="F11">
        <v>151</v>
      </c>
      <c r="G11">
        <v>83</v>
      </c>
      <c r="H11">
        <v>2681</v>
      </c>
      <c r="I11">
        <v>0.95392299051309004</v>
      </c>
      <c r="J11">
        <v>0.99728819895371701</v>
      </c>
      <c r="K11">
        <v>0.42783052740764399</v>
      </c>
      <c r="L11" t="s">
        <v>44</v>
      </c>
      <c r="M11" t="str">
        <f>HYPERLINK("../../3.KEGG_map/SCI_I-vs-NC-Up/rno00310.html","rno00310")</f>
        <v>rno00310</v>
      </c>
    </row>
    <row r="12" spans="1:13" x14ac:dyDescent="0.25">
      <c r="A12" t="s">
        <v>45</v>
      </c>
      <c r="B12" t="s">
        <v>46</v>
      </c>
      <c r="C12" t="s">
        <v>15</v>
      </c>
      <c r="D12" t="s">
        <v>47</v>
      </c>
      <c r="E12">
        <v>3</v>
      </c>
      <c r="F12">
        <v>151</v>
      </c>
      <c r="G12">
        <v>15</v>
      </c>
      <c r="H12">
        <v>2681</v>
      </c>
      <c r="I12">
        <v>4.8370535376323201E-2</v>
      </c>
      <c r="J12">
        <v>0.71713728675097499</v>
      </c>
      <c r="K12">
        <v>3.5509933774834401</v>
      </c>
      <c r="L12" t="s">
        <v>48</v>
      </c>
      <c r="M12" t="str">
        <f>HYPERLINK("../../3.KEGG_map/SCI_I-vs-NC-Up/rno00480.html","rno00480")</f>
        <v>rno00480</v>
      </c>
    </row>
    <row r="13" spans="1:13" x14ac:dyDescent="0.25">
      <c r="A13" t="s">
        <v>49</v>
      </c>
      <c r="B13" t="s">
        <v>50</v>
      </c>
      <c r="C13" t="s">
        <v>15</v>
      </c>
      <c r="D13" t="s">
        <v>51</v>
      </c>
      <c r="E13">
        <v>1</v>
      </c>
      <c r="F13">
        <v>151</v>
      </c>
      <c r="G13">
        <v>9</v>
      </c>
      <c r="H13">
        <v>2681</v>
      </c>
      <c r="I13">
        <v>0.406986539315421</v>
      </c>
      <c r="J13">
        <v>0.99728819895371701</v>
      </c>
      <c r="K13">
        <v>1.97277409860191</v>
      </c>
      <c r="L13" t="s">
        <v>52</v>
      </c>
      <c r="M13" t="str">
        <f>HYPERLINK("../../3.KEGG_map/SCI_I-vs-NC-Up/rno00514.html","rno00514")</f>
        <v>rno00514</v>
      </c>
    </row>
    <row r="14" spans="1:13" x14ac:dyDescent="0.25">
      <c r="A14" t="s">
        <v>53</v>
      </c>
      <c r="B14" t="s">
        <v>54</v>
      </c>
      <c r="C14" t="s">
        <v>15</v>
      </c>
      <c r="D14" t="s">
        <v>16</v>
      </c>
      <c r="E14">
        <v>1</v>
      </c>
      <c r="F14">
        <v>151</v>
      </c>
      <c r="G14">
        <v>22</v>
      </c>
      <c r="H14">
        <v>2681</v>
      </c>
      <c r="I14">
        <v>0.72210813094090698</v>
      </c>
      <c r="J14">
        <v>0.99728819895371701</v>
      </c>
      <c r="K14">
        <v>0.80704394942805502</v>
      </c>
      <c r="L14" t="s">
        <v>55</v>
      </c>
      <c r="M14" t="str">
        <f>HYPERLINK("../../3.KEGG_map/SCI_I-vs-NC-Up/rno00520.html","rno00520")</f>
        <v>rno00520</v>
      </c>
    </row>
    <row r="15" spans="1:13" x14ac:dyDescent="0.25">
      <c r="A15" t="s">
        <v>56</v>
      </c>
      <c r="B15" t="s">
        <v>57</v>
      </c>
      <c r="C15" t="s">
        <v>15</v>
      </c>
      <c r="D15" t="s">
        <v>51</v>
      </c>
      <c r="E15">
        <v>2</v>
      </c>
      <c r="F15">
        <v>151</v>
      </c>
      <c r="G15">
        <v>7</v>
      </c>
      <c r="H15">
        <v>2681</v>
      </c>
      <c r="I15">
        <v>5.4900462143615297E-2</v>
      </c>
      <c r="J15">
        <v>0.71713728675097499</v>
      </c>
      <c r="K15">
        <v>5.0728476821192103</v>
      </c>
      <c r="L15" t="s">
        <v>58</v>
      </c>
      <c r="M15" t="str">
        <f>HYPERLINK("../../3.KEGG_map/SCI_I-vs-NC-Up/rno00532.html","rno00532")</f>
        <v>rno00532</v>
      </c>
    </row>
    <row r="16" spans="1:13" x14ac:dyDescent="0.25">
      <c r="A16" t="s">
        <v>59</v>
      </c>
      <c r="B16" t="s">
        <v>60</v>
      </c>
      <c r="C16" t="s">
        <v>15</v>
      </c>
      <c r="D16" t="s">
        <v>25</v>
      </c>
      <c r="E16">
        <v>1</v>
      </c>
      <c r="F16">
        <v>151</v>
      </c>
      <c r="G16">
        <v>24</v>
      </c>
      <c r="H16">
        <v>2681</v>
      </c>
      <c r="I16">
        <v>0.75277955037016497</v>
      </c>
      <c r="J16">
        <v>0.99728819895371701</v>
      </c>
      <c r="K16">
        <v>0.73979028697571703</v>
      </c>
      <c r="L16" t="s">
        <v>61</v>
      </c>
      <c r="M16" t="str">
        <f>HYPERLINK("../../3.KEGG_map/SCI_I-vs-NC-Up/rno00561.html","rno00561")</f>
        <v>rno00561</v>
      </c>
    </row>
    <row r="17" spans="1:13" x14ac:dyDescent="0.25">
      <c r="A17" t="s">
        <v>62</v>
      </c>
      <c r="B17" t="s">
        <v>63</v>
      </c>
      <c r="C17" t="s">
        <v>15</v>
      </c>
      <c r="D17" t="s">
        <v>16</v>
      </c>
      <c r="E17">
        <v>5</v>
      </c>
      <c r="F17">
        <v>151</v>
      </c>
      <c r="G17">
        <v>77</v>
      </c>
      <c r="H17">
        <v>2681</v>
      </c>
      <c r="I17">
        <v>0.43933261826463199</v>
      </c>
      <c r="J17">
        <v>0.99728819895371701</v>
      </c>
      <c r="K17">
        <v>1.15291992775436</v>
      </c>
      <c r="L17" t="s">
        <v>64</v>
      </c>
      <c r="M17" t="str">
        <f>HYPERLINK("../../3.KEGG_map/SCI_I-vs-NC-Up/rno00562.html","rno00562")</f>
        <v>rno00562</v>
      </c>
    </row>
    <row r="18" spans="1:13" x14ac:dyDescent="0.25">
      <c r="A18" t="s">
        <v>65</v>
      </c>
      <c r="B18" t="s">
        <v>66</v>
      </c>
      <c r="C18" t="s">
        <v>15</v>
      </c>
      <c r="D18" t="s">
        <v>51</v>
      </c>
      <c r="E18">
        <v>1</v>
      </c>
      <c r="F18">
        <v>151</v>
      </c>
      <c r="G18">
        <v>7</v>
      </c>
      <c r="H18">
        <v>2681</v>
      </c>
      <c r="I18">
        <v>0.33386449775215998</v>
      </c>
      <c r="J18">
        <v>0.99728819895371701</v>
      </c>
      <c r="K18">
        <v>2.5364238410595998</v>
      </c>
      <c r="L18" t="s">
        <v>67</v>
      </c>
      <c r="M18" t="str">
        <f>HYPERLINK("../../3.KEGG_map/SCI_I-vs-NC-Up/rno00563.html","rno00563")</f>
        <v>rno00563</v>
      </c>
    </row>
    <row r="19" spans="1:13" x14ac:dyDescent="0.25">
      <c r="A19" t="s">
        <v>68</v>
      </c>
      <c r="B19" t="s">
        <v>69</v>
      </c>
      <c r="C19" t="s">
        <v>15</v>
      </c>
      <c r="D19" t="s">
        <v>25</v>
      </c>
      <c r="E19">
        <v>4</v>
      </c>
      <c r="F19">
        <v>151</v>
      </c>
      <c r="G19">
        <v>42</v>
      </c>
      <c r="H19">
        <v>2681</v>
      </c>
      <c r="I19">
        <v>0.20901418784694001</v>
      </c>
      <c r="J19">
        <v>0.99728819895371701</v>
      </c>
      <c r="K19">
        <v>1.69094922737307</v>
      </c>
      <c r="L19" t="s">
        <v>70</v>
      </c>
      <c r="M19" t="str">
        <f>HYPERLINK("../../3.KEGG_map/SCI_I-vs-NC-Up/rno00564.html","rno00564")</f>
        <v>rno00564</v>
      </c>
    </row>
    <row r="20" spans="1:13" x14ac:dyDescent="0.25">
      <c r="A20" t="s">
        <v>71</v>
      </c>
      <c r="B20" t="s">
        <v>72</v>
      </c>
      <c r="C20" t="s">
        <v>15</v>
      </c>
      <c r="D20" t="s">
        <v>25</v>
      </c>
      <c r="E20">
        <v>2</v>
      </c>
      <c r="F20">
        <v>151</v>
      </c>
      <c r="G20">
        <v>28</v>
      </c>
      <c r="H20">
        <v>2681</v>
      </c>
      <c r="I20">
        <v>0.47398026897784001</v>
      </c>
      <c r="J20">
        <v>0.99728819895371701</v>
      </c>
      <c r="K20">
        <v>1.2682119205297999</v>
      </c>
      <c r="L20" t="s">
        <v>73</v>
      </c>
      <c r="M20" t="str">
        <f>HYPERLINK("../../3.KEGG_map/SCI_I-vs-NC-Up/rno00565.html","rno00565")</f>
        <v>rno00565</v>
      </c>
    </row>
    <row r="21" spans="1:13" x14ac:dyDescent="0.25">
      <c r="A21" t="s">
        <v>74</v>
      </c>
      <c r="B21" t="s">
        <v>75</v>
      </c>
      <c r="C21" t="s">
        <v>15</v>
      </c>
      <c r="D21" t="s">
        <v>25</v>
      </c>
      <c r="E21">
        <v>2</v>
      </c>
      <c r="F21">
        <v>151</v>
      </c>
      <c r="G21">
        <v>10</v>
      </c>
      <c r="H21">
        <v>2681</v>
      </c>
      <c r="I21">
        <v>0.105375276938795</v>
      </c>
      <c r="J21">
        <v>0.99053848267822997</v>
      </c>
      <c r="K21">
        <v>3.5509933774834401</v>
      </c>
      <c r="L21" t="s">
        <v>76</v>
      </c>
      <c r="M21" t="str">
        <f>HYPERLINK("../../3.KEGG_map/SCI_I-vs-NC-Up/rno00590.html","rno00590")</f>
        <v>rno00590</v>
      </c>
    </row>
    <row r="22" spans="1:13" x14ac:dyDescent="0.25">
      <c r="A22" t="s">
        <v>77</v>
      </c>
      <c r="B22" t="s">
        <v>78</v>
      </c>
      <c r="C22" t="s">
        <v>15</v>
      </c>
      <c r="D22" t="s">
        <v>25</v>
      </c>
      <c r="E22">
        <v>2</v>
      </c>
      <c r="F22">
        <v>151</v>
      </c>
      <c r="G22">
        <v>6</v>
      </c>
      <c r="H22">
        <v>2681</v>
      </c>
      <c r="I22">
        <v>4.0695787063123601E-2</v>
      </c>
      <c r="J22">
        <v>0.67379569722592303</v>
      </c>
      <c r="K22">
        <v>5.9183222958057398</v>
      </c>
      <c r="L22" t="s">
        <v>76</v>
      </c>
      <c r="M22" t="str">
        <f>HYPERLINK("../../3.KEGG_map/SCI_I-vs-NC-Up/rno00591.html","rno00591")</f>
        <v>rno00591</v>
      </c>
    </row>
    <row r="23" spans="1:13" x14ac:dyDescent="0.25">
      <c r="A23" t="s">
        <v>79</v>
      </c>
      <c r="B23" t="s">
        <v>80</v>
      </c>
      <c r="C23" t="s">
        <v>15</v>
      </c>
      <c r="D23" t="s">
        <v>25</v>
      </c>
      <c r="E23">
        <v>2</v>
      </c>
      <c r="F23">
        <v>151</v>
      </c>
      <c r="G23">
        <v>10</v>
      </c>
      <c r="H23">
        <v>2681</v>
      </c>
      <c r="I23">
        <v>0.105375276938795</v>
      </c>
      <c r="J23">
        <v>0.99053848267822997</v>
      </c>
      <c r="K23">
        <v>3.5509933774834401</v>
      </c>
      <c r="L23" t="s">
        <v>81</v>
      </c>
      <c r="M23" t="str">
        <f>HYPERLINK("../../3.KEGG_map/SCI_I-vs-NC-Up/rno00592.html","rno00592")</f>
        <v>rno00592</v>
      </c>
    </row>
    <row r="24" spans="1:13" x14ac:dyDescent="0.25">
      <c r="A24" t="s">
        <v>82</v>
      </c>
      <c r="B24" t="s">
        <v>83</v>
      </c>
      <c r="C24" t="s">
        <v>15</v>
      </c>
      <c r="D24" t="s">
        <v>25</v>
      </c>
      <c r="E24">
        <v>1</v>
      </c>
      <c r="F24">
        <v>151</v>
      </c>
      <c r="G24">
        <v>26</v>
      </c>
      <c r="H24">
        <v>2681</v>
      </c>
      <c r="I24">
        <v>0.78008565275902497</v>
      </c>
      <c r="J24">
        <v>0.99728819895371701</v>
      </c>
      <c r="K24">
        <v>0.682883341823739</v>
      </c>
      <c r="L24" t="s">
        <v>84</v>
      </c>
      <c r="M24" t="str">
        <f>HYPERLINK("../../3.KEGG_map/SCI_I-vs-NC-Up/rno00600.html","rno00600")</f>
        <v>rno00600</v>
      </c>
    </row>
    <row r="25" spans="1:13" x14ac:dyDescent="0.25">
      <c r="A25" t="s">
        <v>85</v>
      </c>
      <c r="B25" t="s">
        <v>86</v>
      </c>
      <c r="C25" t="s">
        <v>15</v>
      </c>
      <c r="D25" t="s">
        <v>51</v>
      </c>
      <c r="E25">
        <v>1</v>
      </c>
      <c r="F25">
        <v>151</v>
      </c>
      <c r="G25">
        <v>5</v>
      </c>
      <c r="H25">
        <v>2681</v>
      </c>
      <c r="I25">
        <v>0.25179304173154099</v>
      </c>
      <c r="J25">
        <v>0.99728819895371701</v>
      </c>
      <c r="K25">
        <v>3.5509933774834401</v>
      </c>
      <c r="L25" t="s">
        <v>87</v>
      </c>
      <c r="M25" t="str">
        <f>HYPERLINK("../../3.KEGG_map/SCI_I-vs-NC-Up/rno00601.html","rno00601")</f>
        <v>rno00601</v>
      </c>
    </row>
    <row r="26" spans="1:13" x14ac:dyDescent="0.25">
      <c r="A26" t="s">
        <v>88</v>
      </c>
      <c r="B26" t="s">
        <v>89</v>
      </c>
      <c r="C26" t="s">
        <v>15</v>
      </c>
      <c r="D26" t="s">
        <v>51</v>
      </c>
      <c r="E26">
        <v>1</v>
      </c>
      <c r="F26">
        <v>151</v>
      </c>
      <c r="G26">
        <v>9</v>
      </c>
      <c r="H26">
        <v>2681</v>
      </c>
      <c r="I26">
        <v>0.406986539315421</v>
      </c>
      <c r="J26">
        <v>0.99728819895371701</v>
      </c>
      <c r="K26">
        <v>1.97277409860191</v>
      </c>
      <c r="L26" t="s">
        <v>90</v>
      </c>
      <c r="M26" t="str">
        <f>HYPERLINK("../../3.KEGG_map/SCI_I-vs-NC-Up/rno00604.html","rno00604")</f>
        <v>rno00604</v>
      </c>
    </row>
    <row r="27" spans="1:13" x14ac:dyDescent="0.25">
      <c r="A27" t="s">
        <v>91</v>
      </c>
      <c r="B27" t="s">
        <v>92</v>
      </c>
      <c r="C27" t="s">
        <v>15</v>
      </c>
      <c r="D27" t="s">
        <v>16</v>
      </c>
      <c r="E27">
        <v>1</v>
      </c>
      <c r="F27">
        <v>151</v>
      </c>
      <c r="G27">
        <v>12</v>
      </c>
      <c r="H27">
        <v>2681</v>
      </c>
      <c r="I27">
        <v>0.50198261655835297</v>
      </c>
      <c r="J27">
        <v>0.99728819895371701</v>
      </c>
      <c r="K27">
        <v>1.4795805739514301</v>
      </c>
      <c r="L27" t="s">
        <v>93</v>
      </c>
      <c r="M27" t="str">
        <f>HYPERLINK("../../3.KEGG_map/SCI_I-vs-NC-Up/rno00620.html","rno00620")</f>
        <v>rno00620</v>
      </c>
    </row>
    <row r="28" spans="1:13" x14ac:dyDescent="0.25">
      <c r="A28" t="s">
        <v>94</v>
      </c>
      <c r="B28" t="s">
        <v>95</v>
      </c>
      <c r="C28" t="s">
        <v>15</v>
      </c>
      <c r="D28" t="s">
        <v>96</v>
      </c>
      <c r="E28">
        <v>2</v>
      </c>
      <c r="F28">
        <v>151</v>
      </c>
      <c r="G28">
        <v>7</v>
      </c>
      <c r="H28">
        <v>2681</v>
      </c>
      <c r="I28">
        <v>5.4900462143615297E-2</v>
      </c>
      <c r="J28">
        <v>0.71713728675097499</v>
      </c>
      <c r="K28">
        <v>5.0728476821192103</v>
      </c>
      <c r="L28" t="s">
        <v>97</v>
      </c>
      <c r="M28" t="str">
        <f>HYPERLINK("../../3.KEGG_map/SCI_I-vs-NC-Up/rno00830.html","rno00830")</f>
        <v>rno00830</v>
      </c>
    </row>
    <row r="29" spans="1:13" x14ac:dyDescent="0.25">
      <c r="A29" t="s">
        <v>98</v>
      </c>
      <c r="B29" t="s">
        <v>99</v>
      </c>
      <c r="C29" t="s">
        <v>15</v>
      </c>
      <c r="D29" t="s">
        <v>96</v>
      </c>
      <c r="E29">
        <v>1</v>
      </c>
      <c r="F29">
        <v>151</v>
      </c>
      <c r="G29">
        <v>6</v>
      </c>
      <c r="H29">
        <v>2681</v>
      </c>
      <c r="I29">
        <v>0.294012492665225</v>
      </c>
      <c r="J29">
        <v>0.99728819895371701</v>
      </c>
      <c r="K29">
        <v>2.9591611479028699</v>
      </c>
      <c r="L29" t="s">
        <v>100</v>
      </c>
      <c r="M29" t="str">
        <f>HYPERLINK("../../3.KEGG_map/SCI_I-vs-NC-Up/rno00860.html","rno00860")</f>
        <v>rno00860</v>
      </c>
    </row>
    <row r="30" spans="1:13" x14ac:dyDescent="0.25">
      <c r="A30" t="s">
        <v>101</v>
      </c>
      <c r="B30" t="s">
        <v>102</v>
      </c>
      <c r="C30" t="s">
        <v>15</v>
      </c>
      <c r="D30" t="s">
        <v>103</v>
      </c>
      <c r="E30">
        <v>4</v>
      </c>
      <c r="F30">
        <v>151</v>
      </c>
      <c r="G30">
        <v>14</v>
      </c>
      <c r="H30">
        <v>2681</v>
      </c>
      <c r="I30">
        <v>6.2105168302116903E-3</v>
      </c>
      <c r="J30">
        <v>0.33871350013852503</v>
      </c>
      <c r="K30">
        <v>5.0728476821192103</v>
      </c>
      <c r="L30" t="s">
        <v>104</v>
      </c>
      <c r="M30" t="str">
        <f>HYPERLINK("../../3.KEGG_map/SCI_I-vs-NC-Up/rno00980.html","rno00980")</f>
        <v>rno00980</v>
      </c>
    </row>
    <row r="31" spans="1:13" x14ac:dyDescent="0.25">
      <c r="A31" t="s">
        <v>105</v>
      </c>
      <c r="B31" t="s">
        <v>106</v>
      </c>
      <c r="C31" t="s">
        <v>15</v>
      </c>
      <c r="D31" t="s">
        <v>103</v>
      </c>
      <c r="E31">
        <v>4</v>
      </c>
      <c r="F31">
        <v>151</v>
      </c>
      <c r="G31">
        <v>15</v>
      </c>
      <c r="H31">
        <v>2681</v>
      </c>
      <c r="I31">
        <v>8.1031937832183008E-3</v>
      </c>
      <c r="J31">
        <v>0.33871350013852503</v>
      </c>
      <c r="K31">
        <v>4.7346578366445904</v>
      </c>
      <c r="L31" t="s">
        <v>104</v>
      </c>
      <c r="M31" t="str">
        <f>HYPERLINK("../../3.KEGG_map/SCI_I-vs-NC-Up/rno00982.html","rno00982")</f>
        <v>rno00982</v>
      </c>
    </row>
    <row r="32" spans="1:13" x14ac:dyDescent="0.25">
      <c r="A32" t="s">
        <v>107</v>
      </c>
      <c r="B32" t="s">
        <v>108</v>
      </c>
      <c r="C32" t="s">
        <v>15</v>
      </c>
      <c r="D32" t="s">
        <v>103</v>
      </c>
      <c r="E32">
        <v>5</v>
      </c>
      <c r="F32">
        <v>151</v>
      </c>
      <c r="G32">
        <v>21</v>
      </c>
      <c r="H32">
        <v>2681</v>
      </c>
      <c r="I32">
        <v>5.1754073958098796E-3</v>
      </c>
      <c r="J32">
        <v>0.33871350013852503</v>
      </c>
      <c r="K32">
        <v>4.2273730684326702</v>
      </c>
      <c r="L32" t="s">
        <v>109</v>
      </c>
      <c r="M32" t="str">
        <f>HYPERLINK("../../3.KEGG_map/SCI_I-vs-NC-Up/rno00983.html","rno00983")</f>
        <v>rno00983</v>
      </c>
    </row>
    <row r="33" spans="1:13" x14ac:dyDescent="0.25">
      <c r="A33" t="s">
        <v>110</v>
      </c>
      <c r="B33" t="s">
        <v>111</v>
      </c>
      <c r="C33" t="s">
        <v>15</v>
      </c>
      <c r="D33" t="s">
        <v>25</v>
      </c>
      <c r="E33">
        <v>2</v>
      </c>
      <c r="F33">
        <v>151</v>
      </c>
      <c r="G33">
        <v>14</v>
      </c>
      <c r="H33">
        <v>2681</v>
      </c>
      <c r="I33">
        <v>0.18446874494872301</v>
      </c>
      <c r="J33">
        <v>0.99728819895371701</v>
      </c>
      <c r="K33">
        <v>2.5364238410595998</v>
      </c>
      <c r="L33" t="s">
        <v>112</v>
      </c>
      <c r="M33" t="str">
        <f>HYPERLINK("../../3.KEGG_map/SCI_I-vs-NC-Up/rno01040.html","rno01040")</f>
        <v>rno01040</v>
      </c>
    </row>
    <row r="34" spans="1:13" x14ac:dyDescent="0.25">
      <c r="A34" t="s">
        <v>113</v>
      </c>
      <c r="B34" t="s">
        <v>114</v>
      </c>
      <c r="C34" t="s">
        <v>115</v>
      </c>
      <c r="D34" t="s">
        <v>116</v>
      </c>
      <c r="E34">
        <v>4</v>
      </c>
      <c r="F34">
        <v>151</v>
      </c>
      <c r="G34">
        <v>65</v>
      </c>
      <c r="H34">
        <v>2681</v>
      </c>
      <c r="I34">
        <v>0.50330251703890005</v>
      </c>
      <c r="J34">
        <v>0.99728819895371701</v>
      </c>
      <c r="K34">
        <v>1.09261334691798</v>
      </c>
      <c r="L34" t="s">
        <v>117</v>
      </c>
      <c r="M34" t="str">
        <f>HYPERLINK("../../3.KEGG_map/SCI_I-vs-NC-Up/rno01521.html","rno01521")</f>
        <v>rno01521</v>
      </c>
    </row>
    <row r="35" spans="1:13" x14ac:dyDescent="0.25">
      <c r="A35" t="s">
        <v>118</v>
      </c>
      <c r="B35" t="s">
        <v>119</v>
      </c>
      <c r="C35" t="s">
        <v>115</v>
      </c>
      <c r="D35" t="s">
        <v>116</v>
      </c>
      <c r="E35">
        <v>5</v>
      </c>
      <c r="F35">
        <v>151</v>
      </c>
      <c r="G35">
        <v>45</v>
      </c>
      <c r="H35">
        <v>2681</v>
      </c>
      <c r="I35">
        <v>0.105862606802646</v>
      </c>
      <c r="J35">
        <v>0.99053848267822997</v>
      </c>
      <c r="K35">
        <v>1.97277409860191</v>
      </c>
      <c r="L35" t="s">
        <v>120</v>
      </c>
      <c r="M35" t="str">
        <f>HYPERLINK("../../3.KEGG_map/SCI_I-vs-NC-Up/rno01524.html","rno01524")</f>
        <v>rno01524</v>
      </c>
    </row>
    <row r="36" spans="1:13" x14ac:dyDescent="0.25">
      <c r="A36" t="s">
        <v>121</v>
      </c>
      <c r="B36" t="s">
        <v>122</v>
      </c>
      <c r="C36" t="s">
        <v>123</v>
      </c>
      <c r="D36" t="s">
        <v>124</v>
      </c>
      <c r="E36">
        <v>1</v>
      </c>
      <c r="F36">
        <v>151</v>
      </c>
      <c r="G36">
        <v>25</v>
      </c>
      <c r="H36">
        <v>2681</v>
      </c>
      <c r="I36">
        <v>0.76682933881356097</v>
      </c>
      <c r="J36">
        <v>0.99728819895371701</v>
      </c>
      <c r="K36">
        <v>0.71019867549668902</v>
      </c>
      <c r="L36" t="s">
        <v>125</v>
      </c>
      <c r="M36" t="str">
        <f>HYPERLINK("../../3.KEGG_map/SCI_I-vs-NC-Up/rno02010.html","rno02010")</f>
        <v>rno02010</v>
      </c>
    </row>
    <row r="37" spans="1:13" x14ac:dyDescent="0.25">
      <c r="A37" t="s">
        <v>126</v>
      </c>
      <c r="B37" t="s">
        <v>127</v>
      </c>
      <c r="C37" t="s">
        <v>128</v>
      </c>
      <c r="D37" t="s">
        <v>129</v>
      </c>
      <c r="E37">
        <v>1</v>
      </c>
      <c r="F37">
        <v>151</v>
      </c>
      <c r="G37">
        <v>26</v>
      </c>
      <c r="H37">
        <v>2681</v>
      </c>
      <c r="I37">
        <v>0.78008565275902497</v>
      </c>
      <c r="J37">
        <v>0.99728819895371701</v>
      </c>
      <c r="K37">
        <v>0.682883341823739</v>
      </c>
      <c r="L37" t="s">
        <v>130</v>
      </c>
      <c r="M37" t="str">
        <f>HYPERLINK("../../3.KEGG_map/SCI_I-vs-NC-Up/rno03008.html","rno03008")</f>
        <v>rno03008</v>
      </c>
    </row>
    <row r="38" spans="1:13" x14ac:dyDescent="0.25">
      <c r="A38" t="s">
        <v>131</v>
      </c>
      <c r="B38" t="s">
        <v>132</v>
      </c>
      <c r="C38" t="s">
        <v>128</v>
      </c>
      <c r="D38" t="s">
        <v>129</v>
      </c>
      <c r="E38">
        <v>7</v>
      </c>
      <c r="F38">
        <v>151</v>
      </c>
      <c r="G38">
        <v>58</v>
      </c>
      <c r="H38">
        <v>2681</v>
      </c>
      <c r="I38">
        <v>4.1910737148023902E-2</v>
      </c>
      <c r="J38">
        <v>0.67379569722592303</v>
      </c>
      <c r="K38">
        <v>2.1428408312400098</v>
      </c>
      <c r="L38" t="s">
        <v>133</v>
      </c>
      <c r="M38" t="str">
        <f>HYPERLINK("../../3.KEGG_map/SCI_I-vs-NC-Up/rno03013.html","rno03013")</f>
        <v>rno03013</v>
      </c>
    </row>
    <row r="39" spans="1:13" x14ac:dyDescent="0.25">
      <c r="A39" t="s">
        <v>134</v>
      </c>
      <c r="B39" t="s">
        <v>135</v>
      </c>
      <c r="C39" t="s">
        <v>128</v>
      </c>
      <c r="D39" t="s">
        <v>129</v>
      </c>
      <c r="E39">
        <v>5</v>
      </c>
      <c r="F39">
        <v>151</v>
      </c>
      <c r="G39">
        <v>47</v>
      </c>
      <c r="H39">
        <v>2681</v>
      </c>
      <c r="I39">
        <v>0.121743010106539</v>
      </c>
      <c r="J39">
        <v>0.99053848267822997</v>
      </c>
      <c r="K39">
        <v>1.8888262646188501</v>
      </c>
      <c r="L39" t="s">
        <v>136</v>
      </c>
      <c r="M39" t="str">
        <f>HYPERLINK("../../3.KEGG_map/SCI_I-vs-NC-Up/rno03015.html","rno03015")</f>
        <v>rno03015</v>
      </c>
    </row>
    <row r="40" spans="1:13" x14ac:dyDescent="0.25">
      <c r="A40" t="s">
        <v>137</v>
      </c>
      <c r="B40" t="s">
        <v>138</v>
      </c>
      <c r="C40" t="s">
        <v>128</v>
      </c>
      <c r="D40" t="s">
        <v>139</v>
      </c>
      <c r="E40">
        <v>1</v>
      </c>
      <c r="F40">
        <v>151</v>
      </c>
      <c r="G40">
        <v>53</v>
      </c>
      <c r="H40">
        <v>2681</v>
      </c>
      <c r="I40">
        <v>0.95510976452796503</v>
      </c>
      <c r="J40">
        <v>0.99728819895371701</v>
      </c>
      <c r="K40">
        <v>0.33499937523428702</v>
      </c>
      <c r="L40" t="s">
        <v>140</v>
      </c>
      <c r="M40" t="str">
        <f>HYPERLINK("../../3.KEGG_map/SCI_I-vs-NC-Up/rno03018.html","rno03018")</f>
        <v>rno03018</v>
      </c>
    </row>
    <row r="41" spans="1:13" x14ac:dyDescent="0.25">
      <c r="A41" t="s">
        <v>141</v>
      </c>
      <c r="B41" t="s">
        <v>142</v>
      </c>
      <c r="C41" t="s">
        <v>128</v>
      </c>
      <c r="D41" t="s">
        <v>143</v>
      </c>
      <c r="E41">
        <v>3</v>
      </c>
      <c r="F41">
        <v>151</v>
      </c>
      <c r="G41">
        <v>30</v>
      </c>
      <c r="H41">
        <v>2681</v>
      </c>
      <c r="I41">
        <v>0.236999412863862</v>
      </c>
      <c r="J41">
        <v>0.99728819895371701</v>
      </c>
      <c r="K41">
        <v>1.7754966887417201</v>
      </c>
      <c r="L41" t="s">
        <v>144</v>
      </c>
      <c r="M41" t="str">
        <f>HYPERLINK("../../3.KEGG_map/SCI_I-vs-NC-Up/rno03040.html","rno03040")</f>
        <v>rno03040</v>
      </c>
    </row>
    <row r="42" spans="1:13" x14ac:dyDescent="0.25">
      <c r="A42" t="s">
        <v>145</v>
      </c>
      <c r="B42" t="s">
        <v>146</v>
      </c>
      <c r="C42" t="s">
        <v>128</v>
      </c>
      <c r="D42" t="s">
        <v>139</v>
      </c>
      <c r="E42">
        <v>1</v>
      </c>
      <c r="F42">
        <v>151</v>
      </c>
      <c r="G42">
        <v>7</v>
      </c>
      <c r="H42">
        <v>2681</v>
      </c>
      <c r="I42">
        <v>0.33386449775215998</v>
      </c>
      <c r="J42">
        <v>0.99728819895371701</v>
      </c>
      <c r="K42">
        <v>2.5364238410595998</v>
      </c>
      <c r="L42" t="s">
        <v>147</v>
      </c>
      <c r="M42" t="str">
        <f>HYPERLINK("../../3.KEGG_map/SCI_I-vs-NC-Up/rno03060.html","rno03060")</f>
        <v>rno03060</v>
      </c>
    </row>
    <row r="43" spans="1:13" x14ac:dyDescent="0.25">
      <c r="A43" t="s">
        <v>148</v>
      </c>
      <c r="B43" t="s">
        <v>149</v>
      </c>
      <c r="C43" t="s">
        <v>150</v>
      </c>
      <c r="D43" t="s">
        <v>151</v>
      </c>
      <c r="E43">
        <v>4</v>
      </c>
      <c r="F43">
        <v>151</v>
      </c>
      <c r="G43">
        <v>54</v>
      </c>
      <c r="H43">
        <v>2681</v>
      </c>
      <c r="I43">
        <v>0.36221182520991402</v>
      </c>
      <c r="J43">
        <v>0.99728819895371701</v>
      </c>
      <c r="K43">
        <v>1.3151827324012799</v>
      </c>
      <c r="L43" t="s">
        <v>152</v>
      </c>
      <c r="M43" t="str">
        <f>HYPERLINK("../../3.KEGG_map/SCI_I-vs-NC-Up/rno03320.html","rno03320")</f>
        <v>rno03320</v>
      </c>
    </row>
    <row r="44" spans="1:13" x14ac:dyDescent="0.25">
      <c r="A44" t="s">
        <v>153</v>
      </c>
      <c r="B44" t="s">
        <v>154</v>
      </c>
      <c r="C44" t="s">
        <v>128</v>
      </c>
      <c r="D44" t="s">
        <v>155</v>
      </c>
      <c r="E44">
        <v>1</v>
      </c>
      <c r="F44">
        <v>151</v>
      </c>
      <c r="G44">
        <v>6</v>
      </c>
      <c r="H44">
        <v>2681</v>
      </c>
      <c r="I44">
        <v>0.294012492665225</v>
      </c>
      <c r="J44">
        <v>0.99728819895371701</v>
      </c>
      <c r="K44">
        <v>2.9591611479028699</v>
      </c>
      <c r="L44" t="s">
        <v>156</v>
      </c>
      <c r="M44" t="str">
        <f>HYPERLINK("../../3.KEGG_map/SCI_I-vs-NC-Up/rno03430.html","rno03430")</f>
        <v>rno03430</v>
      </c>
    </row>
    <row r="45" spans="1:13" x14ac:dyDescent="0.25">
      <c r="A45" t="s">
        <v>157</v>
      </c>
      <c r="B45" t="s">
        <v>158</v>
      </c>
      <c r="C45" t="s">
        <v>128</v>
      </c>
      <c r="D45" t="s">
        <v>155</v>
      </c>
      <c r="E45">
        <v>2</v>
      </c>
      <c r="F45">
        <v>151</v>
      </c>
      <c r="G45">
        <v>21</v>
      </c>
      <c r="H45">
        <v>2681</v>
      </c>
      <c r="I45">
        <v>0.33318112744530398</v>
      </c>
      <c r="J45">
        <v>0.99728819895371701</v>
      </c>
      <c r="K45">
        <v>1.69094922737307</v>
      </c>
      <c r="L45" t="s">
        <v>159</v>
      </c>
      <c r="M45" t="str">
        <f>HYPERLINK("../../3.KEGG_map/SCI_I-vs-NC-Up/rno03440.html","rno03440")</f>
        <v>rno03440</v>
      </c>
    </row>
    <row r="46" spans="1:13" x14ac:dyDescent="0.25">
      <c r="A46" t="s">
        <v>160</v>
      </c>
      <c r="B46" t="s">
        <v>161</v>
      </c>
      <c r="C46" t="s">
        <v>123</v>
      </c>
      <c r="D46" t="s">
        <v>162</v>
      </c>
      <c r="E46">
        <v>7</v>
      </c>
      <c r="F46">
        <v>151</v>
      </c>
      <c r="G46">
        <v>213</v>
      </c>
      <c r="H46">
        <v>2681</v>
      </c>
      <c r="I46">
        <v>0.96409935393207602</v>
      </c>
      <c r="J46">
        <v>0.99728819895371701</v>
      </c>
      <c r="K46">
        <v>0.58349656437521402</v>
      </c>
      <c r="L46" t="s">
        <v>163</v>
      </c>
      <c r="M46" t="str">
        <f>HYPERLINK("../../3.KEGG_map/SCI_I-vs-NC-Up/rno04010.html","rno04010")</f>
        <v>rno04010</v>
      </c>
    </row>
    <row r="47" spans="1:13" x14ac:dyDescent="0.25">
      <c r="A47" t="s">
        <v>164</v>
      </c>
      <c r="B47" t="s">
        <v>165</v>
      </c>
      <c r="C47" t="s">
        <v>123</v>
      </c>
      <c r="D47" t="s">
        <v>162</v>
      </c>
      <c r="E47">
        <v>1</v>
      </c>
      <c r="F47">
        <v>151</v>
      </c>
      <c r="G47">
        <v>71</v>
      </c>
      <c r="H47">
        <v>2681</v>
      </c>
      <c r="I47">
        <v>0.98458246055534504</v>
      </c>
      <c r="J47">
        <v>0.99728819895371701</v>
      </c>
      <c r="K47">
        <v>0.25006995616080602</v>
      </c>
      <c r="L47" t="s">
        <v>166</v>
      </c>
      <c r="M47" t="str">
        <f>HYPERLINK("../../3.KEGG_map/SCI_I-vs-NC-Up/rno04012.html","rno04012")</f>
        <v>rno04012</v>
      </c>
    </row>
    <row r="48" spans="1:13" x14ac:dyDescent="0.25">
      <c r="A48" t="s">
        <v>167</v>
      </c>
      <c r="B48" t="s">
        <v>168</v>
      </c>
      <c r="C48" t="s">
        <v>123</v>
      </c>
      <c r="D48" t="s">
        <v>162</v>
      </c>
      <c r="E48">
        <v>5</v>
      </c>
      <c r="F48">
        <v>151</v>
      </c>
      <c r="G48">
        <v>131</v>
      </c>
      <c r="H48">
        <v>2681</v>
      </c>
      <c r="I48">
        <v>0.87259576991535504</v>
      </c>
      <c r="J48">
        <v>0.99728819895371701</v>
      </c>
      <c r="K48">
        <v>0.67767049188615303</v>
      </c>
      <c r="L48" t="s">
        <v>169</v>
      </c>
      <c r="M48" t="str">
        <f>HYPERLINK("../../3.KEGG_map/SCI_I-vs-NC-Up/rno04014.html","rno04014")</f>
        <v>rno04014</v>
      </c>
    </row>
    <row r="49" spans="1:13" x14ac:dyDescent="0.25">
      <c r="A49" t="s">
        <v>170</v>
      </c>
      <c r="B49" t="s">
        <v>171</v>
      </c>
      <c r="C49" t="s">
        <v>123</v>
      </c>
      <c r="D49" t="s">
        <v>162</v>
      </c>
      <c r="E49">
        <v>6</v>
      </c>
      <c r="F49">
        <v>151</v>
      </c>
      <c r="G49">
        <v>139</v>
      </c>
      <c r="H49">
        <v>2681</v>
      </c>
      <c r="I49">
        <v>0.80777499789414198</v>
      </c>
      <c r="J49">
        <v>0.99728819895371701</v>
      </c>
      <c r="K49">
        <v>0.76640144837772195</v>
      </c>
      <c r="L49" t="s">
        <v>172</v>
      </c>
      <c r="M49" t="str">
        <f>HYPERLINK("../../3.KEGG_map/SCI_I-vs-NC-Up/rno04015.html","rno04015")</f>
        <v>rno04015</v>
      </c>
    </row>
    <row r="50" spans="1:13" x14ac:dyDescent="0.25">
      <c r="A50" t="s">
        <v>173</v>
      </c>
      <c r="B50" t="s">
        <v>174</v>
      </c>
      <c r="C50" t="s">
        <v>123</v>
      </c>
      <c r="D50" t="s">
        <v>162</v>
      </c>
      <c r="E50">
        <v>5</v>
      </c>
      <c r="F50">
        <v>151</v>
      </c>
      <c r="G50">
        <v>116</v>
      </c>
      <c r="H50">
        <v>2681</v>
      </c>
      <c r="I50">
        <v>0.79420683847198803</v>
      </c>
      <c r="J50">
        <v>0.99728819895371701</v>
      </c>
      <c r="K50">
        <v>0.76530029687143197</v>
      </c>
      <c r="L50" t="s">
        <v>175</v>
      </c>
      <c r="M50" t="str">
        <f>HYPERLINK("../../3.KEGG_map/SCI_I-vs-NC-Up/rno04020.html","rno04020")</f>
        <v>rno04020</v>
      </c>
    </row>
    <row r="51" spans="1:13" x14ac:dyDescent="0.25">
      <c r="A51" t="s">
        <v>176</v>
      </c>
      <c r="B51" t="s">
        <v>177</v>
      </c>
      <c r="C51" t="s">
        <v>123</v>
      </c>
      <c r="D51" t="s">
        <v>162</v>
      </c>
      <c r="E51">
        <v>9</v>
      </c>
      <c r="F51">
        <v>151</v>
      </c>
      <c r="G51">
        <v>156</v>
      </c>
      <c r="H51">
        <v>2681</v>
      </c>
      <c r="I51">
        <v>0.52198783319912401</v>
      </c>
      <c r="J51">
        <v>0.99728819895371701</v>
      </c>
      <c r="K51">
        <v>1.0243250127356101</v>
      </c>
      <c r="L51" t="s">
        <v>178</v>
      </c>
      <c r="M51" t="str">
        <f>HYPERLINK("../../3.KEGG_map/SCI_I-vs-NC-Up/rno04022.html","rno04022")</f>
        <v>rno04022</v>
      </c>
    </row>
    <row r="52" spans="1:13" x14ac:dyDescent="0.25">
      <c r="A52" t="s">
        <v>179</v>
      </c>
      <c r="B52" t="s">
        <v>180</v>
      </c>
      <c r="C52" t="s">
        <v>123</v>
      </c>
      <c r="D52" t="s">
        <v>162</v>
      </c>
      <c r="E52">
        <v>7</v>
      </c>
      <c r="F52">
        <v>151</v>
      </c>
      <c r="G52">
        <v>130</v>
      </c>
      <c r="H52">
        <v>2681</v>
      </c>
      <c r="I52">
        <v>0.60710178642538104</v>
      </c>
      <c r="J52">
        <v>0.99728819895371701</v>
      </c>
      <c r="K52">
        <v>0.95603667855323504</v>
      </c>
      <c r="L52" t="s">
        <v>181</v>
      </c>
      <c r="M52" t="str">
        <f>HYPERLINK("../../3.KEGG_map/SCI_I-vs-NC-Up/rno04024.html","rno04024")</f>
        <v>rno04024</v>
      </c>
    </row>
    <row r="53" spans="1:13" x14ac:dyDescent="0.25">
      <c r="A53" t="s">
        <v>182</v>
      </c>
      <c r="B53" t="s">
        <v>183</v>
      </c>
      <c r="C53" t="s">
        <v>123</v>
      </c>
      <c r="D53" t="s">
        <v>184</v>
      </c>
      <c r="E53">
        <v>1</v>
      </c>
      <c r="F53">
        <v>151</v>
      </c>
      <c r="G53">
        <v>32</v>
      </c>
      <c r="H53">
        <v>2681</v>
      </c>
      <c r="I53">
        <v>0.84528793444431205</v>
      </c>
      <c r="J53">
        <v>0.99728819895371701</v>
      </c>
      <c r="K53">
        <v>0.55484271523178796</v>
      </c>
      <c r="L53" t="s">
        <v>185</v>
      </c>
      <c r="M53" t="str">
        <f>HYPERLINK("../../3.KEGG_map/SCI_I-vs-NC-Up/rno04060.html","rno04060")</f>
        <v>rno04060</v>
      </c>
    </row>
    <row r="54" spans="1:13" x14ac:dyDescent="0.25">
      <c r="A54" t="s">
        <v>186</v>
      </c>
      <c r="B54" t="s">
        <v>187</v>
      </c>
      <c r="C54" t="s">
        <v>150</v>
      </c>
      <c r="D54" t="s">
        <v>188</v>
      </c>
      <c r="E54">
        <v>1</v>
      </c>
      <c r="F54">
        <v>151</v>
      </c>
      <c r="G54">
        <v>98</v>
      </c>
      <c r="H54">
        <v>2681</v>
      </c>
      <c r="I54">
        <v>0.99694092631146303</v>
      </c>
      <c r="J54">
        <v>0.99728819895371701</v>
      </c>
      <c r="K54">
        <v>0.18117313150425701</v>
      </c>
      <c r="L54" t="s">
        <v>189</v>
      </c>
      <c r="M54" t="str">
        <f>HYPERLINK("../../3.KEGG_map/SCI_I-vs-NC-Up/rno04062.html","rno04062")</f>
        <v>rno04062</v>
      </c>
    </row>
    <row r="55" spans="1:13" x14ac:dyDescent="0.25">
      <c r="A55" t="s">
        <v>190</v>
      </c>
      <c r="B55" t="s">
        <v>191</v>
      </c>
      <c r="C55" t="s">
        <v>123</v>
      </c>
      <c r="D55" t="s">
        <v>162</v>
      </c>
      <c r="E55">
        <v>1</v>
      </c>
      <c r="F55">
        <v>151</v>
      </c>
      <c r="G55">
        <v>51</v>
      </c>
      <c r="H55">
        <v>2681</v>
      </c>
      <c r="I55">
        <v>0.94947336343327104</v>
      </c>
      <c r="J55">
        <v>0.99728819895371701</v>
      </c>
      <c r="K55">
        <v>0.34813660563563198</v>
      </c>
      <c r="L55" t="s">
        <v>185</v>
      </c>
      <c r="M55" t="str">
        <f>HYPERLINK("../../3.KEGG_map/SCI_I-vs-NC-Up/rno04066.html","rno04066")</f>
        <v>rno04066</v>
      </c>
    </row>
    <row r="56" spans="1:13" x14ac:dyDescent="0.25">
      <c r="A56" t="s">
        <v>192</v>
      </c>
      <c r="B56" t="s">
        <v>193</v>
      </c>
      <c r="C56" t="s">
        <v>123</v>
      </c>
      <c r="D56" t="s">
        <v>162</v>
      </c>
      <c r="E56">
        <v>2</v>
      </c>
      <c r="F56">
        <v>151</v>
      </c>
      <c r="G56">
        <v>87</v>
      </c>
      <c r="H56">
        <v>2681</v>
      </c>
      <c r="I56">
        <v>0.962228314896033</v>
      </c>
      <c r="J56">
        <v>0.99728819895371701</v>
      </c>
      <c r="K56">
        <v>0.40816015833142999</v>
      </c>
      <c r="L56" t="s">
        <v>194</v>
      </c>
      <c r="M56" t="str">
        <f>HYPERLINK("../../3.KEGG_map/SCI_I-vs-NC-Up/rno04068.html","rno04068")</f>
        <v>rno04068</v>
      </c>
    </row>
    <row r="57" spans="1:13" x14ac:dyDescent="0.25">
      <c r="A57" t="s">
        <v>195</v>
      </c>
      <c r="B57" t="s">
        <v>196</v>
      </c>
      <c r="C57" t="s">
        <v>123</v>
      </c>
      <c r="D57" t="s">
        <v>162</v>
      </c>
      <c r="E57">
        <v>7</v>
      </c>
      <c r="F57">
        <v>151</v>
      </c>
      <c r="G57">
        <v>102</v>
      </c>
      <c r="H57">
        <v>2681</v>
      </c>
      <c r="I57">
        <v>0.35052784515823798</v>
      </c>
      <c r="J57">
        <v>0.99728819895371701</v>
      </c>
      <c r="K57">
        <v>1.2184781197247101</v>
      </c>
      <c r="L57" t="s">
        <v>197</v>
      </c>
      <c r="M57" t="str">
        <f>HYPERLINK("../../3.KEGG_map/SCI_I-vs-NC-Up/rno04070.html","rno04070")</f>
        <v>rno04070</v>
      </c>
    </row>
    <row r="58" spans="1:13" x14ac:dyDescent="0.25">
      <c r="A58" t="s">
        <v>198</v>
      </c>
      <c r="B58" t="s">
        <v>199</v>
      </c>
      <c r="C58" t="s">
        <v>123</v>
      </c>
      <c r="D58" t="s">
        <v>162</v>
      </c>
      <c r="E58">
        <v>4</v>
      </c>
      <c r="F58">
        <v>151</v>
      </c>
      <c r="G58">
        <v>88</v>
      </c>
      <c r="H58">
        <v>2681</v>
      </c>
      <c r="I58">
        <v>0.74148556196529303</v>
      </c>
      <c r="J58">
        <v>0.99728819895371701</v>
      </c>
      <c r="K58">
        <v>0.80704394942805502</v>
      </c>
      <c r="L58" t="s">
        <v>200</v>
      </c>
      <c r="M58" t="str">
        <f>HYPERLINK("../../3.KEGG_map/SCI_I-vs-NC-Up/rno04071.html","rno04071")</f>
        <v>rno04071</v>
      </c>
    </row>
    <row r="59" spans="1:13" x14ac:dyDescent="0.25">
      <c r="A59" t="s">
        <v>201</v>
      </c>
      <c r="B59" t="s">
        <v>202</v>
      </c>
      <c r="C59" t="s">
        <v>123</v>
      </c>
      <c r="D59" t="s">
        <v>162</v>
      </c>
      <c r="E59">
        <v>1</v>
      </c>
      <c r="F59">
        <v>151</v>
      </c>
      <c r="G59">
        <v>89</v>
      </c>
      <c r="H59">
        <v>2681</v>
      </c>
      <c r="I59">
        <v>0.99474504655979601</v>
      </c>
      <c r="J59">
        <v>0.99728819895371701</v>
      </c>
      <c r="K59">
        <v>0.19949400997097999</v>
      </c>
      <c r="L59" t="s">
        <v>203</v>
      </c>
      <c r="M59" t="str">
        <f>HYPERLINK("../../3.KEGG_map/SCI_I-vs-NC-Up/rno04072.html","rno04072")</f>
        <v>rno04072</v>
      </c>
    </row>
    <row r="60" spans="1:13" x14ac:dyDescent="0.25">
      <c r="A60" t="s">
        <v>204</v>
      </c>
      <c r="B60" t="s">
        <v>205</v>
      </c>
      <c r="C60" t="s">
        <v>206</v>
      </c>
      <c r="D60" t="s">
        <v>207</v>
      </c>
      <c r="E60">
        <v>1</v>
      </c>
      <c r="F60">
        <v>151</v>
      </c>
      <c r="G60">
        <v>72</v>
      </c>
      <c r="H60">
        <v>2681</v>
      </c>
      <c r="I60">
        <v>0.98547443314390504</v>
      </c>
      <c r="J60">
        <v>0.99728819895371701</v>
      </c>
      <c r="K60">
        <v>0.246596762325239</v>
      </c>
      <c r="L60" t="s">
        <v>208</v>
      </c>
      <c r="M60" t="str">
        <f>HYPERLINK("../../3.KEGG_map/SCI_I-vs-NC-Up/rno04110.html","rno04110")</f>
        <v>rno04110</v>
      </c>
    </row>
    <row r="61" spans="1:13" x14ac:dyDescent="0.25">
      <c r="A61" t="s">
        <v>209</v>
      </c>
      <c r="B61" t="s">
        <v>210</v>
      </c>
      <c r="C61" t="s">
        <v>206</v>
      </c>
      <c r="D61" t="s">
        <v>207</v>
      </c>
      <c r="E61">
        <v>1</v>
      </c>
      <c r="F61">
        <v>151</v>
      </c>
      <c r="G61">
        <v>70</v>
      </c>
      <c r="H61">
        <v>2681</v>
      </c>
      <c r="I61">
        <v>0.98363609939431096</v>
      </c>
      <c r="J61">
        <v>0.99728819895371701</v>
      </c>
      <c r="K61">
        <v>0.25364238410596002</v>
      </c>
      <c r="L61" t="s">
        <v>211</v>
      </c>
      <c r="M61" t="str">
        <f>HYPERLINK("../../3.KEGG_map/SCI_I-vs-NC-Up/rno04114.html","rno04114")</f>
        <v>rno04114</v>
      </c>
    </row>
    <row r="62" spans="1:13" x14ac:dyDescent="0.25">
      <c r="A62" t="s">
        <v>212</v>
      </c>
      <c r="B62" t="s">
        <v>213</v>
      </c>
      <c r="C62" t="s">
        <v>206</v>
      </c>
      <c r="D62" t="s">
        <v>207</v>
      </c>
      <c r="E62">
        <v>1</v>
      </c>
      <c r="F62">
        <v>151</v>
      </c>
      <c r="G62">
        <v>19</v>
      </c>
      <c r="H62">
        <v>2681</v>
      </c>
      <c r="I62">
        <v>0.668877031686263</v>
      </c>
      <c r="J62">
        <v>0.99728819895371701</v>
      </c>
      <c r="K62">
        <v>0.93447194144301104</v>
      </c>
      <c r="L62" t="s">
        <v>214</v>
      </c>
      <c r="M62" t="str">
        <f>HYPERLINK("../../3.KEGG_map/SCI_I-vs-NC-Up/rno04115.html","rno04115")</f>
        <v>rno04115</v>
      </c>
    </row>
    <row r="63" spans="1:13" x14ac:dyDescent="0.25">
      <c r="A63" t="s">
        <v>215</v>
      </c>
      <c r="B63" t="s">
        <v>216</v>
      </c>
      <c r="C63" t="s">
        <v>128</v>
      </c>
      <c r="D63" t="s">
        <v>139</v>
      </c>
      <c r="E63">
        <v>3</v>
      </c>
      <c r="F63">
        <v>151</v>
      </c>
      <c r="G63">
        <v>120</v>
      </c>
      <c r="H63">
        <v>2681</v>
      </c>
      <c r="I63">
        <v>0.97063490103702799</v>
      </c>
      <c r="J63">
        <v>0.99728819895371701</v>
      </c>
      <c r="K63">
        <v>0.44387417218543002</v>
      </c>
      <c r="L63" t="s">
        <v>217</v>
      </c>
      <c r="M63" t="str">
        <f>HYPERLINK("../../3.KEGG_map/SCI_I-vs-NC-Up/rno04120.html","rno04120")</f>
        <v>rno04120</v>
      </c>
    </row>
    <row r="64" spans="1:13" x14ac:dyDescent="0.25">
      <c r="A64" t="s">
        <v>218</v>
      </c>
      <c r="B64" t="s">
        <v>219</v>
      </c>
      <c r="C64" t="s">
        <v>206</v>
      </c>
      <c r="D64" t="s">
        <v>220</v>
      </c>
      <c r="E64">
        <v>1</v>
      </c>
      <c r="F64">
        <v>151</v>
      </c>
      <c r="G64">
        <v>77</v>
      </c>
      <c r="H64">
        <v>2681</v>
      </c>
      <c r="I64">
        <v>0.989221217573657</v>
      </c>
      <c r="J64">
        <v>0.99728819895371701</v>
      </c>
      <c r="K64">
        <v>0.23058398555087301</v>
      </c>
      <c r="L64" t="s">
        <v>214</v>
      </c>
      <c r="M64" t="str">
        <f>HYPERLINK("../../3.KEGG_map/SCI_I-vs-NC-Up/rno04140.html","rno04140")</f>
        <v>rno04140</v>
      </c>
    </row>
    <row r="65" spans="1:13" x14ac:dyDescent="0.25">
      <c r="A65" t="s">
        <v>221</v>
      </c>
      <c r="B65" t="s">
        <v>222</v>
      </c>
      <c r="C65" t="s">
        <v>128</v>
      </c>
      <c r="D65" t="s">
        <v>139</v>
      </c>
      <c r="E65">
        <v>3</v>
      </c>
      <c r="F65">
        <v>151</v>
      </c>
      <c r="G65">
        <v>86</v>
      </c>
      <c r="H65">
        <v>2681</v>
      </c>
      <c r="I65">
        <v>0.87321492002364998</v>
      </c>
      <c r="J65">
        <v>0.99728819895371701</v>
      </c>
      <c r="K65">
        <v>0.61935931002618205</v>
      </c>
      <c r="L65" t="s">
        <v>223</v>
      </c>
      <c r="M65" t="str">
        <f>HYPERLINK("../../3.KEGG_map/SCI_I-vs-NC-Up/rno04141.html","rno04141")</f>
        <v>rno04141</v>
      </c>
    </row>
    <row r="66" spans="1:13" x14ac:dyDescent="0.25">
      <c r="A66" t="s">
        <v>224</v>
      </c>
      <c r="B66" t="s">
        <v>225</v>
      </c>
      <c r="C66" t="s">
        <v>206</v>
      </c>
      <c r="D66" t="s">
        <v>220</v>
      </c>
      <c r="E66">
        <v>2</v>
      </c>
      <c r="F66">
        <v>151</v>
      </c>
      <c r="G66">
        <v>50</v>
      </c>
      <c r="H66">
        <v>2681</v>
      </c>
      <c r="I66">
        <v>0.78327599253103397</v>
      </c>
      <c r="J66">
        <v>0.99728819895371701</v>
      </c>
      <c r="K66">
        <v>0.71019867549668902</v>
      </c>
      <c r="L66" t="s">
        <v>226</v>
      </c>
      <c r="M66" t="str">
        <f>HYPERLINK("../../3.KEGG_map/SCI_I-vs-NC-Up/rno04142.html","rno04142")</f>
        <v>rno04142</v>
      </c>
    </row>
    <row r="67" spans="1:13" x14ac:dyDescent="0.25">
      <c r="A67" t="s">
        <v>227</v>
      </c>
      <c r="B67" t="s">
        <v>228</v>
      </c>
      <c r="C67" t="s">
        <v>206</v>
      </c>
      <c r="D67" t="s">
        <v>220</v>
      </c>
      <c r="E67">
        <v>10</v>
      </c>
      <c r="F67">
        <v>151</v>
      </c>
      <c r="G67">
        <v>193</v>
      </c>
      <c r="H67">
        <v>2681</v>
      </c>
      <c r="I67">
        <v>0.659047250631426</v>
      </c>
      <c r="J67">
        <v>0.99728819895371701</v>
      </c>
      <c r="K67">
        <v>0.91994647085063297</v>
      </c>
      <c r="L67" t="s">
        <v>229</v>
      </c>
      <c r="M67" t="str">
        <f>HYPERLINK("../../3.KEGG_map/SCI_I-vs-NC-Up/rno04144.html","rno04144")</f>
        <v>rno04144</v>
      </c>
    </row>
    <row r="68" spans="1:13" x14ac:dyDescent="0.25">
      <c r="A68" t="s">
        <v>230</v>
      </c>
      <c r="B68" t="s">
        <v>231</v>
      </c>
      <c r="C68" t="s">
        <v>206</v>
      </c>
      <c r="D68" t="s">
        <v>220</v>
      </c>
      <c r="E68">
        <v>5</v>
      </c>
      <c r="F68">
        <v>151</v>
      </c>
      <c r="G68">
        <v>61</v>
      </c>
      <c r="H68">
        <v>2681</v>
      </c>
      <c r="I68">
        <v>0.25792283346781397</v>
      </c>
      <c r="J68">
        <v>0.99728819895371701</v>
      </c>
      <c r="K68">
        <v>1.4553251547063299</v>
      </c>
      <c r="L68" t="s">
        <v>232</v>
      </c>
      <c r="M68" t="str">
        <f>HYPERLINK("../../3.KEGG_map/SCI_I-vs-NC-Up/rno04145.html","rno04145")</f>
        <v>rno04145</v>
      </c>
    </row>
    <row r="69" spans="1:13" x14ac:dyDescent="0.25">
      <c r="A69" t="s">
        <v>233</v>
      </c>
      <c r="B69" t="s">
        <v>234</v>
      </c>
      <c r="C69" t="s">
        <v>206</v>
      </c>
      <c r="D69" t="s">
        <v>220</v>
      </c>
      <c r="E69">
        <v>2</v>
      </c>
      <c r="F69">
        <v>151</v>
      </c>
      <c r="G69">
        <v>22</v>
      </c>
      <c r="H69">
        <v>2681</v>
      </c>
      <c r="I69">
        <v>0.35416999263309101</v>
      </c>
      <c r="J69">
        <v>0.99728819895371701</v>
      </c>
      <c r="K69">
        <v>1.61408789885611</v>
      </c>
      <c r="L69" t="s">
        <v>235</v>
      </c>
      <c r="M69" t="str">
        <f>HYPERLINK("../../3.KEGG_map/SCI_I-vs-NC-Up/rno04146.html","rno04146")</f>
        <v>rno04146</v>
      </c>
    </row>
    <row r="70" spans="1:13" x14ac:dyDescent="0.25">
      <c r="A70" t="s">
        <v>236</v>
      </c>
      <c r="B70" t="s">
        <v>237</v>
      </c>
      <c r="C70" t="s">
        <v>123</v>
      </c>
      <c r="D70" t="s">
        <v>162</v>
      </c>
      <c r="E70">
        <v>2</v>
      </c>
      <c r="F70">
        <v>151</v>
      </c>
      <c r="G70">
        <v>89</v>
      </c>
      <c r="H70">
        <v>2681</v>
      </c>
      <c r="I70">
        <v>0.96582558739398905</v>
      </c>
      <c r="J70">
        <v>0.99728819895371701</v>
      </c>
      <c r="K70">
        <v>0.39898801994195998</v>
      </c>
      <c r="L70" t="s">
        <v>238</v>
      </c>
      <c r="M70" t="str">
        <f>HYPERLINK("../../3.KEGG_map/SCI_I-vs-NC-Up/rno04150.html","rno04150")</f>
        <v>rno04150</v>
      </c>
    </row>
    <row r="71" spans="1:13" x14ac:dyDescent="0.25">
      <c r="A71" t="s">
        <v>239</v>
      </c>
      <c r="B71" t="s">
        <v>240</v>
      </c>
      <c r="C71" t="s">
        <v>123</v>
      </c>
      <c r="D71" t="s">
        <v>162</v>
      </c>
      <c r="E71">
        <v>10</v>
      </c>
      <c r="F71">
        <v>151</v>
      </c>
      <c r="G71">
        <v>161</v>
      </c>
      <c r="H71">
        <v>2681</v>
      </c>
      <c r="I71">
        <v>0.42177274989090302</v>
      </c>
      <c r="J71">
        <v>0.99728819895371701</v>
      </c>
      <c r="K71">
        <v>1.1027929743737399</v>
      </c>
      <c r="L71" t="s">
        <v>241</v>
      </c>
      <c r="M71" t="str">
        <f>HYPERLINK("../../3.KEGG_map/SCI_I-vs-NC-Up/rno04151.html","rno04151")</f>
        <v>rno04151</v>
      </c>
    </row>
    <row r="72" spans="1:13" x14ac:dyDescent="0.25">
      <c r="A72" t="s">
        <v>242</v>
      </c>
      <c r="B72" t="s">
        <v>243</v>
      </c>
      <c r="C72" t="s">
        <v>123</v>
      </c>
      <c r="D72" t="s">
        <v>162</v>
      </c>
      <c r="E72">
        <v>2</v>
      </c>
      <c r="F72">
        <v>151</v>
      </c>
      <c r="G72">
        <v>63</v>
      </c>
      <c r="H72">
        <v>2681</v>
      </c>
      <c r="I72">
        <v>0.87953752384416595</v>
      </c>
      <c r="J72">
        <v>0.99728819895371701</v>
      </c>
      <c r="K72">
        <v>0.56364974245768995</v>
      </c>
      <c r="L72" t="s">
        <v>244</v>
      </c>
      <c r="M72" t="str">
        <f>HYPERLINK("../../3.KEGG_map/SCI_I-vs-NC-Up/rno04152.html","rno04152")</f>
        <v>rno04152</v>
      </c>
    </row>
    <row r="73" spans="1:13" x14ac:dyDescent="0.25">
      <c r="A73" t="s">
        <v>245</v>
      </c>
      <c r="B73" t="s">
        <v>246</v>
      </c>
      <c r="C73" t="s">
        <v>206</v>
      </c>
      <c r="D73" t="s">
        <v>207</v>
      </c>
      <c r="E73">
        <v>5</v>
      </c>
      <c r="F73">
        <v>151</v>
      </c>
      <c r="G73">
        <v>62</v>
      </c>
      <c r="H73">
        <v>2681</v>
      </c>
      <c r="I73">
        <v>0.26887535759888198</v>
      </c>
      <c r="J73">
        <v>0.99728819895371701</v>
      </c>
      <c r="K73">
        <v>1.4318521683401</v>
      </c>
      <c r="L73" t="s">
        <v>247</v>
      </c>
      <c r="M73" t="str">
        <f>HYPERLINK("../../3.KEGG_map/SCI_I-vs-NC-Up/rno04210.html","rno04210")</f>
        <v>rno04210</v>
      </c>
    </row>
    <row r="74" spans="1:13" x14ac:dyDescent="0.25">
      <c r="A74" t="s">
        <v>248</v>
      </c>
      <c r="B74" t="s">
        <v>249</v>
      </c>
      <c r="C74" t="s">
        <v>150</v>
      </c>
      <c r="D74" t="s">
        <v>250</v>
      </c>
      <c r="E74">
        <v>1</v>
      </c>
      <c r="F74">
        <v>151</v>
      </c>
      <c r="G74">
        <v>64</v>
      </c>
      <c r="H74">
        <v>2681</v>
      </c>
      <c r="I74">
        <v>0.97661683035402402</v>
      </c>
      <c r="J74">
        <v>0.99728819895371701</v>
      </c>
      <c r="K74">
        <v>0.27742135761589398</v>
      </c>
      <c r="L74" t="s">
        <v>251</v>
      </c>
      <c r="M74" t="str">
        <f>HYPERLINK("../../3.KEGG_map/SCI_I-vs-NC-Up/rno04211.html","rno04211")</f>
        <v>rno04211</v>
      </c>
    </row>
    <row r="75" spans="1:13" x14ac:dyDescent="0.25">
      <c r="A75" t="s">
        <v>252</v>
      </c>
      <c r="B75" t="s">
        <v>253</v>
      </c>
      <c r="C75" t="s">
        <v>150</v>
      </c>
      <c r="D75" t="s">
        <v>250</v>
      </c>
      <c r="E75">
        <v>1</v>
      </c>
      <c r="F75">
        <v>151</v>
      </c>
      <c r="G75">
        <v>31</v>
      </c>
      <c r="H75">
        <v>2681</v>
      </c>
      <c r="I75">
        <v>0.83593958634550902</v>
      </c>
      <c r="J75">
        <v>0.99728819895371701</v>
      </c>
      <c r="K75">
        <v>0.57274086733603902</v>
      </c>
      <c r="L75" t="s">
        <v>254</v>
      </c>
      <c r="M75" t="str">
        <f>HYPERLINK("../../3.KEGG_map/SCI_I-vs-NC-Up/rno04213.html","rno04213")</f>
        <v>rno04213</v>
      </c>
    </row>
    <row r="76" spans="1:13" x14ac:dyDescent="0.25">
      <c r="A76" t="s">
        <v>255</v>
      </c>
      <c r="B76" t="s">
        <v>256</v>
      </c>
      <c r="C76" t="s">
        <v>206</v>
      </c>
      <c r="D76" t="s">
        <v>207</v>
      </c>
      <c r="E76">
        <v>1</v>
      </c>
      <c r="F76">
        <v>151</v>
      </c>
      <c r="G76">
        <v>44</v>
      </c>
      <c r="H76">
        <v>2681</v>
      </c>
      <c r="I76">
        <v>0.92361750213057403</v>
      </c>
      <c r="J76">
        <v>0.99728819895371701</v>
      </c>
      <c r="K76">
        <v>0.40352197471402801</v>
      </c>
      <c r="L76" t="s">
        <v>257</v>
      </c>
      <c r="M76" t="str">
        <f>HYPERLINK("../../3.KEGG_map/SCI_I-vs-NC-Up/rno04217.html","rno04217")</f>
        <v>rno04217</v>
      </c>
    </row>
    <row r="77" spans="1:13" x14ac:dyDescent="0.25">
      <c r="A77" t="s">
        <v>258</v>
      </c>
      <c r="B77" t="s">
        <v>259</v>
      </c>
      <c r="C77" t="s">
        <v>206</v>
      </c>
      <c r="D77" t="s">
        <v>207</v>
      </c>
      <c r="E77">
        <v>7</v>
      </c>
      <c r="F77">
        <v>151</v>
      </c>
      <c r="G77">
        <v>111</v>
      </c>
      <c r="H77">
        <v>2681</v>
      </c>
      <c r="I77">
        <v>0.43587433824252297</v>
      </c>
      <c r="J77">
        <v>0.99728819895371701</v>
      </c>
      <c r="K77">
        <v>1.11968259650379</v>
      </c>
      <c r="L77" t="s">
        <v>260</v>
      </c>
      <c r="M77" t="str">
        <f>HYPERLINK("../../3.KEGG_map/SCI_I-vs-NC-Up/rno04218.html","rno04218")</f>
        <v>rno04218</v>
      </c>
    </row>
    <row r="78" spans="1:13" x14ac:dyDescent="0.25">
      <c r="A78" t="s">
        <v>261</v>
      </c>
      <c r="B78" t="s">
        <v>262</v>
      </c>
      <c r="C78" t="s">
        <v>150</v>
      </c>
      <c r="D78" t="s">
        <v>263</v>
      </c>
      <c r="E78">
        <v>2</v>
      </c>
      <c r="F78">
        <v>151</v>
      </c>
      <c r="G78">
        <v>39</v>
      </c>
      <c r="H78">
        <v>2681</v>
      </c>
      <c r="I78">
        <v>0.65514474399306</v>
      </c>
      <c r="J78">
        <v>0.99728819895371701</v>
      </c>
      <c r="K78">
        <v>0.910511122431652</v>
      </c>
      <c r="L78" t="s">
        <v>264</v>
      </c>
      <c r="M78" t="str">
        <f>HYPERLINK("../../3.KEGG_map/SCI_I-vs-NC-Up/rno04260.html","rno04260")</f>
        <v>rno04260</v>
      </c>
    </row>
    <row r="79" spans="1:13" x14ac:dyDescent="0.25">
      <c r="A79" t="s">
        <v>265</v>
      </c>
      <c r="B79" t="s">
        <v>266</v>
      </c>
      <c r="C79" t="s">
        <v>150</v>
      </c>
      <c r="D79" t="s">
        <v>263</v>
      </c>
      <c r="E79">
        <v>7</v>
      </c>
      <c r="F79">
        <v>151</v>
      </c>
      <c r="G79">
        <v>102</v>
      </c>
      <c r="H79">
        <v>2681</v>
      </c>
      <c r="I79">
        <v>0.35052784515823798</v>
      </c>
      <c r="J79">
        <v>0.99728819895371701</v>
      </c>
      <c r="K79">
        <v>1.2184781197247101</v>
      </c>
      <c r="L79" t="s">
        <v>267</v>
      </c>
      <c r="M79" t="str">
        <f>HYPERLINK("../../3.KEGG_map/SCI_I-vs-NC-Up/rno04261.html","rno04261")</f>
        <v>rno04261</v>
      </c>
    </row>
    <row r="80" spans="1:13" x14ac:dyDescent="0.25">
      <c r="A80" t="s">
        <v>268</v>
      </c>
      <c r="B80" t="s">
        <v>269</v>
      </c>
      <c r="C80" t="s">
        <v>150</v>
      </c>
      <c r="D80" t="s">
        <v>263</v>
      </c>
      <c r="E80">
        <v>8</v>
      </c>
      <c r="F80">
        <v>151</v>
      </c>
      <c r="G80">
        <v>132</v>
      </c>
      <c r="H80">
        <v>2681</v>
      </c>
      <c r="I80">
        <v>0.469029861366276</v>
      </c>
      <c r="J80">
        <v>0.99728819895371701</v>
      </c>
      <c r="K80">
        <v>1.0760585992374101</v>
      </c>
      <c r="L80" t="s">
        <v>270</v>
      </c>
      <c r="M80" t="str">
        <f>HYPERLINK("../../3.KEGG_map/SCI_I-vs-NC-Up/rno04270.html","rno04270")</f>
        <v>rno04270</v>
      </c>
    </row>
    <row r="81" spans="1:13" x14ac:dyDescent="0.25">
      <c r="A81" t="s">
        <v>271</v>
      </c>
      <c r="B81" t="s">
        <v>272</v>
      </c>
      <c r="C81" t="s">
        <v>123</v>
      </c>
      <c r="D81" t="s">
        <v>162</v>
      </c>
      <c r="E81">
        <v>1</v>
      </c>
      <c r="F81">
        <v>151</v>
      </c>
      <c r="G81">
        <v>88</v>
      </c>
      <c r="H81">
        <v>2681</v>
      </c>
      <c r="I81">
        <v>0.99442010881636</v>
      </c>
      <c r="J81">
        <v>0.99728819895371701</v>
      </c>
      <c r="K81">
        <v>0.201760987357014</v>
      </c>
      <c r="L81" t="s">
        <v>273</v>
      </c>
      <c r="M81" t="str">
        <f>HYPERLINK("../../3.KEGG_map/SCI_I-vs-NC-Up/rno04310.html","rno04310")</f>
        <v>rno04310</v>
      </c>
    </row>
    <row r="82" spans="1:13" x14ac:dyDescent="0.25">
      <c r="A82" t="s">
        <v>274</v>
      </c>
      <c r="B82" t="s">
        <v>275</v>
      </c>
      <c r="C82" t="s">
        <v>123</v>
      </c>
      <c r="D82" t="s">
        <v>162</v>
      </c>
      <c r="E82">
        <v>2</v>
      </c>
      <c r="F82">
        <v>151</v>
      </c>
      <c r="G82">
        <v>19</v>
      </c>
      <c r="H82">
        <v>2681</v>
      </c>
      <c r="I82">
        <v>0.29069558419736602</v>
      </c>
      <c r="J82">
        <v>0.99728819895371701</v>
      </c>
      <c r="K82">
        <v>1.8689438828860201</v>
      </c>
      <c r="L82" t="s">
        <v>276</v>
      </c>
      <c r="M82" t="str">
        <f>HYPERLINK("../../3.KEGG_map/SCI_I-vs-NC-Up/rno04330.html","rno04330")</f>
        <v>rno04330</v>
      </c>
    </row>
    <row r="83" spans="1:13" x14ac:dyDescent="0.25">
      <c r="A83" t="s">
        <v>277</v>
      </c>
      <c r="B83" t="s">
        <v>278</v>
      </c>
      <c r="C83" t="s">
        <v>123</v>
      </c>
      <c r="D83" t="s">
        <v>162</v>
      </c>
      <c r="E83">
        <v>1</v>
      </c>
      <c r="F83">
        <v>151</v>
      </c>
      <c r="G83">
        <v>25</v>
      </c>
      <c r="H83">
        <v>2681</v>
      </c>
      <c r="I83">
        <v>0.76682933881356097</v>
      </c>
      <c r="J83">
        <v>0.99728819895371701</v>
      </c>
      <c r="K83">
        <v>0.71019867549668902</v>
      </c>
      <c r="L83" t="s">
        <v>279</v>
      </c>
      <c r="M83" t="str">
        <f>HYPERLINK("../../3.KEGG_map/SCI_I-vs-NC-Up/rno04340.html","rno04340")</f>
        <v>rno04340</v>
      </c>
    </row>
    <row r="84" spans="1:13" x14ac:dyDescent="0.25">
      <c r="A84" t="s">
        <v>280</v>
      </c>
      <c r="B84" t="s">
        <v>281</v>
      </c>
      <c r="C84" t="s">
        <v>123</v>
      </c>
      <c r="D84" t="s">
        <v>162</v>
      </c>
      <c r="E84">
        <v>2</v>
      </c>
      <c r="F84">
        <v>151</v>
      </c>
      <c r="G84">
        <v>62</v>
      </c>
      <c r="H84">
        <v>2681</v>
      </c>
      <c r="I84">
        <v>0.87381882108560105</v>
      </c>
      <c r="J84">
        <v>0.99728819895371701</v>
      </c>
      <c r="K84">
        <v>0.57274086733603902</v>
      </c>
      <c r="L84" t="s">
        <v>282</v>
      </c>
      <c r="M84" t="str">
        <f>HYPERLINK("../../3.KEGG_map/SCI_I-vs-NC-Up/rno04350.html","rno04350")</f>
        <v>rno04350</v>
      </c>
    </row>
    <row r="85" spans="1:13" x14ac:dyDescent="0.25">
      <c r="A85" t="s">
        <v>283</v>
      </c>
      <c r="B85" t="s">
        <v>284</v>
      </c>
      <c r="C85" t="s">
        <v>150</v>
      </c>
      <c r="D85" t="s">
        <v>285</v>
      </c>
      <c r="E85">
        <v>6</v>
      </c>
      <c r="F85">
        <v>151</v>
      </c>
      <c r="G85">
        <v>115</v>
      </c>
      <c r="H85">
        <v>2681</v>
      </c>
      <c r="I85">
        <v>0.63857744701563801</v>
      </c>
      <c r="J85">
        <v>0.99728819895371701</v>
      </c>
      <c r="K85">
        <v>0.926346098473942</v>
      </c>
      <c r="L85" t="s">
        <v>286</v>
      </c>
      <c r="M85" t="str">
        <f>HYPERLINK("../../3.KEGG_map/SCI_I-vs-NC-Up/rno04360.html","rno04360")</f>
        <v>rno04360</v>
      </c>
    </row>
    <row r="86" spans="1:13" x14ac:dyDescent="0.25">
      <c r="A86" t="s">
        <v>287</v>
      </c>
      <c r="B86" t="s">
        <v>288</v>
      </c>
      <c r="C86" t="s">
        <v>123</v>
      </c>
      <c r="D86" t="s">
        <v>162</v>
      </c>
      <c r="E86">
        <v>6</v>
      </c>
      <c r="F86">
        <v>151</v>
      </c>
      <c r="G86">
        <v>111</v>
      </c>
      <c r="H86">
        <v>2681</v>
      </c>
      <c r="I86">
        <v>0.60344943014974906</v>
      </c>
      <c r="J86">
        <v>0.99728819895371701</v>
      </c>
      <c r="K86">
        <v>0.95972793986038996</v>
      </c>
      <c r="L86" t="s">
        <v>289</v>
      </c>
      <c r="M86" t="str">
        <f>HYPERLINK("../../3.KEGG_map/SCI_I-vs-NC-Up/rno04371.html","rno04371")</f>
        <v>rno04371</v>
      </c>
    </row>
    <row r="87" spans="1:13" x14ac:dyDescent="0.25">
      <c r="A87" t="s">
        <v>290</v>
      </c>
      <c r="B87" t="s">
        <v>291</v>
      </c>
      <c r="C87" t="s">
        <v>150</v>
      </c>
      <c r="D87" t="s">
        <v>285</v>
      </c>
      <c r="E87">
        <v>2</v>
      </c>
      <c r="F87">
        <v>151</v>
      </c>
      <c r="G87">
        <v>64</v>
      </c>
      <c r="H87">
        <v>2681</v>
      </c>
      <c r="I87">
        <v>0.88501774180164605</v>
      </c>
      <c r="J87">
        <v>0.99728819895371701</v>
      </c>
      <c r="K87">
        <v>0.55484271523178796</v>
      </c>
      <c r="L87" t="s">
        <v>292</v>
      </c>
      <c r="M87" t="str">
        <f>HYPERLINK("../../3.KEGG_map/SCI_I-vs-NC-Up/rno04380.html","rno04380")</f>
        <v>rno04380</v>
      </c>
    </row>
    <row r="88" spans="1:13" x14ac:dyDescent="0.25">
      <c r="A88" t="s">
        <v>293</v>
      </c>
      <c r="B88" t="s">
        <v>294</v>
      </c>
      <c r="C88" t="s">
        <v>123</v>
      </c>
      <c r="D88" t="s">
        <v>162</v>
      </c>
      <c r="E88">
        <v>5</v>
      </c>
      <c r="F88">
        <v>151</v>
      </c>
      <c r="G88">
        <v>84</v>
      </c>
      <c r="H88">
        <v>2681</v>
      </c>
      <c r="I88">
        <v>0.51706663409422104</v>
      </c>
      <c r="J88">
        <v>0.99728819895371701</v>
      </c>
      <c r="K88">
        <v>1.05684326710817</v>
      </c>
      <c r="L88" t="s">
        <v>295</v>
      </c>
      <c r="M88" t="str">
        <f>HYPERLINK("../../3.KEGG_map/SCI_I-vs-NC-Up/rno04390.html","rno04390")</f>
        <v>rno04390</v>
      </c>
    </row>
    <row r="89" spans="1:13" x14ac:dyDescent="0.25">
      <c r="A89" t="s">
        <v>296</v>
      </c>
      <c r="B89" t="s">
        <v>297</v>
      </c>
      <c r="C89" t="s">
        <v>123</v>
      </c>
      <c r="D89" t="s">
        <v>162</v>
      </c>
      <c r="E89">
        <v>1</v>
      </c>
      <c r="F89">
        <v>151</v>
      </c>
      <c r="G89">
        <v>26</v>
      </c>
      <c r="H89">
        <v>2681</v>
      </c>
      <c r="I89">
        <v>0.78008565275902497</v>
      </c>
      <c r="J89">
        <v>0.99728819895371701</v>
      </c>
      <c r="K89">
        <v>0.682883341823739</v>
      </c>
      <c r="L89" t="s">
        <v>298</v>
      </c>
      <c r="M89" t="str">
        <f>HYPERLINK("../../3.KEGG_map/SCI_I-vs-NC-Up/rno04392.html","rno04392")</f>
        <v>rno04392</v>
      </c>
    </row>
    <row r="90" spans="1:13" x14ac:dyDescent="0.25">
      <c r="A90" t="s">
        <v>299</v>
      </c>
      <c r="B90" t="s">
        <v>300</v>
      </c>
      <c r="C90" t="s">
        <v>206</v>
      </c>
      <c r="D90" t="s">
        <v>301</v>
      </c>
      <c r="E90">
        <v>11</v>
      </c>
      <c r="F90">
        <v>151</v>
      </c>
      <c r="G90">
        <v>192</v>
      </c>
      <c r="H90">
        <v>2681</v>
      </c>
      <c r="I90">
        <v>0.52410825994591903</v>
      </c>
      <c r="J90">
        <v>0.99728819895371701</v>
      </c>
      <c r="K90">
        <v>1.01721164459161</v>
      </c>
      <c r="L90" t="s">
        <v>302</v>
      </c>
      <c r="M90" t="str">
        <f>HYPERLINK("../../3.KEGG_map/SCI_I-vs-NC-Up/rno04510.html","rno04510")</f>
        <v>rno04510</v>
      </c>
    </row>
    <row r="91" spans="1:13" x14ac:dyDescent="0.25">
      <c r="A91" t="s">
        <v>303</v>
      </c>
      <c r="B91" t="s">
        <v>304</v>
      </c>
      <c r="C91" t="s">
        <v>123</v>
      </c>
      <c r="D91" t="s">
        <v>184</v>
      </c>
      <c r="E91">
        <v>6</v>
      </c>
      <c r="F91">
        <v>151</v>
      </c>
      <c r="G91">
        <v>70</v>
      </c>
      <c r="H91">
        <v>2681</v>
      </c>
      <c r="I91">
        <v>0.19880974144361099</v>
      </c>
      <c r="J91">
        <v>0.99728819895371701</v>
      </c>
      <c r="K91">
        <v>1.52185430463576</v>
      </c>
      <c r="L91" t="s">
        <v>305</v>
      </c>
      <c r="M91" t="str">
        <f>HYPERLINK("../../3.KEGG_map/SCI_I-vs-NC-Up/rno04512.html","rno04512")</f>
        <v>rno04512</v>
      </c>
    </row>
    <row r="92" spans="1:13" x14ac:dyDescent="0.25">
      <c r="A92" t="s">
        <v>306</v>
      </c>
      <c r="B92" t="s">
        <v>307</v>
      </c>
      <c r="C92" t="s">
        <v>123</v>
      </c>
      <c r="D92" t="s">
        <v>184</v>
      </c>
      <c r="E92">
        <v>3</v>
      </c>
      <c r="F92">
        <v>151</v>
      </c>
      <c r="G92">
        <v>51</v>
      </c>
      <c r="H92">
        <v>2681</v>
      </c>
      <c r="I92">
        <v>0.55542745821221196</v>
      </c>
      <c r="J92">
        <v>0.99728819895371701</v>
      </c>
      <c r="K92">
        <v>1.0444098169069</v>
      </c>
      <c r="L92" t="s">
        <v>308</v>
      </c>
      <c r="M92" t="str">
        <f>HYPERLINK("../../3.KEGG_map/SCI_I-vs-NC-Up/rno04514.html","rno04514")</f>
        <v>rno04514</v>
      </c>
    </row>
    <row r="93" spans="1:13" x14ac:dyDescent="0.25">
      <c r="A93" t="s">
        <v>309</v>
      </c>
      <c r="B93" t="s">
        <v>310</v>
      </c>
      <c r="C93" t="s">
        <v>206</v>
      </c>
      <c r="D93" t="s">
        <v>301</v>
      </c>
      <c r="E93">
        <v>3</v>
      </c>
      <c r="F93">
        <v>151</v>
      </c>
      <c r="G93">
        <v>112</v>
      </c>
      <c r="H93">
        <v>2681</v>
      </c>
      <c r="I93">
        <v>0.95791717403359999</v>
      </c>
      <c r="J93">
        <v>0.99728819895371701</v>
      </c>
      <c r="K93">
        <v>0.47557947019867602</v>
      </c>
      <c r="L93" t="s">
        <v>311</v>
      </c>
      <c r="M93" t="str">
        <f>HYPERLINK("../../3.KEGG_map/SCI_I-vs-NC-Up/rno04520.html","rno04520")</f>
        <v>rno04520</v>
      </c>
    </row>
    <row r="94" spans="1:13" x14ac:dyDescent="0.25">
      <c r="A94" t="s">
        <v>312</v>
      </c>
      <c r="B94" t="s">
        <v>313</v>
      </c>
      <c r="C94" t="s">
        <v>206</v>
      </c>
      <c r="D94" t="s">
        <v>301</v>
      </c>
      <c r="E94">
        <v>6</v>
      </c>
      <c r="F94">
        <v>151</v>
      </c>
      <c r="G94">
        <v>118</v>
      </c>
      <c r="H94">
        <v>2681</v>
      </c>
      <c r="I94">
        <v>0.663700599186969</v>
      </c>
      <c r="J94">
        <v>0.99728819895371701</v>
      </c>
      <c r="K94">
        <v>0.90279492647884196</v>
      </c>
      <c r="L94" t="s">
        <v>314</v>
      </c>
      <c r="M94" t="str">
        <f>HYPERLINK("../../3.KEGG_map/SCI_I-vs-NC-Up/rno04530.html","rno04530")</f>
        <v>rno04530</v>
      </c>
    </row>
    <row r="95" spans="1:13" x14ac:dyDescent="0.25">
      <c r="A95" t="s">
        <v>315</v>
      </c>
      <c r="B95" t="s">
        <v>316</v>
      </c>
      <c r="C95" t="s">
        <v>206</v>
      </c>
      <c r="D95" t="s">
        <v>301</v>
      </c>
      <c r="E95">
        <v>3</v>
      </c>
      <c r="F95">
        <v>151</v>
      </c>
      <c r="G95">
        <v>65</v>
      </c>
      <c r="H95">
        <v>2681</v>
      </c>
      <c r="I95">
        <v>0.71963535991017402</v>
      </c>
      <c r="J95">
        <v>0.99728819895371701</v>
      </c>
      <c r="K95">
        <v>0.81946001018848702</v>
      </c>
      <c r="L95" t="s">
        <v>317</v>
      </c>
      <c r="M95" t="str">
        <f>HYPERLINK("../../3.KEGG_map/SCI_I-vs-NC-Up/rno04540.html","rno04540")</f>
        <v>rno04540</v>
      </c>
    </row>
    <row r="96" spans="1:13" x14ac:dyDescent="0.25">
      <c r="A96" t="s">
        <v>318</v>
      </c>
      <c r="B96" t="s">
        <v>319</v>
      </c>
      <c r="C96" t="s">
        <v>206</v>
      </c>
      <c r="D96" t="s">
        <v>301</v>
      </c>
      <c r="E96">
        <v>5</v>
      </c>
      <c r="F96">
        <v>151</v>
      </c>
      <c r="G96">
        <v>60</v>
      </c>
      <c r="H96">
        <v>2681</v>
      </c>
      <c r="I96">
        <v>0.24708454176701899</v>
      </c>
      <c r="J96">
        <v>0.99728819895371701</v>
      </c>
      <c r="K96">
        <v>1.4795805739514301</v>
      </c>
      <c r="L96" t="s">
        <v>320</v>
      </c>
      <c r="M96" t="str">
        <f>HYPERLINK("../../3.KEGG_map/SCI_I-vs-NC-Up/rno04550.html","rno04550")</f>
        <v>rno04550</v>
      </c>
    </row>
    <row r="97" spans="1:13" x14ac:dyDescent="0.25">
      <c r="A97" t="s">
        <v>321</v>
      </c>
      <c r="B97" t="s">
        <v>322</v>
      </c>
      <c r="C97" t="s">
        <v>150</v>
      </c>
      <c r="D97" t="s">
        <v>188</v>
      </c>
      <c r="E97">
        <v>12</v>
      </c>
      <c r="F97">
        <v>151</v>
      </c>
      <c r="G97">
        <v>122</v>
      </c>
      <c r="H97">
        <v>2681</v>
      </c>
      <c r="I97">
        <v>3.9045530798575201E-2</v>
      </c>
      <c r="J97">
        <v>0.67379569722592303</v>
      </c>
      <c r="K97">
        <v>1.7463901856476001</v>
      </c>
      <c r="L97" t="s">
        <v>323</v>
      </c>
      <c r="M97" t="str">
        <f>HYPERLINK("../../3.KEGG_map/SCI_I-vs-NC-Up/rno04611.html","rno04611")</f>
        <v>rno04611</v>
      </c>
    </row>
    <row r="98" spans="1:13" x14ac:dyDescent="0.25">
      <c r="A98" t="s">
        <v>324</v>
      </c>
      <c r="B98" t="s">
        <v>325</v>
      </c>
      <c r="C98" t="s">
        <v>150</v>
      </c>
      <c r="D98" t="s">
        <v>188</v>
      </c>
      <c r="E98">
        <v>2</v>
      </c>
      <c r="F98">
        <v>151</v>
      </c>
      <c r="G98">
        <v>23</v>
      </c>
      <c r="H98">
        <v>2681</v>
      </c>
      <c r="I98">
        <v>0.37492618697162899</v>
      </c>
      <c r="J98">
        <v>0.99728819895371701</v>
      </c>
      <c r="K98">
        <v>1.54391016412324</v>
      </c>
      <c r="L98" t="s">
        <v>326</v>
      </c>
      <c r="M98" t="str">
        <f>HYPERLINK("../../3.KEGG_map/SCI_I-vs-NC-Up/rno04612.html","rno04612")</f>
        <v>rno04612</v>
      </c>
    </row>
    <row r="99" spans="1:13" x14ac:dyDescent="0.25">
      <c r="A99" t="s">
        <v>327</v>
      </c>
      <c r="B99" t="s">
        <v>328</v>
      </c>
      <c r="C99" t="s">
        <v>150</v>
      </c>
      <c r="D99" t="s">
        <v>188</v>
      </c>
      <c r="E99">
        <v>2</v>
      </c>
      <c r="F99">
        <v>151</v>
      </c>
      <c r="G99">
        <v>64</v>
      </c>
      <c r="H99">
        <v>2681</v>
      </c>
      <c r="I99">
        <v>0.88501774180164605</v>
      </c>
      <c r="J99">
        <v>0.99728819895371701</v>
      </c>
      <c r="K99">
        <v>0.55484271523178796</v>
      </c>
      <c r="L99" t="s">
        <v>329</v>
      </c>
      <c r="M99" t="str">
        <f>HYPERLINK("../../3.KEGG_map/SCI_I-vs-NC-Up/rno04621.html","rno04621")</f>
        <v>rno04621</v>
      </c>
    </row>
    <row r="100" spans="1:13" x14ac:dyDescent="0.25">
      <c r="A100" t="s">
        <v>330</v>
      </c>
      <c r="B100" t="s">
        <v>331</v>
      </c>
      <c r="C100" t="s">
        <v>150</v>
      </c>
      <c r="D100" t="s">
        <v>188</v>
      </c>
      <c r="E100">
        <v>2</v>
      </c>
      <c r="F100">
        <v>151</v>
      </c>
      <c r="G100">
        <v>69</v>
      </c>
      <c r="H100">
        <v>2681</v>
      </c>
      <c r="I100">
        <v>0.90913221883324402</v>
      </c>
      <c r="J100">
        <v>0.99728819895371701</v>
      </c>
      <c r="K100">
        <v>0.51463672137441197</v>
      </c>
      <c r="L100" t="s">
        <v>332</v>
      </c>
      <c r="M100" t="str">
        <f>HYPERLINK("../../3.KEGG_map/SCI_I-vs-NC-Up/rno04625.html","rno04625")</f>
        <v>rno04625</v>
      </c>
    </row>
    <row r="101" spans="1:13" x14ac:dyDescent="0.25">
      <c r="A101" t="s">
        <v>333</v>
      </c>
      <c r="B101" t="s">
        <v>334</v>
      </c>
      <c r="C101" t="s">
        <v>123</v>
      </c>
      <c r="D101" t="s">
        <v>162</v>
      </c>
      <c r="E101">
        <v>1</v>
      </c>
      <c r="F101">
        <v>151</v>
      </c>
      <c r="G101">
        <v>52</v>
      </c>
      <c r="H101">
        <v>2681</v>
      </c>
      <c r="I101">
        <v>0.95237432241485898</v>
      </c>
      <c r="J101">
        <v>0.99728819895371701</v>
      </c>
      <c r="K101">
        <v>0.34144167091187</v>
      </c>
      <c r="L101" t="s">
        <v>185</v>
      </c>
      <c r="M101" t="str">
        <f>HYPERLINK("../../3.KEGG_map/SCI_I-vs-NC-Up/rno04630.html","rno04630")</f>
        <v>rno04630</v>
      </c>
    </row>
    <row r="102" spans="1:13" x14ac:dyDescent="0.25">
      <c r="A102" t="s">
        <v>335</v>
      </c>
      <c r="B102" t="s">
        <v>336</v>
      </c>
      <c r="C102" t="s">
        <v>150</v>
      </c>
      <c r="D102" t="s">
        <v>188</v>
      </c>
      <c r="E102">
        <v>2</v>
      </c>
      <c r="F102">
        <v>151</v>
      </c>
      <c r="G102">
        <v>18</v>
      </c>
      <c r="H102">
        <v>2681</v>
      </c>
      <c r="I102">
        <v>0.269310158762888</v>
      </c>
      <c r="J102">
        <v>0.99728819895371701</v>
      </c>
      <c r="K102">
        <v>1.97277409860191</v>
      </c>
      <c r="L102" t="s">
        <v>337</v>
      </c>
      <c r="M102" t="str">
        <f>HYPERLINK("../../3.KEGG_map/SCI_I-vs-NC-Up/rno04640.html","rno04640")</f>
        <v>rno04640</v>
      </c>
    </row>
    <row r="103" spans="1:13" x14ac:dyDescent="0.25">
      <c r="A103" t="s">
        <v>338</v>
      </c>
      <c r="B103" t="s">
        <v>339</v>
      </c>
      <c r="C103" t="s">
        <v>150</v>
      </c>
      <c r="D103" t="s">
        <v>188</v>
      </c>
      <c r="E103">
        <v>3</v>
      </c>
      <c r="F103">
        <v>151</v>
      </c>
      <c r="G103">
        <v>43</v>
      </c>
      <c r="H103">
        <v>2681</v>
      </c>
      <c r="I103">
        <v>0.43994726426032799</v>
      </c>
      <c r="J103">
        <v>0.99728819895371701</v>
      </c>
      <c r="K103">
        <v>1.2387186200523601</v>
      </c>
      <c r="L103" t="s">
        <v>340</v>
      </c>
      <c r="M103" t="str">
        <f>HYPERLINK("../../3.KEGG_map/SCI_I-vs-NC-Up/rno04658.html","rno04658")</f>
        <v>rno04658</v>
      </c>
    </row>
    <row r="104" spans="1:13" x14ac:dyDescent="0.25">
      <c r="A104" t="s">
        <v>341</v>
      </c>
      <c r="B104" t="s">
        <v>342</v>
      </c>
      <c r="C104" t="s">
        <v>150</v>
      </c>
      <c r="D104" t="s">
        <v>188</v>
      </c>
      <c r="E104">
        <v>4</v>
      </c>
      <c r="F104">
        <v>151</v>
      </c>
      <c r="G104">
        <v>61</v>
      </c>
      <c r="H104">
        <v>2681</v>
      </c>
      <c r="I104">
        <v>0.453131086688214</v>
      </c>
      <c r="J104">
        <v>0.99728819895371701</v>
      </c>
      <c r="K104">
        <v>1.1642601237650601</v>
      </c>
      <c r="L104" t="s">
        <v>343</v>
      </c>
      <c r="M104" t="str">
        <f>HYPERLINK("../../3.KEGG_map/SCI_I-vs-NC-Up/rno04659.html","rno04659")</f>
        <v>rno04659</v>
      </c>
    </row>
    <row r="105" spans="1:13" x14ac:dyDescent="0.25">
      <c r="A105" t="s">
        <v>344</v>
      </c>
      <c r="B105" t="s">
        <v>345</v>
      </c>
      <c r="C105" t="s">
        <v>150</v>
      </c>
      <c r="D105" t="s">
        <v>188</v>
      </c>
      <c r="E105">
        <v>1</v>
      </c>
      <c r="F105">
        <v>151</v>
      </c>
      <c r="G105">
        <v>80</v>
      </c>
      <c r="H105">
        <v>2681</v>
      </c>
      <c r="I105">
        <v>0.99099033608956899</v>
      </c>
      <c r="J105">
        <v>0.99728819895371701</v>
      </c>
      <c r="K105">
        <v>0.22193708609271501</v>
      </c>
      <c r="L105" t="s">
        <v>273</v>
      </c>
      <c r="M105" t="str">
        <f>HYPERLINK("../../3.KEGG_map/SCI_I-vs-NC-Up/rno04660.html","rno04660")</f>
        <v>rno04660</v>
      </c>
    </row>
    <row r="106" spans="1:13" x14ac:dyDescent="0.25">
      <c r="A106" t="s">
        <v>346</v>
      </c>
      <c r="B106" t="s">
        <v>347</v>
      </c>
      <c r="C106" t="s">
        <v>150</v>
      </c>
      <c r="D106" t="s">
        <v>188</v>
      </c>
      <c r="E106">
        <v>1</v>
      </c>
      <c r="F106">
        <v>151</v>
      </c>
      <c r="G106">
        <v>58</v>
      </c>
      <c r="H106">
        <v>2681</v>
      </c>
      <c r="I106">
        <v>0.96661477930664097</v>
      </c>
      <c r="J106">
        <v>0.99728819895371701</v>
      </c>
      <c r="K106">
        <v>0.30612011874857298</v>
      </c>
      <c r="L106" t="s">
        <v>273</v>
      </c>
      <c r="M106" t="str">
        <f>HYPERLINK("../../3.KEGG_map/SCI_I-vs-NC-Up/rno04662.html","rno04662")</f>
        <v>rno04662</v>
      </c>
    </row>
    <row r="107" spans="1:13" x14ac:dyDescent="0.25">
      <c r="A107" t="s">
        <v>348</v>
      </c>
      <c r="B107" t="s">
        <v>349</v>
      </c>
      <c r="C107" t="s">
        <v>150</v>
      </c>
      <c r="D107" t="s">
        <v>188</v>
      </c>
      <c r="E107">
        <v>1</v>
      </c>
      <c r="F107">
        <v>151</v>
      </c>
      <c r="G107">
        <v>51</v>
      </c>
      <c r="H107">
        <v>2681</v>
      </c>
      <c r="I107">
        <v>0.94947336343327104</v>
      </c>
      <c r="J107">
        <v>0.99728819895371701</v>
      </c>
      <c r="K107">
        <v>0.34813660563563198</v>
      </c>
      <c r="L107" t="s">
        <v>203</v>
      </c>
      <c r="M107" t="str">
        <f>HYPERLINK("../../3.KEGG_map/SCI_I-vs-NC-Up/rno04666.html","rno04666")</f>
        <v>rno04666</v>
      </c>
    </row>
    <row r="108" spans="1:13" x14ac:dyDescent="0.25">
      <c r="A108" t="s">
        <v>350</v>
      </c>
      <c r="B108" t="s">
        <v>351</v>
      </c>
      <c r="C108" t="s">
        <v>123</v>
      </c>
      <c r="D108" t="s">
        <v>162</v>
      </c>
      <c r="E108">
        <v>3</v>
      </c>
      <c r="F108">
        <v>151</v>
      </c>
      <c r="G108">
        <v>65</v>
      </c>
      <c r="H108">
        <v>2681</v>
      </c>
      <c r="I108">
        <v>0.71963535991017402</v>
      </c>
      <c r="J108">
        <v>0.99728819895371701</v>
      </c>
      <c r="K108">
        <v>0.81946001018848702</v>
      </c>
      <c r="L108" t="s">
        <v>352</v>
      </c>
      <c r="M108" t="str">
        <f>HYPERLINK("../../3.KEGG_map/SCI_I-vs-NC-Up/rno04668.html","rno04668")</f>
        <v>rno04668</v>
      </c>
    </row>
    <row r="109" spans="1:13" x14ac:dyDescent="0.25">
      <c r="A109" t="s">
        <v>353</v>
      </c>
      <c r="B109" t="s">
        <v>354</v>
      </c>
      <c r="C109" t="s">
        <v>150</v>
      </c>
      <c r="D109" t="s">
        <v>188</v>
      </c>
      <c r="E109">
        <v>5</v>
      </c>
      <c r="F109">
        <v>151</v>
      </c>
      <c r="G109">
        <v>63</v>
      </c>
      <c r="H109">
        <v>2681</v>
      </c>
      <c r="I109">
        <v>0.27993055578534498</v>
      </c>
      <c r="J109">
        <v>0.99728819895371701</v>
      </c>
      <c r="K109">
        <v>1.4091243561442199</v>
      </c>
      <c r="L109" t="s">
        <v>355</v>
      </c>
      <c r="M109" t="str">
        <f>HYPERLINK("../../3.KEGG_map/SCI_I-vs-NC-Up/rno04670.html","rno04670")</f>
        <v>rno04670</v>
      </c>
    </row>
    <row r="110" spans="1:13" x14ac:dyDescent="0.25">
      <c r="A110" t="s">
        <v>356</v>
      </c>
      <c r="B110" t="s">
        <v>357</v>
      </c>
      <c r="C110" t="s">
        <v>150</v>
      </c>
      <c r="D110" t="s">
        <v>358</v>
      </c>
      <c r="E110">
        <v>1</v>
      </c>
      <c r="F110">
        <v>151</v>
      </c>
      <c r="G110">
        <v>9</v>
      </c>
      <c r="H110">
        <v>2681</v>
      </c>
      <c r="I110">
        <v>0.406986539315421</v>
      </c>
      <c r="J110">
        <v>0.99728819895371701</v>
      </c>
      <c r="K110">
        <v>1.97277409860191</v>
      </c>
      <c r="L110" t="s">
        <v>279</v>
      </c>
      <c r="M110" t="str">
        <f>HYPERLINK("../../3.KEGG_map/SCI_I-vs-NC-Up/rno04710.html","rno04710")</f>
        <v>rno04710</v>
      </c>
    </row>
    <row r="111" spans="1:13" x14ac:dyDescent="0.25">
      <c r="A111" t="s">
        <v>359</v>
      </c>
      <c r="B111" t="s">
        <v>360</v>
      </c>
      <c r="C111" t="s">
        <v>150</v>
      </c>
      <c r="D111" t="s">
        <v>358</v>
      </c>
      <c r="E111">
        <v>3</v>
      </c>
      <c r="F111">
        <v>151</v>
      </c>
      <c r="G111">
        <v>77</v>
      </c>
      <c r="H111">
        <v>2681</v>
      </c>
      <c r="I111">
        <v>0.81957847358101399</v>
      </c>
      <c r="J111">
        <v>0.99728819895371701</v>
      </c>
      <c r="K111">
        <v>0.69175195665261902</v>
      </c>
      <c r="L111" t="s">
        <v>361</v>
      </c>
      <c r="M111" t="str">
        <f>HYPERLINK("../../3.KEGG_map/SCI_I-vs-NC-Up/rno04713.html","rno04713")</f>
        <v>rno04713</v>
      </c>
    </row>
    <row r="112" spans="1:13" x14ac:dyDescent="0.25">
      <c r="A112" t="s">
        <v>362</v>
      </c>
      <c r="B112" t="s">
        <v>363</v>
      </c>
      <c r="C112" t="s">
        <v>150</v>
      </c>
      <c r="D112" t="s">
        <v>358</v>
      </c>
      <c r="E112">
        <v>4</v>
      </c>
      <c r="F112">
        <v>151</v>
      </c>
      <c r="G112">
        <v>74</v>
      </c>
      <c r="H112">
        <v>2681</v>
      </c>
      <c r="I112">
        <v>0.60794870512333499</v>
      </c>
      <c r="J112">
        <v>0.99728819895371701</v>
      </c>
      <c r="K112">
        <v>0.95972793986038996</v>
      </c>
      <c r="L112" t="s">
        <v>364</v>
      </c>
      <c r="M112" t="str">
        <f>HYPERLINK("../../3.KEGG_map/SCI_I-vs-NC-Up/rno04714.html","rno04714")</f>
        <v>rno04714</v>
      </c>
    </row>
    <row r="113" spans="1:13" x14ac:dyDescent="0.25">
      <c r="A113" t="s">
        <v>365</v>
      </c>
      <c r="B113" t="s">
        <v>366</v>
      </c>
      <c r="C113" t="s">
        <v>150</v>
      </c>
      <c r="D113" t="s">
        <v>367</v>
      </c>
      <c r="E113">
        <v>4</v>
      </c>
      <c r="F113">
        <v>151</v>
      </c>
      <c r="G113">
        <v>77</v>
      </c>
      <c r="H113">
        <v>2681</v>
      </c>
      <c r="I113">
        <v>0.63973938474321801</v>
      </c>
      <c r="J113">
        <v>0.99728819895371701</v>
      </c>
      <c r="K113">
        <v>0.92233594220349202</v>
      </c>
      <c r="L113" t="s">
        <v>368</v>
      </c>
      <c r="M113" t="str">
        <f>HYPERLINK("../../3.KEGG_map/SCI_I-vs-NC-Up/rno04720.html","rno04720")</f>
        <v>rno04720</v>
      </c>
    </row>
    <row r="114" spans="1:13" x14ac:dyDescent="0.25">
      <c r="A114" t="s">
        <v>369</v>
      </c>
      <c r="B114" t="s">
        <v>370</v>
      </c>
      <c r="C114" t="s">
        <v>150</v>
      </c>
      <c r="D114" t="s">
        <v>367</v>
      </c>
      <c r="E114">
        <v>6</v>
      </c>
      <c r="F114">
        <v>151</v>
      </c>
      <c r="G114">
        <v>90</v>
      </c>
      <c r="H114">
        <v>2681</v>
      </c>
      <c r="I114">
        <v>0.39647694640106101</v>
      </c>
      <c r="J114">
        <v>0.99728819895371701</v>
      </c>
      <c r="K114">
        <v>1.18366445916115</v>
      </c>
      <c r="L114" t="s">
        <v>371</v>
      </c>
      <c r="M114" t="str">
        <f>HYPERLINK("../../3.KEGG_map/SCI_I-vs-NC-Up/rno04722.html","rno04722")</f>
        <v>rno04722</v>
      </c>
    </row>
    <row r="115" spans="1:13" x14ac:dyDescent="0.25">
      <c r="A115" t="s">
        <v>372</v>
      </c>
      <c r="B115" t="s">
        <v>373</v>
      </c>
      <c r="C115" t="s">
        <v>150</v>
      </c>
      <c r="D115" t="s">
        <v>367</v>
      </c>
      <c r="E115">
        <v>3</v>
      </c>
      <c r="F115">
        <v>151</v>
      </c>
      <c r="G115">
        <v>54</v>
      </c>
      <c r="H115">
        <v>2681</v>
      </c>
      <c r="I115">
        <v>0.59498069144541499</v>
      </c>
      <c r="J115">
        <v>0.99728819895371701</v>
      </c>
      <c r="K115">
        <v>0.986387049300957</v>
      </c>
      <c r="L115" t="s">
        <v>374</v>
      </c>
      <c r="M115" t="str">
        <f>HYPERLINK("../../3.KEGG_map/SCI_I-vs-NC-Up/rno04723.html","rno04723")</f>
        <v>rno04723</v>
      </c>
    </row>
    <row r="116" spans="1:13" x14ac:dyDescent="0.25">
      <c r="A116" t="s">
        <v>375</v>
      </c>
      <c r="B116" t="s">
        <v>376</v>
      </c>
      <c r="C116" t="s">
        <v>150</v>
      </c>
      <c r="D116" t="s">
        <v>367</v>
      </c>
      <c r="E116">
        <v>5</v>
      </c>
      <c r="F116">
        <v>151</v>
      </c>
      <c r="G116">
        <v>77</v>
      </c>
      <c r="H116">
        <v>2681</v>
      </c>
      <c r="I116">
        <v>0.43933261826463199</v>
      </c>
      <c r="J116">
        <v>0.99728819895371701</v>
      </c>
      <c r="K116">
        <v>1.15291992775436</v>
      </c>
      <c r="L116" t="s">
        <v>377</v>
      </c>
      <c r="M116" t="str">
        <f>HYPERLINK("../../3.KEGG_map/SCI_I-vs-NC-Up/rno04724.html","rno04724")</f>
        <v>rno04724</v>
      </c>
    </row>
    <row r="117" spans="1:13" x14ac:dyDescent="0.25">
      <c r="A117" t="s">
        <v>378</v>
      </c>
      <c r="B117" t="s">
        <v>379</v>
      </c>
      <c r="C117" t="s">
        <v>150</v>
      </c>
      <c r="D117" t="s">
        <v>367</v>
      </c>
      <c r="E117">
        <v>4</v>
      </c>
      <c r="F117">
        <v>151</v>
      </c>
      <c r="G117">
        <v>61</v>
      </c>
      <c r="H117">
        <v>2681</v>
      </c>
      <c r="I117">
        <v>0.453131086688214</v>
      </c>
      <c r="J117">
        <v>0.99728819895371701</v>
      </c>
      <c r="K117">
        <v>1.1642601237650601</v>
      </c>
      <c r="L117" t="s">
        <v>380</v>
      </c>
      <c r="M117" t="str">
        <f>HYPERLINK("../../3.KEGG_map/SCI_I-vs-NC-Up/rno04725.html","rno04725")</f>
        <v>rno04725</v>
      </c>
    </row>
    <row r="118" spans="1:13" x14ac:dyDescent="0.25">
      <c r="A118" t="s">
        <v>381</v>
      </c>
      <c r="B118" t="s">
        <v>382</v>
      </c>
      <c r="C118" t="s">
        <v>150</v>
      </c>
      <c r="D118" t="s">
        <v>367</v>
      </c>
      <c r="E118">
        <v>4</v>
      </c>
      <c r="F118">
        <v>151</v>
      </c>
      <c r="G118">
        <v>59</v>
      </c>
      <c r="H118">
        <v>2681</v>
      </c>
      <c r="I118">
        <v>0.42744747857833998</v>
      </c>
      <c r="J118">
        <v>0.99728819895371701</v>
      </c>
      <c r="K118">
        <v>1.2037265686384599</v>
      </c>
      <c r="L118" t="s">
        <v>383</v>
      </c>
      <c r="M118" t="str">
        <f>HYPERLINK("../../3.KEGG_map/SCI_I-vs-NC-Up/rno04726.html","rno04726")</f>
        <v>rno04726</v>
      </c>
    </row>
    <row r="119" spans="1:13" x14ac:dyDescent="0.25">
      <c r="A119" t="s">
        <v>384</v>
      </c>
      <c r="B119" t="s">
        <v>385</v>
      </c>
      <c r="C119" t="s">
        <v>150</v>
      </c>
      <c r="D119" t="s">
        <v>367</v>
      </c>
      <c r="E119">
        <v>1</v>
      </c>
      <c r="F119">
        <v>151</v>
      </c>
      <c r="G119">
        <v>35</v>
      </c>
      <c r="H119">
        <v>2681</v>
      </c>
      <c r="I119">
        <v>0.87027434820393701</v>
      </c>
      <c r="J119">
        <v>0.99728819895371701</v>
      </c>
      <c r="K119">
        <v>0.50728476821192103</v>
      </c>
      <c r="L119" t="s">
        <v>386</v>
      </c>
      <c r="M119" t="str">
        <f>HYPERLINK("../../3.KEGG_map/SCI_I-vs-NC-Up/rno04727.html","rno04727")</f>
        <v>rno04727</v>
      </c>
    </row>
    <row r="120" spans="1:13" x14ac:dyDescent="0.25">
      <c r="A120" t="s">
        <v>387</v>
      </c>
      <c r="B120" t="s">
        <v>388</v>
      </c>
      <c r="C120" t="s">
        <v>150</v>
      </c>
      <c r="D120" t="s">
        <v>367</v>
      </c>
      <c r="E120">
        <v>5</v>
      </c>
      <c r="F120">
        <v>151</v>
      </c>
      <c r="G120">
        <v>85</v>
      </c>
      <c r="H120">
        <v>2681</v>
      </c>
      <c r="I120">
        <v>0.52783019685710797</v>
      </c>
      <c r="J120">
        <v>0.99728819895371701</v>
      </c>
      <c r="K120">
        <v>1.0444098169069</v>
      </c>
      <c r="L120" t="s">
        <v>389</v>
      </c>
      <c r="M120" t="str">
        <f>HYPERLINK("../../3.KEGG_map/SCI_I-vs-NC-Up/rno04728.html","rno04728")</f>
        <v>rno04728</v>
      </c>
    </row>
    <row r="121" spans="1:13" x14ac:dyDescent="0.25">
      <c r="A121" t="s">
        <v>390</v>
      </c>
      <c r="B121" t="s">
        <v>391</v>
      </c>
      <c r="C121" t="s">
        <v>150</v>
      </c>
      <c r="D121" t="s">
        <v>367</v>
      </c>
      <c r="E121">
        <v>2</v>
      </c>
      <c r="F121">
        <v>151</v>
      </c>
      <c r="G121">
        <v>48</v>
      </c>
      <c r="H121">
        <v>2681</v>
      </c>
      <c r="I121">
        <v>0.76358310338226898</v>
      </c>
      <c r="J121">
        <v>0.99728819895371701</v>
      </c>
      <c r="K121">
        <v>0.73979028697571703</v>
      </c>
      <c r="L121" t="s">
        <v>392</v>
      </c>
      <c r="M121" t="str">
        <f>HYPERLINK("../../3.KEGG_map/SCI_I-vs-NC-Up/rno04730.html","rno04730")</f>
        <v>rno04730</v>
      </c>
    </row>
    <row r="122" spans="1:13" x14ac:dyDescent="0.25">
      <c r="A122" t="s">
        <v>393</v>
      </c>
      <c r="B122" t="s">
        <v>394</v>
      </c>
      <c r="C122" t="s">
        <v>150</v>
      </c>
      <c r="D122" t="s">
        <v>395</v>
      </c>
      <c r="E122">
        <v>1</v>
      </c>
      <c r="F122">
        <v>151</v>
      </c>
      <c r="G122">
        <v>8</v>
      </c>
      <c r="H122">
        <v>2681</v>
      </c>
      <c r="I122">
        <v>0.37148097525381502</v>
      </c>
      <c r="J122">
        <v>0.99728819895371701</v>
      </c>
      <c r="K122">
        <v>2.2193708609271501</v>
      </c>
      <c r="L122" t="s">
        <v>386</v>
      </c>
      <c r="M122" t="str">
        <f>HYPERLINK("../../3.KEGG_map/SCI_I-vs-NC-Up/rno04742.html","rno04742")</f>
        <v>rno04742</v>
      </c>
    </row>
    <row r="123" spans="1:13" x14ac:dyDescent="0.25">
      <c r="A123" t="s">
        <v>396</v>
      </c>
      <c r="B123" t="s">
        <v>397</v>
      </c>
      <c r="C123" t="s">
        <v>150</v>
      </c>
      <c r="D123" t="s">
        <v>395</v>
      </c>
      <c r="E123">
        <v>3</v>
      </c>
      <c r="F123">
        <v>151</v>
      </c>
      <c r="G123">
        <v>52</v>
      </c>
      <c r="H123">
        <v>2681</v>
      </c>
      <c r="I123">
        <v>0.56886286608284697</v>
      </c>
      <c r="J123">
        <v>0.99728819895371701</v>
      </c>
      <c r="K123">
        <v>1.0243250127356101</v>
      </c>
      <c r="L123" t="s">
        <v>398</v>
      </c>
      <c r="M123" t="str">
        <f>HYPERLINK("../../3.KEGG_map/SCI_I-vs-NC-Up/rno04750.html","rno04750")</f>
        <v>rno04750</v>
      </c>
    </row>
    <row r="124" spans="1:13" x14ac:dyDescent="0.25">
      <c r="A124" t="s">
        <v>399</v>
      </c>
      <c r="B124" t="s">
        <v>400</v>
      </c>
      <c r="C124" t="s">
        <v>206</v>
      </c>
      <c r="D124" t="s">
        <v>401</v>
      </c>
      <c r="E124">
        <v>16</v>
      </c>
      <c r="F124">
        <v>151</v>
      </c>
      <c r="G124">
        <v>174</v>
      </c>
      <c r="H124">
        <v>2681</v>
      </c>
      <c r="I124">
        <v>3.2518839874950099E-2</v>
      </c>
      <c r="J124">
        <v>0.67379569722592303</v>
      </c>
      <c r="K124">
        <v>1.63264063332572</v>
      </c>
      <c r="L124" t="s">
        <v>402</v>
      </c>
      <c r="M124" t="str">
        <f>HYPERLINK("../../3.KEGG_map/SCI_I-vs-NC-Up/rno04810.html","rno04810")</f>
        <v>rno04810</v>
      </c>
    </row>
    <row r="125" spans="1:13" x14ac:dyDescent="0.25">
      <c r="A125" t="s">
        <v>403</v>
      </c>
      <c r="B125" t="s">
        <v>404</v>
      </c>
      <c r="C125" t="s">
        <v>150</v>
      </c>
      <c r="D125" t="s">
        <v>151</v>
      </c>
      <c r="E125">
        <v>1</v>
      </c>
      <c r="F125">
        <v>151</v>
      </c>
      <c r="G125">
        <v>100</v>
      </c>
      <c r="H125">
        <v>2681</v>
      </c>
      <c r="I125">
        <v>0.99728819895371701</v>
      </c>
      <c r="J125">
        <v>0.99728819895371701</v>
      </c>
      <c r="K125">
        <v>0.17754966887417201</v>
      </c>
      <c r="L125" t="s">
        <v>405</v>
      </c>
      <c r="M125" t="str">
        <f>HYPERLINK("../../3.KEGG_map/SCI_I-vs-NC-Up/rno04910.html","rno04910")</f>
        <v>rno04910</v>
      </c>
    </row>
    <row r="126" spans="1:13" x14ac:dyDescent="0.25">
      <c r="A126" t="s">
        <v>406</v>
      </c>
      <c r="B126" t="s">
        <v>407</v>
      </c>
      <c r="C126" t="s">
        <v>150</v>
      </c>
      <c r="D126" t="s">
        <v>151</v>
      </c>
      <c r="E126">
        <v>3</v>
      </c>
      <c r="F126">
        <v>151</v>
      </c>
      <c r="G126">
        <v>56</v>
      </c>
      <c r="H126">
        <v>2681</v>
      </c>
      <c r="I126">
        <v>0.62006255614871597</v>
      </c>
      <c r="J126">
        <v>0.99728819895371701</v>
      </c>
      <c r="K126">
        <v>0.95115894039735105</v>
      </c>
      <c r="L126" t="s">
        <v>408</v>
      </c>
      <c r="M126" t="str">
        <f>HYPERLINK("../../3.KEGG_map/SCI_I-vs-NC-Up/rno04911.html","rno04911")</f>
        <v>rno04911</v>
      </c>
    </row>
    <row r="127" spans="1:13" x14ac:dyDescent="0.25">
      <c r="A127" t="s">
        <v>409</v>
      </c>
      <c r="B127" t="s">
        <v>410</v>
      </c>
      <c r="C127" t="s">
        <v>150</v>
      </c>
      <c r="D127" t="s">
        <v>151</v>
      </c>
      <c r="E127">
        <v>4</v>
      </c>
      <c r="F127">
        <v>151</v>
      </c>
      <c r="G127">
        <v>83</v>
      </c>
      <c r="H127">
        <v>2681</v>
      </c>
      <c r="I127">
        <v>0.69816784883485095</v>
      </c>
      <c r="J127">
        <v>0.99728819895371701</v>
      </c>
      <c r="K127">
        <v>0.85566105481528798</v>
      </c>
      <c r="L127" t="s">
        <v>411</v>
      </c>
      <c r="M127" t="str">
        <f>HYPERLINK("../../3.KEGG_map/SCI_I-vs-NC-Up/rno04912.html","rno04912")</f>
        <v>rno04912</v>
      </c>
    </row>
    <row r="128" spans="1:13" x14ac:dyDescent="0.25">
      <c r="A128" t="s">
        <v>412</v>
      </c>
      <c r="B128" t="s">
        <v>413</v>
      </c>
      <c r="C128" t="s">
        <v>150</v>
      </c>
      <c r="D128" t="s">
        <v>151</v>
      </c>
      <c r="E128">
        <v>1</v>
      </c>
      <c r="F128">
        <v>151</v>
      </c>
      <c r="G128">
        <v>19</v>
      </c>
      <c r="H128">
        <v>2681</v>
      </c>
      <c r="I128">
        <v>0.668877031686263</v>
      </c>
      <c r="J128">
        <v>0.99728819895371701</v>
      </c>
      <c r="K128">
        <v>0.93447194144301104</v>
      </c>
      <c r="L128" t="s">
        <v>414</v>
      </c>
      <c r="M128" t="str">
        <f>HYPERLINK("../../3.KEGG_map/SCI_I-vs-NC-Up/rno04913.html","rno04913")</f>
        <v>rno04913</v>
      </c>
    </row>
    <row r="129" spans="1:13" x14ac:dyDescent="0.25">
      <c r="A129" t="s">
        <v>415</v>
      </c>
      <c r="B129" t="s">
        <v>416</v>
      </c>
      <c r="C129" t="s">
        <v>150</v>
      </c>
      <c r="D129" t="s">
        <v>151</v>
      </c>
      <c r="E129">
        <v>5</v>
      </c>
      <c r="F129">
        <v>151</v>
      </c>
      <c r="G129">
        <v>67</v>
      </c>
      <c r="H129">
        <v>2681</v>
      </c>
      <c r="I129">
        <v>0.32494989437739202</v>
      </c>
      <c r="J129">
        <v>0.99728819895371701</v>
      </c>
      <c r="K129">
        <v>1.3249975289117299</v>
      </c>
      <c r="L129" t="s">
        <v>417</v>
      </c>
      <c r="M129" t="str">
        <f>HYPERLINK("../../3.KEGG_map/SCI_I-vs-NC-Up/rno04915.html","rno04915")</f>
        <v>rno04915</v>
      </c>
    </row>
    <row r="130" spans="1:13" x14ac:dyDescent="0.25">
      <c r="A130" t="s">
        <v>418</v>
      </c>
      <c r="B130" t="s">
        <v>419</v>
      </c>
      <c r="C130" t="s">
        <v>150</v>
      </c>
      <c r="D130" t="s">
        <v>151</v>
      </c>
      <c r="E130">
        <v>2</v>
      </c>
      <c r="F130">
        <v>151</v>
      </c>
      <c r="G130">
        <v>48</v>
      </c>
      <c r="H130">
        <v>2681</v>
      </c>
      <c r="I130">
        <v>0.76358310338226898</v>
      </c>
      <c r="J130">
        <v>0.99728819895371701</v>
      </c>
      <c r="K130">
        <v>0.73979028697571703</v>
      </c>
      <c r="L130" t="s">
        <v>420</v>
      </c>
      <c r="M130" t="str">
        <f>HYPERLINK("../../3.KEGG_map/SCI_I-vs-NC-Up/rno04916.html","rno04916")</f>
        <v>rno04916</v>
      </c>
    </row>
    <row r="131" spans="1:13" x14ac:dyDescent="0.25">
      <c r="A131" t="s">
        <v>421</v>
      </c>
      <c r="B131" t="s">
        <v>422</v>
      </c>
      <c r="C131" t="s">
        <v>150</v>
      </c>
      <c r="D131" t="s">
        <v>151</v>
      </c>
      <c r="E131">
        <v>3</v>
      </c>
      <c r="F131">
        <v>151</v>
      </c>
      <c r="G131">
        <v>46</v>
      </c>
      <c r="H131">
        <v>2681</v>
      </c>
      <c r="I131">
        <v>0.48476894716987201</v>
      </c>
      <c r="J131">
        <v>0.99728819895371701</v>
      </c>
      <c r="K131">
        <v>1.1579326230924301</v>
      </c>
      <c r="L131" t="s">
        <v>423</v>
      </c>
      <c r="M131" t="str">
        <f>HYPERLINK("../../3.KEGG_map/SCI_I-vs-NC-Up/rno04918.html","rno04918")</f>
        <v>rno04918</v>
      </c>
    </row>
    <row r="132" spans="1:13" x14ac:dyDescent="0.25">
      <c r="A132" t="s">
        <v>424</v>
      </c>
      <c r="B132" t="s">
        <v>425</v>
      </c>
      <c r="C132" t="s">
        <v>150</v>
      </c>
      <c r="D132" t="s">
        <v>151</v>
      </c>
      <c r="E132">
        <v>2</v>
      </c>
      <c r="F132">
        <v>151</v>
      </c>
      <c r="G132">
        <v>88</v>
      </c>
      <c r="H132">
        <v>2681</v>
      </c>
      <c r="I132">
        <v>0.96406988611958999</v>
      </c>
      <c r="J132">
        <v>0.99728819895371701</v>
      </c>
      <c r="K132">
        <v>0.40352197471402801</v>
      </c>
      <c r="L132" t="s">
        <v>426</v>
      </c>
      <c r="M132" t="str">
        <f>HYPERLINK("../../3.KEGG_map/SCI_I-vs-NC-Up/rno04919.html","rno04919")</f>
        <v>rno04919</v>
      </c>
    </row>
    <row r="133" spans="1:13" x14ac:dyDescent="0.25">
      <c r="A133" t="s">
        <v>427</v>
      </c>
      <c r="B133" t="s">
        <v>428</v>
      </c>
      <c r="C133" t="s">
        <v>150</v>
      </c>
      <c r="D133" t="s">
        <v>151</v>
      </c>
      <c r="E133">
        <v>6</v>
      </c>
      <c r="F133">
        <v>151</v>
      </c>
      <c r="G133">
        <v>140</v>
      </c>
      <c r="H133">
        <v>2681</v>
      </c>
      <c r="I133">
        <v>0.81324564112197595</v>
      </c>
      <c r="J133">
        <v>0.99728819895371701</v>
      </c>
      <c r="K133">
        <v>0.76092715231788099</v>
      </c>
      <c r="L133" t="s">
        <v>429</v>
      </c>
      <c r="M133" t="str">
        <f>HYPERLINK("../../3.KEGG_map/SCI_I-vs-NC-Up/rno04921.html","rno04921")</f>
        <v>rno04921</v>
      </c>
    </row>
    <row r="134" spans="1:13" x14ac:dyDescent="0.25">
      <c r="A134" t="s">
        <v>430</v>
      </c>
      <c r="B134" t="s">
        <v>431</v>
      </c>
      <c r="C134" t="s">
        <v>150</v>
      </c>
      <c r="D134" t="s">
        <v>151</v>
      </c>
      <c r="E134">
        <v>4</v>
      </c>
      <c r="F134">
        <v>151</v>
      </c>
      <c r="G134">
        <v>88</v>
      </c>
      <c r="H134">
        <v>2681</v>
      </c>
      <c r="I134">
        <v>0.74148556196529303</v>
      </c>
      <c r="J134">
        <v>0.99728819895371701</v>
      </c>
      <c r="K134">
        <v>0.80704394942805502</v>
      </c>
      <c r="L134" t="s">
        <v>432</v>
      </c>
      <c r="M134" t="str">
        <f>HYPERLINK("../../3.KEGG_map/SCI_I-vs-NC-Up/rno04922.html","rno04922")</f>
        <v>rno04922</v>
      </c>
    </row>
    <row r="135" spans="1:13" x14ac:dyDescent="0.25">
      <c r="A135" t="s">
        <v>433</v>
      </c>
      <c r="B135" t="s">
        <v>434</v>
      </c>
      <c r="C135" t="s">
        <v>150</v>
      </c>
      <c r="D135" t="s">
        <v>151</v>
      </c>
      <c r="E135">
        <v>3</v>
      </c>
      <c r="F135">
        <v>151</v>
      </c>
      <c r="G135">
        <v>65</v>
      </c>
      <c r="H135">
        <v>2681</v>
      </c>
      <c r="I135">
        <v>0.71963535991017402</v>
      </c>
      <c r="J135">
        <v>0.99728819895371701</v>
      </c>
      <c r="K135">
        <v>0.81946001018848702</v>
      </c>
      <c r="L135" t="s">
        <v>374</v>
      </c>
      <c r="M135" t="str">
        <f>HYPERLINK("../../3.KEGG_map/SCI_I-vs-NC-Up/rno04924.html","rno04924")</f>
        <v>rno04924</v>
      </c>
    </row>
    <row r="136" spans="1:13" x14ac:dyDescent="0.25">
      <c r="A136" t="s">
        <v>435</v>
      </c>
      <c r="B136" t="s">
        <v>436</v>
      </c>
      <c r="C136" t="s">
        <v>150</v>
      </c>
      <c r="D136" t="s">
        <v>151</v>
      </c>
      <c r="E136">
        <v>6</v>
      </c>
      <c r="F136">
        <v>151</v>
      </c>
      <c r="G136">
        <v>62</v>
      </c>
      <c r="H136">
        <v>2681</v>
      </c>
      <c r="I136">
        <v>0.133064058373635</v>
      </c>
      <c r="J136">
        <v>0.99322815000320797</v>
      </c>
      <c r="K136">
        <v>1.7182226020081199</v>
      </c>
      <c r="L136" t="s">
        <v>437</v>
      </c>
      <c r="M136" t="str">
        <f>HYPERLINK("../../3.KEGG_map/SCI_I-vs-NC-Up/rno04925.html","rno04925")</f>
        <v>rno04925</v>
      </c>
    </row>
    <row r="137" spans="1:13" x14ac:dyDescent="0.25">
      <c r="A137" t="s">
        <v>438</v>
      </c>
      <c r="B137" t="s">
        <v>439</v>
      </c>
      <c r="C137" t="s">
        <v>150</v>
      </c>
      <c r="D137" t="s">
        <v>151</v>
      </c>
      <c r="E137">
        <v>9</v>
      </c>
      <c r="F137">
        <v>151</v>
      </c>
      <c r="G137">
        <v>104</v>
      </c>
      <c r="H137">
        <v>2681</v>
      </c>
      <c r="I137">
        <v>0.12796430159001099</v>
      </c>
      <c r="J137">
        <v>0.99053848267822997</v>
      </c>
      <c r="K137">
        <v>1.53648751910341</v>
      </c>
      <c r="L137" t="s">
        <v>440</v>
      </c>
      <c r="M137" t="str">
        <f>HYPERLINK("../../3.KEGG_map/SCI_I-vs-NC-Up/rno04926.html","rno04926")</f>
        <v>rno04926</v>
      </c>
    </row>
    <row r="138" spans="1:13" x14ac:dyDescent="0.25">
      <c r="A138" t="s">
        <v>441</v>
      </c>
      <c r="B138" t="s">
        <v>442</v>
      </c>
      <c r="C138" t="s">
        <v>150</v>
      </c>
      <c r="D138" t="s">
        <v>151</v>
      </c>
      <c r="E138">
        <v>5</v>
      </c>
      <c r="F138">
        <v>151</v>
      </c>
      <c r="G138">
        <v>49</v>
      </c>
      <c r="H138">
        <v>2681</v>
      </c>
      <c r="I138">
        <v>0.13867058675576999</v>
      </c>
      <c r="J138">
        <v>0.99728819895371701</v>
      </c>
      <c r="K138">
        <v>1.81173131504257</v>
      </c>
      <c r="L138" t="s">
        <v>443</v>
      </c>
      <c r="M138" t="str">
        <f>HYPERLINK("../../3.KEGG_map/SCI_I-vs-NC-Up/rno04927.html","rno04927")</f>
        <v>rno04927</v>
      </c>
    </row>
    <row r="139" spans="1:13" x14ac:dyDescent="0.25">
      <c r="A139" t="s">
        <v>444</v>
      </c>
      <c r="B139" t="s">
        <v>445</v>
      </c>
      <c r="C139" t="s">
        <v>115</v>
      </c>
      <c r="D139" t="s">
        <v>446</v>
      </c>
      <c r="E139">
        <v>1</v>
      </c>
      <c r="F139">
        <v>151</v>
      </c>
      <c r="G139">
        <v>18</v>
      </c>
      <c r="H139">
        <v>2681</v>
      </c>
      <c r="I139">
        <v>0.64897274497632196</v>
      </c>
      <c r="J139">
        <v>0.99728819895371701</v>
      </c>
      <c r="K139">
        <v>0.986387049300957</v>
      </c>
      <c r="L139" t="s">
        <v>386</v>
      </c>
      <c r="M139" t="str">
        <f>HYPERLINK("../../3.KEGG_map/SCI_I-vs-NC-Up/rno04930.html","rno04930")</f>
        <v>rno04930</v>
      </c>
    </row>
    <row r="140" spans="1:13" x14ac:dyDescent="0.25">
      <c r="A140" t="s">
        <v>447</v>
      </c>
      <c r="B140" t="s">
        <v>448</v>
      </c>
      <c r="C140" t="s">
        <v>115</v>
      </c>
      <c r="D140" t="s">
        <v>446</v>
      </c>
      <c r="E140">
        <v>2</v>
      </c>
      <c r="F140">
        <v>151</v>
      </c>
      <c r="G140">
        <v>51</v>
      </c>
      <c r="H140">
        <v>2681</v>
      </c>
      <c r="I140">
        <v>0.79257593270731297</v>
      </c>
      <c r="J140">
        <v>0.99728819895371701</v>
      </c>
      <c r="K140">
        <v>0.69627321127126296</v>
      </c>
      <c r="L140" t="s">
        <v>449</v>
      </c>
      <c r="M140" t="str">
        <f>HYPERLINK("../../3.KEGG_map/SCI_I-vs-NC-Up/rno04931.html","rno04931")</f>
        <v>rno04931</v>
      </c>
    </row>
    <row r="141" spans="1:13" x14ac:dyDescent="0.25">
      <c r="A141" t="s">
        <v>450</v>
      </c>
      <c r="B141" t="s">
        <v>451</v>
      </c>
      <c r="C141" t="s">
        <v>115</v>
      </c>
      <c r="D141" t="s">
        <v>446</v>
      </c>
      <c r="E141">
        <v>2</v>
      </c>
      <c r="F141">
        <v>151</v>
      </c>
      <c r="G141">
        <v>59</v>
      </c>
      <c r="H141">
        <v>2681</v>
      </c>
      <c r="I141">
        <v>0.85514403480323498</v>
      </c>
      <c r="J141">
        <v>0.99728819895371701</v>
      </c>
      <c r="K141">
        <v>0.60186328431922798</v>
      </c>
      <c r="L141" t="s">
        <v>452</v>
      </c>
      <c r="M141" t="str">
        <f>HYPERLINK("../../3.KEGG_map/SCI_I-vs-NC-Up/rno04932.html","rno04932")</f>
        <v>rno04932</v>
      </c>
    </row>
    <row r="142" spans="1:13" x14ac:dyDescent="0.25">
      <c r="A142" t="s">
        <v>453</v>
      </c>
      <c r="B142" t="s">
        <v>454</v>
      </c>
      <c r="C142" t="s">
        <v>115</v>
      </c>
      <c r="D142" t="s">
        <v>446</v>
      </c>
      <c r="E142">
        <v>8</v>
      </c>
      <c r="F142">
        <v>151</v>
      </c>
      <c r="G142">
        <v>94</v>
      </c>
      <c r="H142">
        <v>2681</v>
      </c>
      <c r="I142">
        <v>0.156338824328006</v>
      </c>
      <c r="J142">
        <v>0.99728819895371701</v>
      </c>
      <c r="K142">
        <v>1.51106101169508</v>
      </c>
      <c r="L142" t="s">
        <v>455</v>
      </c>
      <c r="M142" t="str">
        <f>HYPERLINK("../../3.KEGG_map/SCI_I-vs-NC-Up/rno04933.html","rno04933")</f>
        <v>rno04933</v>
      </c>
    </row>
    <row r="143" spans="1:13" x14ac:dyDescent="0.25">
      <c r="A143" t="s">
        <v>456</v>
      </c>
      <c r="B143" t="s">
        <v>457</v>
      </c>
      <c r="C143" t="s">
        <v>115</v>
      </c>
      <c r="D143" t="s">
        <v>446</v>
      </c>
      <c r="E143">
        <v>7</v>
      </c>
      <c r="F143">
        <v>151</v>
      </c>
      <c r="G143">
        <v>79</v>
      </c>
      <c r="H143">
        <v>2681</v>
      </c>
      <c r="I143">
        <v>0.15372062752492799</v>
      </c>
      <c r="J143">
        <v>0.99728819895371701</v>
      </c>
      <c r="K143">
        <v>1.5732249140749399</v>
      </c>
      <c r="L143" t="s">
        <v>458</v>
      </c>
      <c r="M143" t="str">
        <f>HYPERLINK("../../3.KEGG_map/SCI_I-vs-NC-Up/rno04934.html","rno04934")</f>
        <v>rno04934</v>
      </c>
    </row>
    <row r="144" spans="1:13" x14ac:dyDescent="0.25">
      <c r="A144" t="s">
        <v>459</v>
      </c>
      <c r="B144" t="s">
        <v>460</v>
      </c>
      <c r="C144" t="s">
        <v>115</v>
      </c>
      <c r="D144" t="s">
        <v>446</v>
      </c>
      <c r="E144">
        <v>1</v>
      </c>
      <c r="F144">
        <v>151</v>
      </c>
      <c r="G144">
        <v>15</v>
      </c>
      <c r="H144">
        <v>2681</v>
      </c>
      <c r="I144">
        <v>0.58184560520572104</v>
      </c>
      <c r="J144">
        <v>0.99728819895371701</v>
      </c>
      <c r="K144">
        <v>1.18366445916115</v>
      </c>
      <c r="L144" t="s">
        <v>461</v>
      </c>
      <c r="M144" t="str">
        <f>HYPERLINK("../../3.KEGG_map/SCI_I-vs-NC-Up/rno04940.html","rno04940")</f>
        <v>rno04940</v>
      </c>
    </row>
    <row r="145" spans="1:13" x14ac:dyDescent="0.25">
      <c r="A145" t="s">
        <v>462</v>
      </c>
      <c r="B145" t="s">
        <v>463</v>
      </c>
      <c r="C145" t="s">
        <v>150</v>
      </c>
      <c r="D145" t="s">
        <v>464</v>
      </c>
      <c r="E145">
        <v>3</v>
      </c>
      <c r="F145">
        <v>151</v>
      </c>
      <c r="G145">
        <v>39</v>
      </c>
      <c r="H145">
        <v>2681</v>
      </c>
      <c r="I145">
        <v>0.37812855852431998</v>
      </c>
      <c r="J145">
        <v>0.99728819895371701</v>
      </c>
      <c r="K145">
        <v>1.36576668364748</v>
      </c>
      <c r="L145" t="s">
        <v>465</v>
      </c>
      <c r="M145" t="str">
        <f>HYPERLINK("../../3.KEGG_map/SCI_I-vs-NC-Up/rno04961.html","rno04961")</f>
        <v>rno04961</v>
      </c>
    </row>
    <row r="146" spans="1:13" x14ac:dyDescent="0.25">
      <c r="A146" t="s">
        <v>466</v>
      </c>
      <c r="B146" t="s">
        <v>467</v>
      </c>
      <c r="C146" t="s">
        <v>150</v>
      </c>
      <c r="D146" t="s">
        <v>464</v>
      </c>
      <c r="E146">
        <v>4</v>
      </c>
      <c r="F146">
        <v>151</v>
      </c>
      <c r="G146">
        <v>13</v>
      </c>
      <c r="H146">
        <v>2681</v>
      </c>
      <c r="I146">
        <v>4.6366658163127603E-3</v>
      </c>
      <c r="J146">
        <v>0.33871350013852503</v>
      </c>
      <c r="K146">
        <v>5.4630667345899102</v>
      </c>
      <c r="L146" t="s">
        <v>468</v>
      </c>
      <c r="M146" t="str">
        <f>HYPERLINK("../../3.KEGG_map/SCI_I-vs-NC-Up/rno04962.html","rno04962")</f>
        <v>rno04962</v>
      </c>
    </row>
    <row r="147" spans="1:13" x14ac:dyDescent="0.25">
      <c r="A147" t="s">
        <v>469</v>
      </c>
      <c r="B147" t="s">
        <v>470</v>
      </c>
      <c r="C147" t="s">
        <v>150</v>
      </c>
      <c r="D147" t="s">
        <v>471</v>
      </c>
      <c r="E147">
        <v>4</v>
      </c>
      <c r="F147">
        <v>151</v>
      </c>
      <c r="G147">
        <v>67</v>
      </c>
      <c r="H147">
        <v>2681</v>
      </c>
      <c r="I147">
        <v>0.52764258738403902</v>
      </c>
      <c r="J147">
        <v>0.99728819895371701</v>
      </c>
      <c r="K147">
        <v>1.05999802312939</v>
      </c>
      <c r="L147" t="s">
        <v>472</v>
      </c>
      <c r="M147" t="str">
        <f>HYPERLINK("../../3.KEGG_map/SCI_I-vs-NC-Up/rno04970.html","rno04970")</f>
        <v>rno04970</v>
      </c>
    </row>
    <row r="148" spans="1:13" x14ac:dyDescent="0.25">
      <c r="A148" t="s">
        <v>473</v>
      </c>
      <c r="B148" t="s">
        <v>474</v>
      </c>
      <c r="C148" t="s">
        <v>150</v>
      </c>
      <c r="D148" t="s">
        <v>471</v>
      </c>
      <c r="E148">
        <v>3</v>
      </c>
      <c r="F148">
        <v>151</v>
      </c>
      <c r="G148">
        <v>49</v>
      </c>
      <c r="H148">
        <v>2681</v>
      </c>
      <c r="I148">
        <v>0.52783539136985902</v>
      </c>
      <c r="J148">
        <v>0.99728819895371701</v>
      </c>
      <c r="K148">
        <v>1.08703878902554</v>
      </c>
      <c r="L148" t="s">
        <v>475</v>
      </c>
      <c r="M148" t="str">
        <f>HYPERLINK("../../3.KEGG_map/SCI_I-vs-NC-Up/rno04971.html","rno04971")</f>
        <v>rno04971</v>
      </c>
    </row>
    <row r="149" spans="1:13" x14ac:dyDescent="0.25">
      <c r="A149" t="s">
        <v>476</v>
      </c>
      <c r="B149" t="s">
        <v>477</v>
      </c>
      <c r="C149" t="s">
        <v>150</v>
      </c>
      <c r="D149" t="s">
        <v>471</v>
      </c>
      <c r="E149">
        <v>5</v>
      </c>
      <c r="F149">
        <v>151</v>
      </c>
      <c r="G149">
        <v>55</v>
      </c>
      <c r="H149">
        <v>2681</v>
      </c>
      <c r="I149">
        <v>0.19501165368864001</v>
      </c>
      <c r="J149">
        <v>0.99728819895371701</v>
      </c>
      <c r="K149">
        <v>1.61408789885611</v>
      </c>
      <c r="L149" t="s">
        <v>478</v>
      </c>
      <c r="M149" t="str">
        <f>HYPERLINK("../../3.KEGG_map/SCI_I-vs-NC-Up/rno04972.html","rno04972")</f>
        <v>rno04972</v>
      </c>
    </row>
    <row r="150" spans="1:13" x14ac:dyDescent="0.25">
      <c r="A150" t="s">
        <v>479</v>
      </c>
      <c r="B150" t="s">
        <v>480</v>
      </c>
      <c r="C150" t="s">
        <v>150</v>
      </c>
      <c r="D150" t="s">
        <v>471</v>
      </c>
      <c r="E150">
        <v>8</v>
      </c>
      <c r="F150">
        <v>151</v>
      </c>
      <c r="G150">
        <v>58</v>
      </c>
      <c r="H150">
        <v>2681</v>
      </c>
      <c r="I150">
        <v>1.45611266232259E-2</v>
      </c>
      <c r="J150">
        <v>0.50721257737570302</v>
      </c>
      <c r="K150">
        <v>2.4489609499885798</v>
      </c>
      <c r="L150" t="s">
        <v>481</v>
      </c>
      <c r="M150" t="str">
        <f>HYPERLINK("../../3.KEGG_map/SCI_I-vs-NC-Up/rno04974.html","rno04974")</f>
        <v>rno04974</v>
      </c>
    </row>
    <row r="151" spans="1:13" x14ac:dyDescent="0.25">
      <c r="A151" t="s">
        <v>482</v>
      </c>
      <c r="B151" t="s">
        <v>483</v>
      </c>
      <c r="C151" t="s">
        <v>150</v>
      </c>
      <c r="D151" t="s">
        <v>471</v>
      </c>
      <c r="E151">
        <v>1</v>
      </c>
      <c r="F151">
        <v>151</v>
      </c>
      <c r="G151">
        <v>8</v>
      </c>
      <c r="H151">
        <v>2681</v>
      </c>
      <c r="I151">
        <v>0.37148097525381502</v>
      </c>
      <c r="J151">
        <v>0.99728819895371701</v>
      </c>
      <c r="K151">
        <v>2.2193708609271501</v>
      </c>
      <c r="L151" t="s">
        <v>484</v>
      </c>
      <c r="M151" t="str">
        <f>HYPERLINK("../../3.KEGG_map/SCI_I-vs-NC-Up/rno04977.html","rno04977")</f>
        <v>rno04977</v>
      </c>
    </row>
    <row r="152" spans="1:13" x14ac:dyDescent="0.25">
      <c r="A152" t="s">
        <v>485</v>
      </c>
      <c r="B152" t="s">
        <v>486</v>
      </c>
      <c r="C152" t="s">
        <v>150</v>
      </c>
      <c r="D152" t="s">
        <v>471</v>
      </c>
      <c r="E152">
        <v>2</v>
      </c>
      <c r="F152">
        <v>151</v>
      </c>
      <c r="G152">
        <v>11</v>
      </c>
      <c r="H152">
        <v>2681</v>
      </c>
      <c r="I152">
        <v>0.124195398140382</v>
      </c>
      <c r="J152">
        <v>0.99053848267822997</v>
      </c>
      <c r="K152">
        <v>3.2281757977122201</v>
      </c>
      <c r="L152" t="s">
        <v>487</v>
      </c>
      <c r="M152" t="str">
        <f>HYPERLINK("../../3.KEGG_map/SCI_I-vs-NC-Up/rno04978.html","rno04978")</f>
        <v>rno04978</v>
      </c>
    </row>
    <row r="153" spans="1:13" x14ac:dyDescent="0.25">
      <c r="A153" t="s">
        <v>488</v>
      </c>
      <c r="B153" t="s">
        <v>489</v>
      </c>
      <c r="C153" t="s">
        <v>115</v>
      </c>
      <c r="D153" t="s">
        <v>490</v>
      </c>
      <c r="E153">
        <v>3</v>
      </c>
      <c r="F153">
        <v>151</v>
      </c>
      <c r="G153">
        <v>92</v>
      </c>
      <c r="H153">
        <v>2681</v>
      </c>
      <c r="I153">
        <v>0.90069415086091398</v>
      </c>
      <c r="J153">
        <v>0.99728819895371701</v>
      </c>
      <c r="K153">
        <v>0.57896631154621403</v>
      </c>
      <c r="L153" t="s">
        <v>374</v>
      </c>
      <c r="M153" t="str">
        <f>HYPERLINK("../../3.KEGG_map/SCI_I-vs-NC-Up/rno05010.html","rno05010")</f>
        <v>rno05010</v>
      </c>
    </row>
    <row r="154" spans="1:13" x14ac:dyDescent="0.25">
      <c r="A154" t="s">
        <v>491</v>
      </c>
      <c r="B154" t="s">
        <v>492</v>
      </c>
      <c r="C154" t="s">
        <v>115</v>
      </c>
      <c r="D154" t="s">
        <v>490</v>
      </c>
      <c r="E154">
        <v>1</v>
      </c>
      <c r="F154">
        <v>151</v>
      </c>
      <c r="G154">
        <v>30</v>
      </c>
      <c r="H154">
        <v>2681</v>
      </c>
      <c r="I154">
        <v>0.82603033736077802</v>
      </c>
      <c r="J154">
        <v>0.99728819895371701</v>
      </c>
      <c r="K154">
        <v>0.59183222958057402</v>
      </c>
      <c r="L154" t="s">
        <v>493</v>
      </c>
      <c r="M154" t="str">
        <f>HYPERLINK("../../3.KEGG_map/SCI_I-vs-NC-Up/rno05014.html","rno05014")</f>
        <v>rno05014</v>
      </c>
    </row>
    <row r="155" spans="1:13" x14ac:dyDescent="0.25">
      <c r="A155" t="s">
        <v>494</v>
      </c>
      <c r="B155" t="s">
        <v>495</v>
      </c>
      <c r="C155" t="s">
        <v>115</v>
      </c>
      <c r="D155" t="s">
        <v>490</v>
      </c>
      <c r="E155">
        <v>2</v>
      </c>
      <c r="F155">
        <v>151</v>
      </c>
      <c r="G155">
        <v>61</v>
      </c>
      <c r="H155">
        <v>2681</v>
      </c>
      <c r="I155">
        <v>0.86785294519422396</v>
      </c>
      <c r="J155">
        <v>0.99728819895371701</v>
      </c>
      <c r="K155">
        <v>0.58213006188253202</v>
      </c>
      <c r="L155" t="s">
        <v>420</v>
      </c>
      <c r="M155" t="str">
        <f>HYPERLINK("../../3.KEGG_map/SCI_I-vs-NC-Up/rno05016.html","rno05016")</f>
        <v>rno05016</v>
      </c>
    </row>
    <row r="156" spans="1:13" x14ac:dyDescent="0.25">
      <c r="A156" t="s">
        <v>496</v>
      </c>
      <c r="B156" t="s">
        <v>497</v>
      </c>
      <c r="C156" t="s">
        <v>115</v>
      </c>
      <c r="D156" t="s">
        <v>498</v>
      </c>
      <c r="E156">
        <v>1</v>
      </c>
      <c r="F156">
        <v>151</v>
      </c>
      <c r="G156">
        <v>15</v>
      </c>
      <c r="H156">
        <v>2681</v>
      </c>
      <c r="I156">
        <v>0.58184560520572104</v>
      </c>
      <c r="J156">
        <v>0.99728819895371701</v>
      </c>
      <c r="K156">
        <v>1.18366445916115</v>
      </c>
      <c r="L156" t="s">
        <v>251</v>
      </c>
      <c r="M156" t="str">
        <f>HYPERLINK("../../3.KEGG_map/SCI_I-vs-NC-Up/rno05030.html","rno05030")</f>
        <v>rno05030</v>
      </c>
    </row>
    <row r="157" spans="1:13" x14ac:dyDescent="0.25">
      <c r="A157" t="s">
        <v>499</v>
      </c>
      <c r="B157" t="s">
        <v>500</v>
      </c>
      <c r="C157" t="s">
        <v>115</v>
      </c>
      <c r="D157" t="s">
        <v>498</v>
      </c>
      <c r="E157">
        <v>2</v>
      </c>
      <c r="F157">
        <v>151</v>
      </c>
      <c r="G157">
        <v>45</v>
      </c>
      <c r="H157">
        <v>2681</v>
      </c>
      <c r="I157">
        <v>0.73116952494268295</v>
      </c>
      <c r="J157">
        <v>0.99728819895371701</v>
      </c>
      <c r="K157">
        <v>0.78910963944076495</v>
      </c>
      <c r="L157" t="s">
        <v>501</v>
      </c>
      <c r="M157" t="str">
        <f>HYPERLINK("../../3.KEGG_map/SCI_I-vs-NC-Up/rno05031.html","rno05031")</f>
        <v>rno05031</v>
      </c>
    </row>
    <row r="158" spans="1:13" x14ac:dyDescent="0.25">
      <c r="A158" t="s">
        <v>502</v>
      </c>
      <c r="B158" t="s">
        <v>503</v>
      </c>
      <c r="C158" t="s">
        <v>115</v>
      </c>
      <c r="D158" t="s">
        <v>498</v>
      </c>
      <c r="E158">
        <v>1</v>
      </c>
      <c r="F158">
        <v>151</v>
      </c>
      <c r="G158">
        <v>36</v>
      </c>
      <c r="H158">
        <v>2681</v>
      </c>
      <c r="I158">
        <v>0.87767743717642499</v>
      </c>
      <c r="J158">
        <v>0.99728819895371701</v>
      </c>
      <c r="K158">
        <v>0.493193524650478</v>
      </c>
      <c r="L158" t="s">
        <v>251</v>
      </c>
      <c r="M158" t="str">
        <f>HYPERLINK("../../3.KEGG_map/SCI_I-vs-NC-Up/rno05034.html","rno05034")</f>
        <v>rno05034</v>
      </c>
    </row>
    <row r="159" spans="1:13" x14ac:dyDescent="0.25">
      <c r="A159" t="s">
        <v>504</v>
      </c>
      <c r="B159" t="s">
        <v>505</v>
      </c>
      <c r="C159" t="s">
        <v>115</v>
      </c>
      <c r="D159" t="s">
        <v>506</v>
      </c>
      <c r="E159">
        <v>5</v>
      </c>
      <c r="F159">
        <v>151</v>
      </c>
      <c r="G159">
        <v>89</v>
      </c>
      <c r="H159">
        <v>2681</v>
      </c>
      <c r="I159">
        <v>0.56979598481548499</v>
      </c>
      <c r="J159">
        <v>0.99728819895371701</v>
      </c>
      <c r="K159">
        <v>0.99747004985489995</v>
      </c>
      <c r="L159" t="s">
        <v>507</v>
      </c>
      <c r="M159" t="str">
        <f>HYPERLINK("../../3.KEGG_map/SCI_I-vs-NC-Up/rno05100.html","rno05100")</f>
        <v>rno05100</v>
      </c>
    </row>
    <row r="160" spans="1:13" x14ac:dyDescent="0.25">
      <c r="A160" t="s">
        <v>508</v>
      </c>
      <c r="B160" t="s">
        <v>509</v>
      </c>
      <c r="C160" t="s">
        <v>115</v>
      </c>
      <c r="D160" t="s">
        <v>506</v>
      </c>
      <c r="E160">
        <v>1</v>
      </c>
      <c r="F160">
        <v>151</v>
      </c>
      <c r="G160">
        <v>42</v>
      </c>
      <c r="H160">
        <v>2681</v>
      </c>
      <c r="I160">
        <v>0.91406266597034103</v>
      </c>
      <c r="J160">
        <v>0.99728819895371701</v>
      </c>
      <c r="K160">
        <v>0.42273730684326699</v>
      </c>
      <c r="L160" t="s">
        <v>510</v>
      </c>
      <c r="M160" t="str">
        <f>HYPERLINK("../../3.KEGG_map/SCI_I-vs-NC-Up/rno05132.html","rno05132")</f>
        <v>rno05132</v>
      </c>
    </row>
    <row r="161" spans="1:13" x14ac:dyDescent="0.25">
      <c r="A161" t="s">
        <v>511</v>
      </c>
      <c r="B161" t="s">
        <v>512</v>
      </c>
      <c r="C161" t="s">
        <v>115</v>
      </c>
      <c r="D161" t="s">
        <v>506</v>
      </c>
      <c r="E161">
        <v>1</v>
      </c>
      <c r="F161">
        <v>151</v>
      </c>
      <c r="G161">
        <v>17</v>
      </c>
      <c r="H161">
        <v>2681</v>
      </c>
      <c r="I161">
        <v>0.62788037907557503</v>
      </c>
      <c r="J161">
        <v>0.99728819895371701</v>
      </c>
      <c r="K161">
        <v>1.0444098169069</v>
      </c>
      <c r="L161" t="s">
        <v>513</v>
      </c>
      <c r="M161" t="str">
        <f>HYPERLINK("../../3.KEGG_map/SCI_I-vs-NC-Up/rno05133.html","rno05133")</f>
        <v>rno05133</v>
      </c>
    </row>
    <row r="162" spans="1:13" x14ac:dyDescent="0.25">
      <c r="A162" t="s">
        <v>514</v>
      </c>
      <c r="B162" t="s">
        <v>515</v>
      </c>
      <c r="C162" t="s">
        <v>115</v>
      </c>
      <c r="D162" t="s">
        <v>506</v>
      </c>
      <c r="E162">
        <v>2</v>
      </c>
      <c r="F162">
        <v>151</v>
      </c>
      <c r="G162">
        <v>13</v>
      </c>
      <c r="H162">
        <v>2681</v>
      </c>
      <c r="I162">
        <v>0.163875648107149</v>
      </c>
      <c r="J162">
        <v>0.99728819895371701</v>
      </c>
      <c r="K162">
        <v>2.73153336729496</v>
      </c>
      <c r="L162" t="s">
        <v>516</v>
      </c>
      <c r="M162" t="str">
        <f>HYPERLINK("../../3.KEGG_map/SCI_I-vs-NC-Up/rno05134.html","rno05134")</f>
        <v>rno05134</v>
      </c>
    </row>
    <row r="163" spans="1:13" x14ac:dyDescent="0.25">
      <c r="A163" t="s">
        <v>517</v>
      </c>
      <c r="B163" t="s">
        <v>518</v>
      </c>
      <c r="C163" t="s">
        <v>115</v>
      </c>
      <c r="D163" t="s">
        <v>519</v>
      </c>
      <c r="E163">
        <v>2</v>
      </c>
      <c r="F163">
        <v>151</v>
      </c>
      <c r="G163">
        <v>13</v>
      </c>
      <c r="H163">
        <v>2681</v>
      </c>
      <c r="I163">
        <v>0.163875648107149</v>
      </c>
      <c r="J163">
        <v>0.99728819895371701</v>
      </c>
      <c r="K163">
        <v>2.73153336729496</v>
      </c>
      <c r="L163" t="s">
        <v>520</v>
      </c>
      <c r="M163" t="str">
        <f>HYPERLINK("../../3.KEGG_map/SCI_I-vs-NC-Up/rno05140.html","rno05140")</f>
        <v>rno05140</v>
      </c>
    </row>
    <row r="164" spans="1:13" x14ac:dyDescent="0.25">
      <c r="A164" t="s">
        <v>521</v>
      </c>
      <c r="B164" t="s">
        <v>522</v>
      </c>
      <c r="C164" t="s">
        <v>115</v>
      </c>
      <c r="D164" t="s">
        <v>519</v>
      </c>
      <c r="E164">
        <v>2</v>
      </c>
      <c r="F164">
        <v>151</v>
      </c>
      <c r="G164">
        <v>52</v>
      </c>
      <c r="H164">
        <v>2681</v>
      </c>
      <c r="I164">
        <v>0.801524455372291</v>
      </c>
      <c r="J164">
        <v>0.99728819895371701</v>
      </c>
      <c r="K164">
        <v>0.682883341823739</v>
      </c>
      <c r="L164" t="s">
        <v>523</v>
      </c>
      <c r="M164" t="str">
        <f>HYPERLINK("../../3.KEGG_map/SCI_I-vs-NC-Up/rno05142.html","rno05142")</f>
        <v>rno05142</v>
      </c>
    </row>
    <row r="165" spans="1:13" x14ac:dyDescent="0.25">
      <c r="A165" t="s">
        <v>524</v>
      </c>
      <c r="B165" t="s">
        <v>525</v>
      </c>
      <c r="C165" t="s">
        <v>115</v>
      </c>
      <c r="D165" t="s">
        <v>519</v>
      </c>
      <c r="E165">
        <v>3</v>
      </c>
      <c r="F165">
        <v>151</v>
      </c>
      <c r="G165">
        <v>17</v>
      </c>
      <c r="H165">
        <v>2681</v>
      </c>
      <c r="I165">
        <v>6.6620505764638904E-2</v>
      </c>
      <c r="J165">
        <v>0.80892100010911905</v>
      </c>
      <c r="K165">
        <v>3.1332294507206901</v>
      </c>
      <c r="L165" t="s">
        <v>526</v>
      </c>
      <c r="M165" t="str">
        <f>HYPERLINK("../../3.KEGG_map/SCI_I-vs-NC-Up/rno05143.html","rno05143")</f>
        <v>rno05143</v>
      </c>
    </row>
    <row r="166" spans="1:13" x14ac:dyDescent="0.25">
      <c r="A166" t="s">
        <v>527</v>
      </c>
      <c r="B166" t="s">
        <v>528</v>
      </c>
      <c r="C166" t="s">
        <v>115</v>
      </c>
      <c r="D166" t="s">
        <v>519</v>
      </c>
      <c r="E166">
        <v>2</v>
      </c>
      <c r="F166">
        <v>151</v>
      </c>
      <c r="G166">
        <v>6</v>
      </c>
      <c r="H166">
        <v>2681</v>
      </c>
      <c r="I166">
        <v>4.0695787063123601E-2</v>
      </c>
      <c r="J166">
        <v>0.67379569722592303</v>
      </c>
      <c r="K166">
        <v>5.9183222958057398</v>
      </c>
      <c r="L166" t="s">
        <v>529</v>
      </c>
      <c r="M166" t="str">
        <f>HYPERLINK("../../3.KEGG_map/SCI_I-vs-NC-Up/rno05144.html","rno05144")</f>
        <v>rno05144</v>
      </c>
    </row>
    <row r="167" spans="1:13" x14ac:dyDescent="0.25">
      <c r="A167" t="s">
        <v>530</v>
      </c>
      <c r="B167" t="s">
        <v>531</v>
      </c>
      <c r="C167" t="s">
        <v>115</v>
      </c>
      <c r="D167" t="s">
        <v>519</v>
      </c>
      <c r="E167">
        <v>3</v>
      </c>
      <c r="F167">
        <v>151</v>
      </c>
      <c r="G167">
        <v>34</v>
      </c>
      <c r="H167">
        <v>2681</v>
      </c>
      <c r="I167">
        <v>0.29930945228044398</v>
      </c>
      <c r="J167">
        <v>0.99728819895371701</v>
      </c>
      <c r="K167">
        <v>1.56661472536034</v>
      </c>
      <c r="L167" t="s">
        <v>532</v>
      </c>
      <c r="M167" t="str">
        <f>HYPERLINK("../../3.KEGG_map/SCI_I-vs-NC-Up/rno05145.html","rno05145")</f>
        <v>rno05145</v>
      </c>
    </row>
    <row r="168" spans="1:13" x14ac:dyDescent="0.25">
      <c r="A168" t="s">
        <v>533</v>
      </c>
      <c r="B168" t="s">
        <v>534</v>
      </c>
      <c r="C168" t="s">
        <v>115</v>
      </c>
      <c r="D168" t="s">
        <v>519</v>
      </c>
      <c r="E168">
        <v>8</v>
      </c>
      <c r="F168">
        <v>151</v>
      </c>
      <c r="G168">
        <v>79</v>
      </c>
      <c r="H168">
        <v>2681</v>
      </c>
      <c r="I168">
        <v>7.3538272737192698E-2</v>
      </c>
      <c r="J168">
        <v>0.80892100010911905</v>
      </c>
      <c r="K168">
        <v>1.79797133037136</v>
      </c>
      <c r="L168" t="s">
        <v>535</v>
      </c>
      <c r="M168" t="str">
        <f>HYPERLINK("../../3.KEGG_map/SCI_I-vs-NC-Up/rno05146.html","rno05146")</f>
        <v>rno05146</v>
      </c>
    </row>
    <row r="169" spans="1:13" x14ac:dyDescent="0.25">
      <c r="A169" t="s">
        <v>536</v>
      </c>
      <c r="B169" t="s">
        <v>537</v>
      </c>
      <c r="C169" t="s">
        <v>115</v>
      </c>
      <c r="D169" t="s">
        <v>506</v>
      </c>
      <c r="E169">
        <v>1</v>
      </c>
      <c r="F169">
        <v>151</v>
      </c>
      <c r="G169">
        <v>6</v>
      </c>
      <c r="H169">
        <v>2681</v>
      </c>
      <c r="I169">
        <v>0.294012492665225</v>
      </c>
      <c r="J169">
        <v>0.99728819895371701</v>
      </c>
      <c r="K169">
        <v>2.9591611479028699</v>
      </c>
      <c r="L169" t="s">
        <v>461</v>
      </c>
      <c r="M169" t="str">
        <f>HYPERLINK("../../3.KEGG_map/SCI_I-vs-NC-Up/rno05150.html","rno05150")</f>
        <v>rno05150</v>
      </c>
    </row>
    <row r="170" spans="1:13" x14ac:dyDescent="0.25">
      <c r="A170" t="s">
        <v>538</v>
      </c>
      <c r="B170" t="s">
        <v>539</v>
      </c>
      <c r="C170" t="s">
        <v>115</v>
      </c>
      <c r="D170" t="s">
        <v>506</v>
      </c>
      <c r="E170">
        <v>1</v>
      </c>
      <c r="F170">
        <v>151</v>
      </c>
      <c r="G170">
        <v>81</v>
      </c>
      <c r="H170">
        <v>2681</v>
      </c>
      <c r="I170">
        <v>0.99151338847345105</v>
      </c>
      <c r="J170">
        <v>0.99728819895371701</v>
      </c>
      <c r="K170">
        <v>0.219197122066879</v>
      </c>
      <c r="L170" t="s">
        <v>461</v>
      </c>
      <c r="M170" t="str">
        <f>HYPERLINK("../../3.KEGG_map/SCI_I-vs-NC-Up/rno05152.html","rno05152")</f>
        <v>rno05152</v>
      </c>
    </row>
    <row r="171" spans="1:13" x14ac:dyDescent="0.25">
      <c r="A171" t="s">
        <v>540</v>
      </c>
      <c r="B171" t="s">
        <v>541</v>
      </c>
      <c r="C171" t="s">
        <v>115</v>
      </c>
      <c r="D171" t="s">
        <v>542</v>
      </c>
      <c r="E171">
        <v>1</v>
      </c>
      <c r="F171">
        <v>151</v>
      </c>
      <c r="G171">
        <v>59</v>
      </c>
      <c r="H171">
        <v>2681</v>
      </c>
      <c r="I171">
        <v>0.96853668869463105</v>
      </c>
      <c r="J171">
        <v>0.99728819895371701</v>
      </c>
      <c r="K171">
        <v>0.30093164215961399</v>
      </c>
      <c r="L171" t="s">
        <v>543</v>
      </c>
      <c r="M171" t="str">
        <f>HYPERLINK("../../3.KEGG_map/SCI_I-vs-NC-Up/rno05160.html","rno05160")</f>
        <v>rno05160</v>
      </c>
    </row>
    <row r="172" spans="1:13" x14ac:dyDescent="0.25">
      <c r="A172" t="s">
        <v>544</v>
      </c>
      <c r="B172" t="s">
        <v>545</v>
      </c>
      <c r="C172" t="s">
        <v>115</v>
      </c>
      <c r="D172" t="s">
        <v>542</v>
      </c>
      <c r="E172">
        <v>3</v>
      </c>
      <c r="F172">
        <v>151</v>
      </c>
      <c r="G172">
        <v>79</v>
      </c>
      <c r="H172">
        <v>2681</v>
      </c>
      <c r="I172">
        <v>0.832930530981006</v>
      </c>
      <c r="J172">
        <v>0.99728819895371701</v>
      </c>
      <c r="K172">
        <v>0.67423924888926101</v>
      </c>
      <c r="L172" t="s">
        <v>546</v>
      </c>
      <c r="M172" t="str">
        <f>HYPERLINK("../../3.KEGG_map/SCI_I-vs-NC-Up/rno05161.html","rno05161")</f>
        <v>rno05161</v>
      </c>
    </row>
    <row r="173" spans="1:13" x14ac:dyDescent="0.25">
      <c r="A173" t="s">
        <v>547</v>
      </c>
      <c r="B173" t="s">
        <v>548</v>
      </c>
      <c r="C173" t="s">
        <v>115</v>
      </c>
      <c r="D173" t="s">
        <v>542</v>
      </c>
      <c r="E173">
        <v>1</v>
      </c>
      <c r="F173">
        <v>151</v>
      </c>
      <c r="G173">
        <v>28</v>
      </c>
      <c r="H173">
        <v>2681</v>
      </c>
      <c r="I173">
        <v>0.80439349476326405</v>
      </c>
      <c r="J173">
        <v>0.99728819895371701</v>
      </c>
      <c r="K173">
        <v>0.63410596026490096</v>
      </c>
      <c r="L173" t="s">
        <v>254</v>
      </c>
      <c r="M173" t="str">
        <f>HYPERLINK("../../3.KEGG_map/SCI_I-vs-NC-Up/rno05162.html","rno05162")</f>
        <v>rno05162</v>
      </c>
    </row>
    <row r="174" spans="1:13" x14ac:dyDescent="0.25">
      <c r="A174" t="s">
        <v>549</v>
      </c>
      <c r="B174" t="s">
        <v>550</v>
      </c>
      <c r="C174" t="s">
        <v>115</v>
      </c>
      <c r="D174" t="s">
        <v>542</v>
      </c>
      <c r="E174">
        <v>3</v>
      </c>
      <c r="F174">
        <v>151</v>
      </c>
      <c r="G174">
        <v>67</v>
      </c>
      <c r="H174">
        <v>2681</v>
      </c>
      <c r="I174">
        <v>0.73880934145810895</v>
      </c>
      <c r="J174">
        <v>0.99728819895371701</v>
      </c>
      <c r="K174">
        <v>0.79499851734703997</v>
      </c>
      <c r="L174" t="s">
        <v>551</v>
      </c>
      <c r="M174" t="str">
        <f>HYPERLINK("../../3.KEGG_map/SCI_I-vs-NC-Up/rno05164.html","rno05164")</f>
        <v>rno05164</v>
      </c>
    </row>
    <row r="175" spans="1:13" x14ac:dyDescent="0.25">
      <c r="A175" t="s">
        <v>552</v>
      </c>
      <c r="B175" t="s">
        <v>553</v>
      </c>
      <c r="C175" t="s">
        <v>115</v>
      </c>
      <c r="D175" t="s">
        <v>542</v>
      </c>
      <c r="E175">
        <v>11</v>
      </c>
      <c r="F175">
        <v>151</v>
      </c>
      <c r="G175">
        <v>188</v>
      </c>
      <c r="H175">
        <v>2681</v>
      </c>
      <c r="I175">
        <v>0.494731358989625</v>
      </c>
      <c r="J175">
        <v>0.99728819895371701</v>
      </c>
      <c r="K175">
        <v>1.0388544455403701</v>
      </c>
      <c r="L175" t="s">
        <v>554</v>
      </c>
      <c r="M175" t="str">
        <f>HYPERLINK("../../3.KEGG_map/SCI_I-vs-NC-Up/rno05165.html","rno05165")</f>
        <v>rno05165</v>
      </c>
    </row>
    <row r="176" spans="1:13" x14ac:dyDescent="0.25">
      <c r="A176" t="s">
        <v>555</v>
      </c>
      <c r="B176" t="s">
        <v>556</v>
      </c>
      <c r="C176" t="s">
        <v>115</v>
      </c>
      <c r="D176" t="s">
        <v>542</v>
      </c>
      <c r="E176">
        <v>3</v>
      </c>
      <c r="F176">
        <v>151</v>
      </c>
      <c r="G176">
        <v>143</v>
      </c>
      <c r="H176">
        <v>2681</v>
      </c>
      <c r="I176">
        <v>0.990002024425511</v>
      </c>
      <c r="J176">
        <v>0.99728819895371701</v>
      </c>
      <c r="K176">
        <v>0.372481822812949</v>
      </c>
      <c r="L176" t="s">
        <v>557</v>
      </c>
      <c r="M176" t="str">
        <f>HYPERLINK("../../3.KEGG_map/SCI_I-vs-NC-Up/rno05166.html","rno05166")</f>
        <v>rno05166</v>
      </c>
    </row>
    <row r="177" spans="1:13" x14ac:dyDescent="0.25">
      <c r="A177" t="s">
        <v>558</v>
      </c>
      <c r="B177" t="s">
        <v>559</v>
      </c>
      <c r="C177" t="s">
        <v>115</v>
      </c>
      <c r="D177" t="s">
        <v>542</v>
      </c>
      <c r="E177">
        <v>2</v>
      </c>
      <c r="F177">
        <v>151</v>
      </c>
      <c r="G177">
        <v>98</v>
      </c>
      <c r="H177">
        <v>2681</v>
      </c>
      <c r="I177">
        <v>0.97833501901882902</v>
      </c>
      <c r="J177">
        <v>0.99728819895371701</v>
      </c>
      <c r="K177">
        <v>0.36234626300851502</v>
      </c>
      <c r="L177" t="s">
        <v>332</v>
      </c>
      <c r="M177" t="str">
        <f>HYPERLINK("../../3.KEGG_map/SCI_I-vs-NC-Up/rno05167.html","rno05167")</f>
        <v>rno05167</v>
      </c>
    </row>
    <row r="178" spans="1:13" x14ac:dyDescent="0.25">
      <c r="A178" t="s">
        <v>560</v>
      </c>
      <c r="B178" t="s">
        <v>561</v>
      </c>
      <c r="C178" t="s">
        <v>115</v>
      </c>
      <c r="D178" t="s">
        <v>542</v>
      </c>
      <c r="E178">
        <v>1</v>
      </c>
      <c r="F178">
        <v>151</v>
      </c>
      <c r="G178">
        <v>64</v>
      </c>
      <c r="H178">
        <v>2681</v>
      </c>
      <c r="I178">
        <v>0.97661683035402402</v>
      </c>
      <c r="J178">
        <v>0.99728819895371701</v>
      </c>
      <c r="K178">
        <v>0.27742135761589398</v>
      </c>
      <c r="L178" t="s">
        <v>461</v>
      </c>
      <c r="M178" t="str">
        <f>HYPERLINK("../../3.KEGG_map/SCI_I-vs-NC-Up/rno05168.html","rno05168")</f>
        <v>rno05168</v>
      </c>
    </row>
    <row r="179" spans="1:13" x14ac:dyDescent="0.25">
      <c r="A179" t="s">
        <v>562</v>
      </c>
      <c r="B179" t="s">
        <v>563</v>
      </c>
      <c r="C179" t="s">
        <v>115</v>
      </c>
      <c r="D179" t="s">
        <v>542</v>
      </c>
      <c r="E179">
        <v>1</v>
      </c>
      <c r="F179">
        <v>151</v>
      </c>
      <c r="G179">
        <v>93</v>
      </c>
      <c r="H179">
        <v>2681</v>
      </c>
      <c r="I179">
        <v>0.99586726312682405</v>
      </c>
      <c r="J179">
        <v>0.99728819895371701</v>
      </c>
      <c r="K179">
        <v>0.19091362244534599</v>
      </c>
      <c r="L179" t="s">
        <v>254</v>
      </c>
      <c r="M179" t="str">
        <f>HYPERLINK("../../3.KEGG_map/SCI_I-vs-NC-Up/rno05169.html","rno05169")</f>
        <v>rno05169</v>
      </c>
    </row>
    <row r="180" spans="1:13" x14ac:dyDescent="0.25">
      <c r="A180" t="s">
        <v>564</v>
      </c>
      <c r="B180" t="s">
        <v>565</v>
      </c>
      <c r="C180" t="s">
        <v>115</v>
      </c>
      <c r="D180" t="s">
        <v>566</v>
      </c>
      <c r="E180">
        <v>13</v>
      </c>
      <c r="F180">
        <v>151</v>
      </c>
      <c r="G180">
        <v>258</v>
      </c>
      <c r="H180">
        <v>2681</v>
      </c>
      <c r="I180">
        <v>0.710058351630797</v>
      </c>
      <c r="J180">
        <v>0.99728819895371701</v>
      </c>
      <c r="K180">
        <v>0.89463011448226304</v>
      </c>
      <c r="L180" t="s">
        <v>567</v>
      </c>
      <c r="M180" t="str">
        <f>HYPERLINK("../../3.KEGG_map/SCI_I-vs-NC-Up/rno05200.html","rno05200")</f>
        <v>rno05200</v>
      </c>
    </row>
    <row r="181" spans="1:13" x14ac:dyDescent="0.25">
      <c r="A181" t="s">
        <v>568</v>
      </c>
      <c r="B181" t="s">
        <v>569</v>
      </c>
      <c r="C181" t="s">
        <v>115</v>
      </c>
      <c r="D181" t="s">
        <v>566</v>
      </c>
      <c r="E181">
        <v>8</v>
      </c>
      <c r="F181">
        <v>151</v>
      </c>
      <c r="G181">
        <v>93</v>
      </c>
      <c r="H181">
        <v>2681</v>
      </c>
      <c r="I181">
        <v>0.14978140441380799</v>
      </c>
      <c r="J181">
        <v>0.99728819895371701</v>
      </c>
      <c r="K181">
        <v>1.5273089795627699</v>
      </c>
      <c r="L181" t="s">
        <v>570</v>
      </c>
      <c r="M181" t="str">
        <f>HYPERLINK("../../3.KEGG_map/SCI_I-vs-NC-Up/rno05202.html","rno05202")</f>
        <v>rno05202</v>
      </c>
    </row>
    <row r="182" spans="1:13" x14ac:dyDescent="0.25">
      <c r="A182" t="s">
        <v>571</v>
      </c>
      <c r="B182" t="s">
        <v>572</v>
      </c>
      <c r="C182" t="s">
        <v>115</v>
      </c>
      <c r="D182" t="s">
        <v>566</v>
      </c>
      <c r="E182">
        <v>1</v>
      </c>
      <c r="F182">
        <v>151</v>
      </c>
      <c r="G182">
        <v>84</v>
      </c>
      <c r="H182">
        <v>2681</v>
      </c>
      <c r="I182">
        <v>0.99290831043054795</v>
      </c>
      <c r="J182">
        <v>0.99728819895371701</v>
      </c>
      <c r="K182">
        <v>0.211368653421634</v>
      </c>
      <c r="L182" t="s">
        <v>251</v>
      </c>
      <c r="M182" t="str">
        <f>HYPERLINK("../../3.KEGG_map/SCI_I-vs-NC-Up/rno05203.html","rno05203")</f>
        <v>rno05203</v>
      </c>
    </row>
    <row r="183" spans="1:13" x14ac:dyDescent="0.25">
      <c r="A183" t="s">
        <v>573</v>
      </c>
      <c r="B183" t="s">
        <v>574</v>
      </c>
      <c r="C183" t="s">
        <v>115</v>
      </c>
      <c r="D183" t="s">
        <v>566</v>
      </c>
      <c r="E183">
        <v>4</v>
      </c>
      <c r="F183">
        <v>151</v>
      </c>
      <c r="G183">
        <v>15</v>
      </c>
      <c r="H183">
        <v>2681</v>
      </c>
      <c r="I183">
        <v>8.1031937832183008E-3</v>
      </c>
      <c r="J183">
        <v>0.33871350013852503</v>
      </c>
      <c r="K183">
        <v>4.7346578366445904</v>
      </c>
      <c r="L183" t="s">
        <v>104</v>
      </c>
      <c r="M183" t="str">
        <f>HYPERLINK("../../3.KEGG_map/SCI_I-vs-NC-Up/rno05204.html","rno05204")</f>
        <v>rno05204</v>
      </c>
    </row>
    <row r="184" spans="1:13" x14ac:dyDescent="0.25">
      <c r="A184" t="s">
        <v>575</v>
      </c>
      <c r="B184" t="s">
        <v>576</v>
      </c>
      <c r="C184" t="s">
        <v>115</v>
      </c>
      <c r="D184" t="s">
        <v>566</v>
      </c>
      <c r="E184">
        <v>9</v>
      </c>
      <c r="F184">
        <v>151</v>
      </c>
      <c r="G184">
        <v>166</v>
      </c>
      <c r="H184">
        <v>2681</v>
      </c>
      <c r="I184">
        <v>0.59976107789672695</v>
      </c>
      <c r="J184">
        <v>0.99728819895371701</v>
      </c>
      <c r="K184">
        <v>0.96261868666719896</v>
      </c>
      <c r="L184" t="s">
        <v>577</v>
      </c>
      <c r="M184" t="str">
        <f>HYPERLINK("../../3.KEGG_map/SCI_I-vs-NC-Up/rno05205.html","rno05205")</f>
        <v>rno05205</v>
      </c>
    </row>
    <row r="185" spans="1:13" x14ac:dyDescent="0.25">
      <c r="A185" t="s">
        <v>578</v>
      </c>
      <c r="B185" t="s">
        <v>579</v>
      </c>
      <c r="C185" t="s">
        <v>115</v>
      </c>
      <c r="D185" t="s">
        <v>566</v>
      </c>
      <c r="E185">
        <v>5</v>
      </c>
      <c r="F185">
        <v>151</v>
      </c>
      <c r="G185">
        <v>82</v>
      </c>
      <c r="H185">
        <v>2681</v>
      </c>
      <c r="I185">
        <v>0.49525123842924901</v>
      </c>
      <c r="J185">
        <v>0.99728819895371701</v>
      </c>
      <c r="K185">
        <v>1.08261993215959</v>
      </c>
      <c r="L185" t="s">
        <v>580</v>
      </c>
      <c r="M185" t="str">
        <f>HYPERLINK("../../3.KEGG_map/SCI_I-vs-NC-Up/rno05206.html","rno05206")</f>
        <v>rno05206</v>
      </c>
    </row>
    <row r="186" spans="1:13" x14ac:dyDescent="0.25">
      <c r="A186" t="s">
        <v>581</v>
      </c>
      <c r="B186" t="s">
        <v>582</v>
      </c>
      <c r="C186" t="s">
        <v>115</v>
      </c>
      <c r="D186" t="s">
        <v>583</v>
      </c>
      <c r="E186">
        <v>2</v>
      </c>
      <c r="F186">
        <v>151</v>
      </c>
      <c r="G186">
        <v>61</v>
      </c>
      <c r="H186">
        <v>2681</v>
      </c>
      <c r="I186">
        <v>0.86785294519422396</v>
      </c>
      <c r="J186">
        <v>0.99728819895371701</v>
      </c>
      <c r="K186">
        <v>0.58213006188253202</v>
      </c>
      <c r="L186" t="s">
        <v>584</v>
      </c>
      <c r="M186" t="str">
        <f>HYPERLINK("../../3.KEGG_map/SCI_I-vs-NC-Up/rno05210.html","rno05210")</f>
        <v>rno05210</v>
      </c>
    </row>
    <row r="187" spans="1:13" x14ac:dyDescent="0.25">
      <c r="A187" t="s">
        <v>585</v>
      </c>
      <c r="B187" t="s">
        <v>586</v>
      </c>
      <c r="C187" t="s">
        <v>115</v>
      </c>
      <c r="D187" t="s">
        <v>583</v>
      </c>
      <c r="E187">
        <v>2</v>
      </c>
      <c r="F187">
        <v>151</v>
      </c>
      <c r="G187">
        <v>52</v>
      </c>
      <c r="H187">
        <v>2681</v>
      </c>
      <c r="I187">
        <v>0.801524455372291</v>
      </c>
      <c r="J187">
        <v>0.99728819895371701</v>
      </c>
      <c r="K187">
        <v>0.682883341823739</v>
      </c>
      <c r="L187" t="s">
        <v>587</v>
      </c>
      <c r="M187" t="str">
        <f>HYPERLINK("../../3.KEGG_map/SCI_I-vs-NC-Up/rno05211.html","rno05211")</f>
        <v>rno05211</v>
      </c>
    </row>
    <row r="188" spans="1:13" x14ac:dyDescent="0.25">
      <c r="A188" t="s">
        <v>588</v>
      </c>
      <c r="B188" t="s">
        <v>589</v>
      </c>
      <c r="C188" t="s">
        <v>115</v>
      </c>
      <c r="D188" t="s">
        <v>583</v>
      </c>
      <c r="E188">
        <v>2</v>
      </c>
      <c r="F188">
        <v>151</v>
      </c>
      <c r="G188">
        <v>61</v>
      </c>
      <c r="H188">
        <v>2681</v>
      </c>
      <c r="I188">
        <v>0.86785294519422396</v>
      </c>
      <c r="J188">
        <v>0.99728819895371701</v>
      </c>
      <c r="K188">
        <v>0.58213006188253202</v>
      </c>
      <c r="L188" t="s">
        <v>590</v>
      </c>
      <c r="M188" t="str">
        <f>HYPERLINK("../../3.KEGG_map/SCI_I-vs-NC-Up/rno05212.html","rno05212")</f>
        <v>rno05212</v>
      </c>
    </row>
    <row r="189" spans="1:13" x14ac:dyDescent="0.25">
      <c r="A189" t="s">
        <v>591</v>
      </c>
      <c r="B189" t="s">
        <v>592</v>
      </c>
      <c r="C189" t="s">
        <v>115</v>
      </c>
      <c r="D189" t="s">
        <v>583</v>
      </c>
      <c r="E189">
        <v>1</v>
      </c>
      <c r="F189">
        <v>151</v>
      </c>
      <c r="G189">
        <v>43</v>
      </c>
      <c r="H189">
        <v>2681</v>
      </c>
      <c r="I189">
        <v>0.91897988364312599</v>
      </c>
      <c r="J189">
        <v>0.99728819895371701</v>
      </c>
      <c r="K189">
        <v>0.41290620668412098</v>
      </c>
      <c r="L189" t="s">
        <v>214</v>
      </c>
      <c r="M189" t="str">
        <f>HYPERLINK("../../3.KEGG_map/SCI_I-vs-NC-Up/rno05213.html","rno05213")</f>
        <v>rno05213</v>
      </c>
    </row>
    <row r="190" spans="1:13" x14ac:dyDescent="0.25">
      <c r="A190" t="s">
        <v>593</v>
      </c>
      <c r="B190" t="s">
        <v>594</v>
      </c>
      <c r="C190" t="s">
        <v>115</v>
      </c>
      <c r="D190" t="s">
        <v>583</v>
      </c>
      <c r="E190">
        <v>1</v>
      </c>
      <c r="F190">
        <v>151</v>
      </c>
      <c r="G190">
        <v>47</v>
      </c>
      <c r="H190">
        <v>2681</v>
      </c>
      <c r="I190">
        <v>0.936006360529123</v>
      </c>
      <c r="J190">
        <v>0.99728819895371701</v>
      </c>
      <c r="K190">
        <v>0.377765252923771</v>
      </c>
      <c r="L190" t="s">
        <v>214</v>
      </c>
      <c r="M190" t="str">
        <f>HYPERLINK("../../3.KEGG_map/SCI_I-vs-NC-Up/rno05214.html","rno05214")</f>
        <v>rno05214</v>
      </c>
    </row>
    <row r="191" spans="1:13" x14ac:dyDescent="0.25">
      <c r="A191" t="s">
        <v>595</v>
      </c>
      <c r="B191" t="s">
        <v>596</v>
      </c>
      <c r="C191" t="s">
        <v>115</v>
      </c>
      <c r="D191" t="s">
        <v>583</v>
      </c>
      <c r="E191">
        <v>3</v>
      </c>
      <c r="F191">
        <v>151</v>
      </c>
      <c r="G191">
        <v>62</v>
      </c>
      <c r="H191">
        <v>2681</v>
      </c>
      <c r="I191">
        <v>0.68887666845291196</v>
      </c>
      <c r="J191">
        <v>0.99728819895371701</v>
      </c>
      <c r="K191">
        <v>0.85911130100405897</v>
      </c>
      <c r="L191" t="s">
        <v>597</v>
      </c>
      <c r="M191" t="str">
        <f>HYPERLINK("../../3.KEGG_map/SCI_I-vs-NC-Up/rno05215.html","rno05215")</f>
        <v>rno05215</v>
      </c>
    </row>
    <row r="192" spans="1:13" x14ac:dyDescent="0.25">
      <c r="A192" t="s">
        <v>598</v>
      </c>
      <c r="B192" t="s">
        <v>599</v>
      </c>
      <c r="C192" t="s">
        <v>115</v>
      </c>
      <c r="D192" t="s">
        <v>583</v>
      </c>
      <c r="E192">
        <v>1</v>
      </c>
      <c r="F192">
        <v>151</v>
      </c>
      <c r="G192">
        <v>38</v>
      </c>
      <c r="H192">
        <v>2681</v>
      </c>
      <c r="I192">
        <v>0.89124776976180098</v>
      </c>
      <c r="J192">
        <v>0.99728819895371701</v>
      </c>
      <c r="K192">
        <v>0.46723597072150602</v>
      </c>
      <c r="L192" t="s">
        <v>214</v>
      </c>
      <c r="M192" t="str">
        <f>HYPERLINK("../../3.KEGG_map/SCI_I-vs-NC-Up/rno05218.html","rno05218")</f>
        <v>rno05218</v>
      </c>
    </row>
    <row r="193" spans="1:13" x14ac:dyDescent="0.25">
      <c r="A193" t="s">
        <v>600</v>
      </c>
      <c r="B193" t="s">
        <v>601</v>
      </c>
      <c r="C193" t="s">
        <v>115</v>
      </c>
      <c r="D193" t="s">
        <v>583</v>
      </c>
      <c r="E193">
        <v>1</v>
      </c>
      <c r="F193">
        <v>151</v>
      </c>
      <c r="G193">
        <v>27</v>
      </c>
      <c r="H193">
        <v>2681</v>
      </c>
      <c r="I193">
        <v>0.79259302241378504</v>
      </c>
      <c r="J193">
        <v>0.99728819895371701</v>
      </c>
      <c r="K193">
        <v>0.65759136620063796</v>
      </c>
      <c r="L193" t="s">
        <v>602</v>
      </c>
      <c r="M193" t="str">
        <f>HYPERLINK("../../3.KEGG_map/SCI_I-vs-NC-Up/rno05219.html","rno05219")</f>
        <v>rno05219</v>
      </c>
    </row>
    <row r="194" spans="1:13" x14ac:dyDescent="0.25">
      <c r="A194" t="s">
        <v>603</v>
      </c>
      <c r="B194" t="s">
        <v>604</v>
      </c>
      <c r="C194" t="s">
        <v>115</v>
      </c>
      <c r="D194" t="s">
        <v>583</v>
      </c>
      <c r="E194">
        <v>4</v>
      </c>
      <c r="F194">
        <v>151</v>
      </c>
      <c r="G194">
        <v>62</v>
      </c>
      <c r="H194">
        <v>2681</v>
      </c>
      <c r="I194">
        <v>0.465838378349547</v>
      </c>
      <c r="J194">
        <v>0.99728819895371701</v>
      </c>
      <c r="K194">
        <v>1.14548173467208</v>
      </c>
      <c r="L194" t="s">
        <v>605</v>
      </c>
      <c r="M194" t="str">
        <f>HYPERLINK("../../3.KEGG_map/SCI_I-vs-NC-Up/rno05222.html","rno05222")</f>
        <v>rno05222</v>
      </c>
    </row>
    <row r="195" spans="1:13" x14ac:dyDescent="0.25">
      <c r="A195" t="s">
        <v>606</v>
      </c>
      <c r="B195" t="s">
        <v>607</v>
      </c>
      <c r="C195" t="s">
        <v>115</v>
      </c>
      <c r="D195" t="s">
        <v>583</v>
      </c>
      <c r="E195">
        <v>1</v>
      </c>
      <c r="F195">
        <v>151</v>
      </c>
      <c r="G195">
        <v>57</v>
      </c>
      <c r="H195">
        <v>2681</v>
      </c>
      <c r="I195">
        <v>0.96457629636094899</v>
      </c>
      <c r="J195">
        <v>0.99728819895371701</v>
      </c>
      <c r="K195">
        <v>0.31149064714767</v>
      </c>
      <c r="L195" t="s">
        <v>214</v>
      </c>
      <c r="M195" t="str">
        <f>HYPERLINK("../../3.KEGG_map/SCI_I-vs-NC-Up/rno05224.html","rno05224")</f>
        <v>rno05224</v>
      </c>
    </row>
    <row r="196" spans="1:13" x14ac:dyDescent="0.25">
      <c r="A196" t="s">
        <v>608</v>
      </c>
      <c r="B196" t="s">
        <v>609</v>
      </c>
      <c r="C196" t="s">
        <v>115</v>
      </c>
      <c r="D196" t="s">
        <v>583</v>
      </c>
      <c r="E196">
        <v>6</v>
      </c>
      <c r="F196">
        <v>151</v>
      </c>
      <c r="G196">
        <v>102</v>
      </c>
      <c r="H196">
        <v>2681</v>
      </c>
      <c r="I196">
        <v>0.51842654594314996</v>
      </c>
      <c r="J196">
        <v>0.99728819895371701</v>
      </c>
      <c r="K196">
        <v>1.0444098169069</v>
      </c>
      <c r="L196" t="s">
        <v>610</v>
      </c>
      <c r="M196" t="str">
        <f>HYPERLINK("../../3.KEGG_map/SCI_I-vs-NC-Up/rno05225.html","rno05225")</f>
        <v>rno05225</v>
      </c>
    </row>
    <row r="197" spans="1:13" x14ac:dyDescent="0.25">
      <c r="A197" t="s">
        <v>611</v>
      </c>
      <c r="B197" t="s">
        <v>612</v>
      </c>
      <c r="C197" t="s">
        <v>115</v>
      </c>
      <c r="D197" t="s">
        <v>583</v>
      </c>
      <c r="E197">
        <v>2</v>
      </c>
      <c r="F197">
        <v>151</v>
      </c>
      <c r="G197">
        <v>76</v>
      </c>
      <c r="H197">
        <v>2681</v>
      </c>
      <c r="I197">
        <v>0.93507175402700704</v>
      </c>
      <c r="J197">
        <v>0.99728819895371701</v>
      </c>
      <c r="K197">
        <v>0.46723597072150602</v>
      </c>
      <c r="L197" t="s">
        <v>613</v>
      </c>
      <c r="M197" t="str">
        <f>HYPERLINK("../../3.KEGG_map/SCI_I-vs-NC-Up/rno05226.html","rno05226")</f>
        <v>rno05226</v>
      </c>
    </row>
    <row r="198" spans="1:13" x14ac:dyDescent="0.25">
      <c r="A198" t="s">
        <v>614</v>
      </c>
      <c r="B198" t="s">
        <v>615</v>
      </c>
      <c r="C198" t="s">
        <v>115</v>
      </c>
      <c r="D198" t="s">
        <v>566</v>
      </c>
      <c r="E198">
        <v>3</v>
      </c>
      <c r="F198">
        <v>151</v>
      </c>
      <c r="G198">
        <v>34</v>
      </c>
      <c r="H198">
        <v>2681</v>
      </c>
      <c r="I198">
        <v>0.29930945228044398</v>
      </c>
      <c r="J198">
        <v>0.99728819895371701</v>
      </c>
      <c r="K198">
        <v>1.56661472536034</v>
      </c>
      <c r="L198" t="s">
        <v>616</v>
      </c>
      <c r="M198" t="str">
        <f>HYPERLINK("../../3.KEGG_map/SCI_I-vs-NC-Up/rno05230.html","rno05230")</f>
        <v>rno05230</v>
      </c>
    </row>
    <row r="199" spans="1:13" x14ac:dyDescent="0.25">
      <c r="A199" t="s">
        <v>617</v>
      </c>
      <c r="B199" t="s">
        <v>618</v>
      </c>
      <c r="C199" t="s">
        <v>115</v>
      </c>
      <c r="D199" t="s">
        <v>566</v>
      </c>
      <c r="E199">
        <v>1</v>
      </c>
      <c r="F199">
        <v>151</v>
      </c>
      <c r="G199">
        <v>61</v>
      </c>
      <c r="H199">
        <v>2681</v>
      </c>
      <c r="I199">
        <v>0.972056910763611</v>
      </c>
      <c r="J199">
        <v>0.99728819895371701</v>
      </c>
      <c r="K199">
        <v>0.29106503094126601</v>
      </c>
      <c r="L199" t="s">
        <v>203</v>
      </c>
      <c r="M199" t="str">
        <f>HYPERLINK("../../3.KEGG_map/SCI_I-vs-NC-Up/rno05231.html","rno05231")</f>
        <v>rno05231</v>
      </c>
    </row>
    <row r="200" spans="1:13" x14ac:dyDescent="0.25">
      <c r="A200" t="s">
        <v>619</v>
      </c>
      <c r="B200" t="s">
        <v>620</v>
      </c>
      <c r="C200" t="s">
        <v>115</v>
      </c>
      <c r="D200" t="s">
        <v>621</v>
      </c>
      <c r="E200">
        <v>1</v>
      </c>
      <c r="F200">
        <v>151</v>
      </c>
      <c r="G200">
        <v>11</v>
      </c>
      <c r="H200">
        <v>2681</v>
      </c>
      <c r="I200">
        <v>0.47212925216784601</v>
      </c>
      <c r="J200">
        <v>0.99728819895371701</v>
      </c>
      <c r="K200">
        <v>1.61408789885611</v>
      </c>
      <c r="L200" t="s">
        <v>461</v>
      </c>
      <c r="M200" t="str">
        <f>HYPERLINK("../../3.KEGG_map/SCI_I-vs-NC-Up/rno05320.html","rno05320")</f>
        <v>rno05320</v>
      </c>
    </row>
    <row r="201" spans="1:13" x14ac:dyDescent="0.25">
      <c r="A201" t="s">
        <v>622</v>
      </c>
      <c r="B201" t="s">
        <v>623</v>
      </c>
      <c r="C201" t="s">
        <v>115</v>
      </c>
      <c r="D201" t="s">
        <v>621</v>
      </c>
      <c r="E201">
        <v>2</v>
      </c>
      <c r="F201">
        <v>151</v>
      </c>
      <c r="G201">
        <v>14</v>
      </c>
      <c r="H201">
        <v>2681</v>
      </c>
      <c r="I201">
        <v>0.18446874494872301</v>
      </c>
      <c r="J201">
        <v>0.99728819895371701</v>
      </c>
      <c r="K201">
        <v>2.5364238410595998</v>
      </c>
      <c r="L201" t="s">
        <v>624</v>
      </c>
      <c r="M201" t="str">
        <f>HYPERLINK("../../3.KEGG_map/SCI_I-vs-NC-Up/rno05321.html","rno05321")</f>
        <v>rno05321</v>
      </c>
    </row>
    <row r="202" spans="1:13" x14ac:dyDescent="0.25">
      <c r="A202" t="s">
        <v>625</v>
      </c>
      <c r="B202" t="s">
        <v>626</v>
      </c>
      <c r="C202" t="s">
        <v>115</v>
      </c>
      <c r="D202" t="s">
        <v>621</v>
      </c>
      <c r="E202">
        <v>1</v>
      </c>
      <c r="F202">
        <v>151</v>
      </c>
      <c r="G202">
        <v>10</v>
      </c>
      <c r="H202">
        <v>2681</v>
      </c>
      <c r="I202">
        <v>0.44049890180171303</v>
      </c>
      <c r="J202">
        <v>0.99728819895371701</v>
      </c>
      <c r="K202">
        <v>1.7754966887417201</v>
      </c>
      <c r="L202" t="s">
        <v>461</v>
      </c>
      <c r="M202" t="str">
        <f>HYPERLINK("../../3.KEGG_map/SCI_I-vs-NC-Up/rno05322.html","rno05322")</f>
        <v>rno05322</v>
      </c>
    </row>
    <row r="203" spans="1:13" x14ac:dyDescent="0.25">
      <c r="A203" t="s">
        <v>627</v>
      </c>
      <c r="B203" t="s">
        <v>628</v>
      </c>
      <c r="C203" t="s">
        <v>115</v>
      </c>
      <c r="D203" t="s">
        <v>621</v>
      </c>
      <c r="E203">
        <v>1</v>
      </c>
      <c r="F203">
        <v>151</v>
      </c>
      <c r="G203">
        <v>17</v>
      </c>
      <c r="H203">
        <v>2681</v>
      </c>
      <c r="I203">
        <v>0.62788037907557503</v>
      </c>
      <c r="J203">
        <v>0.99728819895371701</v>
      </c>
      <c r="K203">
        <v>1.0444098169069</v>
      </c>
      <c r="L203" t="s">
        <v>461</v>
      </c>
      <c r="M203" t="str">
        <f>HYPERLINK("../../3.KEGG_map/SCI_I-vs-NC-Up/rno05323.html","rno05323")</f>
        <v>rno05323</v>
      </c>
    </row>
    <row r="204" spans="1:13" x14ac:dyDescent="0.25">
      <c r="A204" t="s">
        <v>629</v>
      </c>
      <c r="B204" t="s">
        <v>630</v>
      </c>
      <c r="C204" t="s">
        <v>115</v>
      </c>
      <c r="D204" t="s">
        <v>621</v>
      </c>
      <c r="E204">
        <v>1</v>
      </c>
      <c r="F204">
        <v>151</v>
      </c>
      <c r="G204">
        <v>11</v>
      </c>
      <c r="H204">
        <v>2681</v>
      </c>
      <c r="I204">
        <v>0.47212925216784601</v>
      </c>
      <c r="J204">
        <v>0.99728819895371701</v>
      </c>
      <c r="K204">
        <v>1.61408789885611</v>
      </c>
      <c r="L204" t="s">
        <v>461</v>
      </c>
      <c r="M204" t="str">
        <f>HYPERLINK("../../3.KEGG_map/SCI_I-vs-NC-Up/rno05330.html","rno05330")</f>
        <v>rno05330</v>
      </c>
    </row>
    <row r="205" spans="1:13" x14ac:dyDescent="0.25">
      <c r="A205" t="s">
        <v>631</v>
      </c>
      <c r="B205" t="s">
        <v>632</v>
      </c>
      <c r="C205" t="s">
        <v>115</v>
      </c>
      <c r="D205" t="s">
        <v>621</v>
      </c>
      <c r="E205">
        <v>1</v>
      </c>
      <c r="F205">
        <v>151</v>
      </c>
      <c r="G205">
        <v>11</v>
      </c>
      <c r="H205">
        <v>2681</v>
      </c>
      <c r="I205">
        <v>0.47212925216784601</v>
      </c>
      <c r="J205">
        <v>0.99728819895371701</v>
      </c>
      <c r="K205">
        <v>1.61408789885611</v>
      </c>
      <c r="L205" t="s">
        <v>461</v>
      </c>
      <c r="M205" t="str">
        <f>HYPERLINK("../../3.KEGG_map/SCI_I-vs-NC-Up/rno05332.html","rno05332")</f>
        <v>rno05332</v>
      </c>
    </row>
    <row r="206" spans="1:13" x14ac:dyDescent="0.25">
      <c r="A206" t="s">
        <v>633</v>
      </c>
      <c r="B206" t="s">
        <v>634</v>
      </c>
      <c r="C206" t="s">
        <v>115</v>
      </c>
      <c r="D206" t="s">
        <v>635</v>
      </c>
      <c r="E206">
        <v>6</v>
      </c>
      <c r="F206">
        <v>151</v>
      </c>
      <c r="G206">
        <v>60</v>
      </c>
      <c r="H206">
        <v>2681</v>
      </c>
      <c r="I206">
        <v>0.11853495771240501</v>
      </c>
      <c r="J206">
        <v>0.99053848267822997</v>
      </c>
      <c r="K206">
        <v>1.7754966887417201</v>
      </c>
      <c r="L206" t="s">
        <v>636</v>
      </c>
      <c r="M206" t="str">
        <f>HYPERLINK("../../3.KEGG_map/SCI_I-vs-NC-Up/rno05410.html","rno05410")</f>
        <v>rno05410</v>
      </c>
    </row>
    <row r="207" spans="1:13" x14ac:dyDescent="0.25">
      <c r="A207" t="s">
        <v>637</v>
      </c>
      <c r="B207" t="s">
        <v>638</v>
      </c>
      <c r="C207" t="s">
        <v>115</v>
      </c>
      <c r="D207" t="s">
        <v>635</v>
      </c>
      <c r="E207">
        <v>5</v>
      </c>
      <c r="F207">
        <v>151</v>
      </c>
      <c r="G207">
        <v>59</v>
      </c>
      <c r="H207">
        <v>2681</v>
      </c>
      <c r="I207">
        <v>0.23637207642913499</v>
      </c>
      <c r="J207">
        <v>0.99728819895371701</v>
      </c>
      <c r="K207">
        <v>1.5046582107980699</v>
      </c>
      <c r="L207" t="s">
        <v>639</v>
      </c>
      <c r="M207" t="str">
        <f>HYPERLINK("../../3.KEGG_map/SCI_I-vs-NC-Up/rno05412.html","rno05412")</f>
        <v>rno05412</v>
      </c>
    </row>
    <row r="208" spans="1:13" x14ac:dyDescent="0.25">
      <c r="A208" t="s">
        <v>640</v>
      </c>
      <c r="B208" t="s">
        <v>641</v>
      </c>
      <c r="C208" t="s">
        <v>115</v>
      </c>
      <c r="D208" t="s">
        <v>635</v>
      </c>
      <c r="E208">
        <v>6</v>
      </c>
      <c r="F208">
        <v>151</v>
      </c>
      <c r="G208">
        <v>69</v>
      </c>
      <c r="H208">
        <v>2681</v>
      </c>
      <c r="I208">
        <v>0.18998976769744899</v>
      </c>
      <c r="J208">
        <v>0.99728819895371701</v>
      </c>
      <c r="K208">
        <v>1.54391016412324</v>
      </c>
      <c r="L208" t="s">
        <v>636</v>
      </c>
      <c r="M208" t="str">
        <f>HYPERLINK("../../3.KEGG_map/SCI_I-vs-NC-Up/rno05414.html","rno05414")</f>
        <v>rno05414</v>
      </c>
    </row>
    <row r="209" spans="1:13" x14ac:dyDescent="0.25">
      <c r="A209" t="s">
        <v>642</v>
      </c>
      <c r="B209" t="s">
        <v>643</v>
      </c>
      <c r="C209" t="s">
        <v>115</v>
      </c>
      <c r="D209" t="s">
        <v>635</v>
      </c>
      <c r="E209">
        <v>3</v>
      </c>
      <c r="F209">
        <v>151</v>
      </c>
      <c r="G209">
        <v>22</v>
      </c>
      <c r="H209">
        <v>2681</v>
      </c>
      <c r="I209">
        <v>0.123292475567431</v>
      </c>
      <c r="J209">
        <v>0.99053848267822997</v>
      </c>
      <c r="K209">
        <v>2.4211318482841699</v>
      </c>
      <c r="L209" t="s">
        <v>644</v>
      </c>
      <c r="M209" t="str">
        <f>HYPERLINK("../../3.KEGG_map/SCI_I-vs-NC-Up/rno05416.html","rno05416")</f>
        <v>rno05416</v>
      </c>
    </row>
    <row r="210" spans="1:13" x14ac:dyDescent="0.25">
      <c r="A210" t="s">
        <v>645</v>
      </c>
      <c r="B210" t="s">
        <v>646</v>
      </c>
      <c r="C210" t="s">
        <v>115</v>
      </c>
      <c r="D210" t="s">
        <v>635</v>
      </c>
      <c r="E210">
        <v>6</v>
      </c>
      <c r="F210">
        <v>151</v>
      </c>
      <c r="G210">
        <v>81</v>
      </c>
      <c r="H210">
        <v>2681</v>
      </c>
      <c r="I210">
        <v>0.304087461102095</v>
      </c>
      <c r="J210">
        <v>0.99728819895371701</v>
      </c>
      <c r="K210">
        <v>1.3151827324012799</v>
      </c>
      <c r="L210" t="s">
        <v>647</v>
      </c>
      <c r="M210" t="str">
        <f>HYPERLINK("../../3.KEGG_map/SCI_I-vs-NC-Up/rno05418.html","rno05418")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0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1</v>
      </c>
      <c r="F2">
        <v>147</v>
      </c>
      <c r="G2">
        <v>5</v>
      </c>
      <c r="H2">
        <v>2681</v>
      </c>
      <c r="I2">
        <v>0.245854919210551</v>
      </c>
      <c r="J2">
        <v>0.94372487166899099</v>
      </c>
      <c r="K2">
        <v>3.6476190476190502</v>
      </c>
      <c r="L2" t="s">
        <v>17</v>
      </c>
      <c r="M2" t="str">
        <f>HYPERLINK("../../3.KEGG_map/SCI_II-vs-NC-Up/rno00010.html","rno00010")</f>
        <v>rno00010</v>
      </c>
    </row>
    <row r="3" spans="1:13" x14ac:dyDescent="0.25">
      <c r="A3" t="s">
        <v>23</v>
      </c>
      <c r="B3" t="s">
        <v>24</v>
      </c>
      <c r="C3" t="s">
        <v>15</v>
      </c>
      <c r="D3" t="s">
        <v>25</v>
      </c>
      <c r="E3">
        <v>1</v>
      </c>
      <c r="F3">
        <v>147</v>
      </c>
      <c r="G3">
        <v>6</v>
      </c>
      <c r="H3">
        <v>2681</v>
      </c>
      <c r="I3">
        <v>0.28728217140638401</v>
      </c>
      <c r="J3">
        <v>0.94372487166899099</v>
      </c>
      <c r="K3">
        <v>3.03968253968254</v>
      </c>
      <c r="L3" t="s">
        <v>648</v>
      </c>
      <c r="M3" t="str">
        <f>HYPERLINK("../../3.KEGG_map/SCI_II-vs-NC-Up/rno00140.html","rno00140")</f>
        <v>rno00140</v>
      </c>
    </row>
    <row r="4" spans="1:13" x14ac:dyDescent="0.25">
      <c r="A4" t="s">
        <v>649</v>
      </c>
      <c r="B4" t="s">
        <v>650</v>
      </c>
      <c r="C4" t="s">
        <v>15</v>
      </c>
      <c r="D4" t="s">
        <v>651</v>
      </c>
      <c r="E4">
        <v>1</v>
      </c>
      <c r="F4">
        <v>147</v>
      </c>
      <c r="G4">
        <v>21</v>
      </c>
      <c r="H4">
        <v>2681</v>
      </c>
      <c r="I4">
        <v>0.69540560732003498</v>
      </c>
      <c r="J4">
        <v>0.94372487166899099</v>
      </c>
      <c r="K4">
        <v>0.86848072562358303</v>
      </c>
      <c r="L4" t="s">
        <v>652</v>
      </c>
      <c r="M4" t="str">
        <f>HYPERLINK("../../3.KEGG_map/SCI_II-vs-NC-Up/rno00190.html","rno00190")</f>
        <v>rno00190</v>
      </c>
    </row>
    <row r="5" spans="1:13" x14ac:dyDescent="0.25">
      <c r="A5" t="s">
        <v>31</v>
      </c>
      <c r="B5" t="s">
        <v>32</v>
      </c>
      <c r="C5" t="s">
        <v>15</v>
      </c>
      <c r="D5" t="s">
        <v>33</v>
      </c>
      <c r="E5">
        <v>3</v>
      </c>
      <c r="F5">
        <v>147</v>
      </c>
      <c r="G5">
        <v>57</v>
      </c>
      <c r="H5">
        <v>2681</v>
      </c>
      <c r="I5">
        <v>0.61364593186030503</v>
      </c>
      <c r="J5">
        <v>0.94372487166899099</v>
      </c>
      <c r="K5">
        <v>0.95989974937343403</v>
      </c>
      <c r="L5" t="s">
        <v>653</v>
      </c>
      <c r="M5" t="str">
        <f>HYPERLINK("../../3.KEGG_map/SCI_II-vs-NC-Up/rno00230.html","rno00230")</f>
        <v>rno00230</v>
      </c>
    </row>
    <row r="6" spans="1:13" x14ac:dyDescent="0.25">
      <c r="A6" t="s">
        <v>35</v>
      </c>
      <c r="B6" t="s">
        <v>36</v>
      </c>
      <c r="C6" t="s">
        <v>15</v>
      </c>
      <c r="D6" t="s">
        <v>33</v>
      </c>
      <c r="E6">
        <v>4</v>
      </c>
      <c r="F6">
        <v>147</v>
      </c>
      <c r="G6">
        <v>19</v>
      </c>
      <c r="H6">
        <v>2681</v>
      </c>
      <c r="I6">
        <v>1.7635915135692001E-2</v>
      </c>
      <c r="J6">
        <v>0.77085328660669505</v>
      </c>
      <c r="K6">
        <v>3.8395989974937299</v>
      </c>
      <c r="L6" t="s">
        <v>654</v>
      </c>
      <c r="M6" t="str">
        <f>HYPERLINK("../../3.KEGG_map/SCI_II-vs-NC-Up/rno00240.html","rno00240")</f>
        <v>rno00240</v>
      </c>
    </row>
    <row r="7" spans="1:13" x14ac:dyDescent="0.25">
      <c r="A7" t="s">
        <v>655</v>
      </c>
      <c r="B7" t="s">
        <v>656</v>
      </c>
      <c r="C7" t="s">
        <v>15</v>
      </c>
      <c r="D7" t="s">
        <v>29</v>
      </c>
      <c r="E7">
        <v>1</v>
      </c>
      <c r="F7">
        <v>147</v>
      </c>
      <c r="G7">
        <v>35</v>
      </c>
      <c r="H7">
        <v>2681</v>
      </c>
      <c r="I7">
        <v>0.86284814219405104</v>
      </c>
      <c r="J7">
        <v>0.94372487166899099</v>
      </c>
      <c r="K7">
        <v>0.52108843537414995</v>
      </c>
      <c r="L7" t="s">
        <v>657</v>
      </c>
      <c r="M7" t="str">
        <f>HYPERLINK("../../3.KEGG_map/SCI_II-vs-NC-Up/rno00280.html","rno00280")</f>
        <v>rno00280</v>
      </c>
    </row>
    <row r="8" spans="1:13" x14ac:dyDescent="0.25">
      <c r="A8" t="s">
        <v>42</v>
      </c>
      <c r="B8" t="s">
        <v>43</v>
      </c>
      <c r="C8" t="s">
        <v>15</v>
      </c>
      <c r="D8" t="s">
        <v>29</v>
      </c>
      <c r="E8">
        <v>3</v>
      </c>
      <c r="F8">
        <v>147</v>
      </c>
      <c r="G8">
        <v>83</v>
      </c>
      <c r="H8">
        <v>2681</v>
      </c>
      <c r="I8">
        <v>0.84412813523261199</v>
      </c>
      <c r="J8">
        <v>0.94372487166899099</v>
      </c>
      <c r="K8">
        <v>0.65920826161790003</v>
      </c>
      <c r="L8" t="s">
        <v>658</v>
      </c>
      <c r="M8" t="str">
        <f>HYPERLINK("../../3.KEGG_map/SCI_II-vs-NC-Up/rno00310.html","rno00310")</f>
        <v>rno00310</v>
      </c>
    </row>
    <row r="9" spans="1:13" x14ac:dyDescent="0.25">
      <c r="A9" t="s">
        <v>659</v>
      </c>
      <c r="B9" t="s">
        <v>660</v>
      </c>
      <c r="C9" t="s">
        <v>15</v>
      </c>
      <c r="D9" t="s">
        <v>47</v>
      </c>
      <c r="E9">
        <v>1</v>
      </c>
      <c r="F9">
        <v>147</v>
      </c>
      <c r="G9">
        <v>11</v>
      </c>
      <c r="H9">
        <v>2681</v>
      </c>
      <c r="I9">
        <v>0.462857490672896</v>
      </c>
      <c r="J9">
        <v>0.94372487166899099</v>
      </c>
      <c r="K9">
        <v>1.6580086580086599</v>
      </c>
      <c r="L9" t="s">
        <v>657</v>
      </c>
      <c r="M9" t="str">
        <f>HYPERLINK("../../3.KEGG_map/SCI_II-vs-NC-Up/rno00410.html","rno00410")</f>
        <v>rno00410</v>
      </c>
    </row>
    <row r="10" spans="1:13" x14ac:dyDescent="0.25">
      <c r="A10" t="s">
        <v>45</v>
      </c>
      <c r="B10" t="s">
        <v>46</v>
      </c>
      <c r="C10" t="s">
        <v>15</v>
      </c>
      <c r="D10" t="s">
        <v>47</v>
      </c>
      <c r="E10">
        <v>2</v>
      </c>
      <c r="F10">
        <v>147</v>
      </c>
      <c r="G10">
        <v>15</v>
      </c>
      <c r="H10">
        <v>2681</v>
      </c>
      <c r="I10">
        <v>0.19710669063915801</v>
      </c>
      <c r="J10">
        <v>0.94372487166899099</v>
      </c>
      <c r="K10">
        <v>2.4317460317460302</v>
      </c>
      <c r="L10" t="s">
        <v>661</v>
      </c>
      <c r="M10" t="str">
        <f>HYPERLINK("../../3.KEGG_map/SCI_II-vs-NC-Up/rno00480.html","rno00480")</f>
        <v>rno00480</v>
      </c>
    </row>
    <row r="11" spans="1:13" x14ac:dyDescent="0.25">
      <c r="A11" t="s">
        <v>662</v>
      </c>
      <c r="B11" t="s">
        <v>663</v>
      </c>
      <c r="C11" t="s">
        <v>15</v>
      </c>
      <c r="D11" t="s">
        <v>16</v>
      </c>
      <c r="E11">
        <v>1</v>
      </c>
      <c r="F11">
        <v>147</v>
      </c>
      <c r="G11">
        <v>6</v>
      </c>
      <c r="H11">
        <v>2681</v>
      </c>
      <c r="I11">
        <v>0.28728217140638401</v>
      </c>
      <c r="J11">
        <v>0.94372487166899099</v>
      </c>
      <c r="K11">
        <v>3.03968253968254</v>
      </c>
      <c r="L11" t="s">
        <v>664</v>
      </c>
      <c r="M11" t="str">
        <f>HYPERLINK("../../3.KEGG_map/SCI_II-vs-NC-Up/rno00500.html","rno00500")</f>
        <v>rno00500</v>
      </c>
    </row>
    <row r="12" spans="1:13" x14ac:dyDescent="0.25">
      <c r="A12" t="s">
        <v>49</v>
      </c>
      <c r="B12" t="s">
        <v>50</v>
      </c>
      <c r="C12" t="s">
        <v>15</v>
      </c>
      <c r="D12" t="s">
        <v>51</v>
      </c>
      <c r="E12">
        <v>2</v>
      </c>
      <c r="F12">
        <v>147</v>
      </c>
      <c r="G12">
        <v>9</v>
      </c>
      <c r="H12">
        <v>2681</v>
      </c>
      <c r="I12">
        <v>8.3434096433643704E-2</v>
      </c>
      <c r="J12">
        <v>0.94372487166899099</v>
      </c>
      <c r="K12">
        <v>4.0529100529100504</v>
      </c>
      <c r="L12" t="s">
        <v>665</v>
      </c>
      <c r="M12" t="str">
        <f>HYPERLINK("../../3.KEGG_map/SCI_II-vs-NC-Up/rno00514.html","rno00514")</f>
        <v>rno00514</v>
      </c>
    </row>
    <row r="13" spans="1:13" x14ac:dyDescent="0.25">
      <c r="A13" t="s">
        <v>666</v>
      </c>
      <c r="B13" t="s">
        <v>667</v>
      </c>
      <c r="C13" t="s">
        <v>15</v>
      </c>
      <c r="D13" t="s">
        <v>51</v>
      </c>
      <c r="E13">
        <v>1</v>
      </c>
      <c r="F13">
        <v>147</v>
      </c>
      <c r="G13">
        <v>14</v>
      </c>
      <c r="H13">
        <v>2681</v>
      </c>
      <c r="I13">
        <v>0.54681133204965804</v>
      </c>
      <c r="J13">
        <v>0.94372487166899099</v>
      </c>
      <c r="K13">
        <v>1.3027210884353699</v>
      </c>
      <c r="L13" t="s">
        <v>668</v>
      </c>
      <c r="M13" t="str">
        <f>HYPERLINK("../../3.KEGG_map/SCI_II-vs-NC-Up/rno00515.html","rno00515")</f>
        <v>rno00515</v>
      </c>
    </row>
    <row r="14" spans="1:13" x14ac:dyDescent="0.25">
      <c r="A14" t="s">
        <v>53</v>
      </c>
      <c r="B14" t="s">
        <v>54</v>
      </c>
      <c r="C14" t="s">
        <v>15</v>
      </c>
      <c r="D14" t="s">
        <v>16</v>
      </c>
      <c r="E14">
        <v>1</v>
      </c>
      <c r="F14">
        <v>147</v>
      </c>
      <c r="G14">
        <v>22</v>
      </c>
      <c r="H14">
        <v>2681</v>
      </c>
      <c r="I14">
        <v>0.71223845533655905</v>
      </c>
      <c r="J14">
        <v>0.94372487166899099</v>
      </c>
      <c r="K14">
        <v>0.82900432900432897</v>
      </c>
      <c r="L14" t="s">
        <v>669</v>
      </c>
      <c r="M14" t="str">
        <f>HYPERLINK("../../3.KEGG_map/SCI_II-vs-NC-Up/rno00520.html","rno00520")</f>
        <v>rno00520</v>
      </c>
    </row>
    <row r="15" spans="1:13" x14ac:dyDescent="0.25">
      <c r="A15" t="s">
        <v>62</v>
      </c>
      <c r="B15" t="s">
        <v>63</v>
      </c>
      <c r="C15" t="s">
        <v>15</v>
      </c>
      <c r="D15" t="s">
        <v>16</v>
      </c>
      <c r="E15">
        <v>4</v>
      </c>
      <c r="F15">
        <v>147</v>
      </c>
      <c r="G15">
        <v>77</v>
      </c>
      <c r="H15">
        <v>2681</v>
      </c>
      <c r="I15">
        <v>0.61821569538801702</v>
      </c>
      <c r="J15">
        <v>0.94372487166899099</v>
      </c>
      <c r="K15">
        <v>0.94743351886209004</v>
      </c>
      <c r="L15" t="s">
        <v>670</v>
      </c>
      <c r="M15" t="str">
        <f>HYPERLINK("../../3.KEGG_map/SCI_II-vs-NC-Up/rno00562.html","rno00562")</f>
        <v>rno00562</v>
      </c>
    </row>
    <row r="16" spans="1:13" x14ac:dyDescent="0.25">
      <c r="A16" t="s">
        <v>68</v>
      </c>
      <c r="B16" t="s">
        <v>69</v>
      </c>
      <c r="C16" t="s">
        <v>15</v>
      </c>
      <c r="D16" t="s">
        <v>25</v>
      </c>
      <c r="E16">
        <v>3</v>
      </c>
      <c r="F16">
        <v>147</v>
      </c>
      <c r="G16">
        <v>42</v>
      </c>
      <c r="H16">
        <v>2681</v>
      </c>
      <c r="I16">
        <v>0.40748792460739702</v>
      </c>
      <c r="J16">
        <v>0.94372487166899099</v>
      </c>
      <c r="K16">
        <v>1.3027210884353699</v>
      </c>
      <c r="L16" t="s">
        <v>671</v>
      </c>
      <c r="M16" t="str">
        <f>HYPERLINK("../../3.KEGG_map/SCI_II-vs-NC-Up/rno00564.html","rno00564")</f>
        <v>rno00564</v>
      </c>
    </row>
    <row r="17" spans="1:13" x14ac:dyDescent="0.25">
      <c r="A17" t="s">
        <v>71</v>
      </c>
      <c r="B17" t="s">
        <v>72</v>
      </c>
      <c r="C17" t="s">
        <v>15</v>
      </c>
      <c r="D17" t="s">
        <v>25</v>
      </c>
      <c r="E17">
        <v>2</v>
      </c>
      <c r="F17">
        <v>147</v>
      </c>
      <c r="G17">
        <v>28</v>
      </c>
      <c r="H17">
        <v>2681</v>
      </c>
      <c r="I17">
        <v>0.45974674665380899</v>
      </c>
      <c r="J17">
        <v>0.94372487166899099</v>
      </c>
      <c r="K17">
        <v>1.3027210884353699</v>
      </c>
      <c r="L17" t="s">
        <v>672</v>
      </c>
      <c r="M17" t="str">
        <f>HYPERLINK("../../3.KEGG_map/SCI_II-vs-NC-Up/rno00565.html","rno00565")</f>
        <v>rno00565</v>
      </c>
    </row>
    <row r="18" spans="1:13" x14ac:dyDescent="0.25">
      <c r="A18" t="s">
        <v>74</v>
      </c>
      <c r="B18" t="s">
        <v>75</v>
      </c>
      <c r="C18" t="s">
        <v>15</v>
      </c>
      <c r="D18" t="s">
        <v>25</v>
      </c>
      <c r="E18">
        <v>1</v>
      </c>
      <c r="F18">
        <v>147</v>
      </c>
      <c r="G18">
        <v>10</v>
      </c>
      <c r="H18">
        <v>2681</v>
      </c>
      <c r="I18">
        <v>0.43157383422634898</v>
      </c>
      <c r="J18">
        <v>0.94372487166899099</v>
      </c>
      <c r="K18">
        <v>1.82380952380952</v>
      </c>
      <c r="L18" t="s">
        <v>414</v>
      </c>
      <c r="M18" t="str">
        <f>HYPERLINK("../../3.KEGG_map/SCI_II-vs-NC-Up/rno00590.html","rno00590")</f>
        <v>rno00590</v>
      </c>
    </row>
    <row r="19" spans="1:13" x14ac:dyDescent="0.25">
      <c r="A19" t="s">
        <v>77</v>
      </c>
      <c r="B19" t="s">
        <v>78</v>
      </c>
      <c r="C19" t="s">
        <v>15</v>
      </c>
      <c r="D19" t="s">
        <v>25</v>
      </c>
      <c r="E19">
        <v>1</v>
      </c>
      <c r="F19">
        <v>147</v>
      </c>
      <c r="G19">
        <v>6</v>
      </c>
      <c r="H19">
        <v>2681</v>
      </c>
      <c r="I19">
        <v>0.28728217140638401</v>
      </c>
      <c r="J19">
        <v>0.94372487166899099</v>
      </c>
      <c r="K19">
        <v>3.03968253968254</v>
      </c>
      <c r="L19" t="s">
        <v>414</v>
      </c>
      <c r="M19" t="str">
        <f>HYPERLINK("../../3.KEGG_map/SCI_II-vs-NC-Up/rno00591.html","rno00591")</f>
        <v>rno00591</v>
      </c>
    </row>
    <row r="20" spans="1:13" x14ac:dyDescent="0.25">
      <c r="A20" t="s">
        <v>82</v>
      </c>
      <c r="B20" t="s">
        <v>83</v>
      </c>
      <c r="C20" t="s">
        <v>15</v>
      </c>
      <c r="D20" t="s">
        <v>25</v>
      </c>
      <c r="E20">
        <v>2</v>
      </c>
      <c r="F20">
        <v>147</v>
      </c>
      <c r="G20">
        <v>26</v>
      </c>
      <c r="H20">
        <v>2681</v>
      </c>
      <c r="I20">
        <v>0.42170132162215801</v>
      </c>
      <c r="J20">
        <v>0.94372487166899099</v>
      </c>
      <c r="K20">
        <v>1.4029304029303999</v>
      </c>
      <c r="L20" t="s">
        <v>673</v>
      </c>
      <c r="M20" t="str">
        <f>HYPERLINK("../../3.KEGG_map/SCI_II-vs-NC-Up/rno00600.html","rno00600")</f>
        <v>rno00600</v>
      </c>
    </row>
    <row r="21" spans="1:13" x14ac:dyDescent="0.25">
      <c r="A21" t="s">
        <v>85</v>
      </c>
      <c r="B21" t="s">
        <v>86</v>
      </c>
      <c r="C21" t="s">
        <v>15</v>
      </c>
      <c r="D21" t="s">
        <v>51</v>
      </c>
      <c r="E21">
        <v>1</v>
      </c>
      <c r="F21">
        <v>147</v>
      </c>
      <c r="G21">
        <v>5</v>
      </c>
      <c r="H21">
        <v>2681</v>
      </c>
      <c r="I21">
        <v>0.245854919210551</v>
      </c>
      <c r="J21">
        <v>0.94372487166899099</v>
      </c>
      <c r="K21">
        <v>3.6476190476190502</v>
      </c>
      <c r="L21" t="s">
        <v>668</v>
      </c>
      <c r="M21" t="str">
        <f>HYPERLINK("../../3.KEGG_map/SCI_II-vs-NC-Up/rno00601.html","rno00601")</f>
        <v>rno00601</v>
      </c>
    </row>
    <row r="22" spans="1:13" x14ac:dyDescent="0.25">
      <c r="A22" t="s">
        <v>88</v>
      </c>
      <c r="B22" t="s">
        <v>89</v>
      </c>
      <c r="C22" t="s">
        <v>15</v>
      </c>
      <c r="D22" t="s">
        <v>51</v>
      </c>
      <c r="E22">
        <v>3</v>
      </c>
      <c r="F22">
        <v>147</v>
      </c>
      <c r="G22">
        <v>9</v>
      </c>
      <c r="H22">
        <v>2681</v>
      </c>
      <c r="I22">
        <v>1.0625403329891101E-2</v>
      </c>
      <c r="J22">
        <v>0.77085328660669505</v>
      </c>
      <c r="K22">
        <v>6.07936507936508</v>
      </c>
      <c r="L22" t="s">
        <v>674</v>
      </c>
      <c r="M22" t="str">
        <f>HYPERLINK("../../3.KEGG_map/SCI_II-vs-NC-Up/rno00604.html","rno00604")</f>
        <v>rno00604</v>
      </c>
    </row>
    <row r="23" spans="1:13" x14ac:dyDescent="0.25">
      <c r="A23" t="s">
        <v>675</v>
      </c>
      <c r="B23" t="s">
        <v>676</v>
      </c>
      <c r="C23" t="s">
        <v>15</v>
      </c>
      <c r="D23" t="s">
        <v>16</v>
      </c>
      <c r="E23">
        <v>1</v>
      </c>
      <c r="F23">
        <v>147</v>
      </c>
      <c r="G23">
        <v>25</v>
      </c>
      <c r="H23">
        <v>2681</v>
      </c>
      <c r="I23">
        <v>0.75739041387276096</v>
      </c>
      <c r="J23">
        <v>0.94372487166899099</v>
      </c>
      <c r="K23">
        <v>0.72952380952380902</v>
      </c>
      <c r="L23" t="s">
        <v>657</v>
      </c>
      <c r="M23" t="str">
        <f>HYPERLINK("../../3.KEGG_map/SCI_II-vs-NC-Up/rno00640.html","rno00640")</f>
        <v>rno00640</v>
      </c>
    </row>
    <row r="24" spans="1:13" x14ac:dyDescent="0.25">
      <c r="A24" t="s">
        <v>677</v>
      </c>
      <c r="B24" t="s">
        <v>678</v>
      </c>
      <c r="C24" t="s">
        <v>15</v>
      </c>
      <c r="D24" t="s">
        <v>96</v>
      </c>
      <c r="E24">
        <v>1</v>
      </c>
      <c r="F24">
        <v>147</v>
      </c>
      <c r="G24">
        <v>6</v>
      </c>
      <c r="H24">
        <v>2681</v>
      </c>
      <c r="I24">
        <v>0.28728217140638401</v>
      </c>
      <c r="J24">
        <v>0.94372487166899099</v>
      </c>
      <c r="K24">
        <v>3.03968253968254</v>
      </c>
      <c r="L24" t="s">
        <v>664</v>
      </c>
      <c r="M24" t="str">
        <f>HYPERLINK("../../3.KEGG_map/SCI_II-vs-NC-Up/rno00760.html","rno00760")</f>
        <v>rno00760</v>
      </c>
    </row>
    <row r="25" spans="1:13" x14ac:dyDescent="0.25">
      <c r="A25" t="s">
        <v>679</v>
      </c>
      <c r="B25" t="s">
        <v>680</v>
      </c>
      <c r="C25" t="s">
        <v>15</v>
      </c>
      <c r="D25" t="s">
        <v>96</v>
      </c>
      <c r="E25">
        <v>1</v>
      </c>
      <c r="F25">
        <v>147</v>
      </c>
      <c r="G25">
        <v>12</v>
      </c>
      <c r="H25">
        <v>2681</v>
      </c>
      <c r="I25">
        <v>0.49243050523135401</v>
      </c>
      <c r="J25">
        <v>0.94372487166899099</v>
      </c>
      <c r="K25">
        <v>1.51984126984127</v>
      </c>
      <c r="L25" t="s">
        <v>664</v>
      </c>
      <c r="M25" t="str">
        <f>HYPERLINK("../../3.KEGG_map/SCI_II-vs-NC-Up/rno00770.html","rno00770")</f>
        <v>rno00770</v>
      </c>
    </row>
    <row r="26" spans="1:13" x14ac:dyDescent="0.25">
      <c r="A26" t="s">
        <v>101</v>
      </c>
      <c r="B26" t="s">
        <v>102</v>
      </c>
      <c r="C26" t="s">
        <v>15</v>
      </c>
      <c r="D26" t="s">
        <v>103</v>
      </c>
      <c r="E26">
        <v>2</v>
      </c>
      <c r="F26">
        <v>147</v>
      </c>
      <c r="G26">
        <v>14</v>
      </c>
      <c r="H26">
        <v>2681</v>
      </c>
      <c r="I26">
        <v>0.176854061664174</v>
      </c>
      <c r="J26">
        <v>0.94372487166899099</v>
      </c>
      <c r="K26">
        <v>2.6054421768707501</v>
      </c>
      <c r="L26" t="s">
        <v>661</v>
      </c>
      <c r="M26" t="str">
        <f>HYPERLINK("../../3.KEGG_map/SCI_II-vs-NC-Up/rno00980.html","rno00980")</f>
        <v>rno00980</v>
      </c>
    </row>
    <row r="27" spans="1:13" x14ac:dyDescent="0.25">
      <c r="A27" t="s">
        <v>105</v>
      </c>
      <c r="B27" t="s">
        <v>106</v>
      </c>
      <c r="C27" t="s">
        <v>15</v>
      </c>
      <c r="D27" t="s">
        <v>103</v>
      </c>
      <c r="E27">
        <v>2</v>
      </c>
      <c r="F27">
        <v>147</v>
      </c>
      <c r="G27">
        <v>15</v>
      </c>
      <c r="H27">
        <v>2681</v>
      </c>
      <c r="I27">
        <v>0.19710669063915801</v>
      </c>
      <c r="J27">
        <v>0.94372487166899099</v>
      </c>
      <c r="K27">
        <v>2.4317460317460302</v>
      </c>
      <c r="L27" t="s">
        <v>661</v>
      </c>
      <c r="M27" t="str">
        <f>HYPERLINK("../../3.KEGG_map/SCI_II-vs-NC-Up/rno00982.html","rno00982")</f>
        <v>rno00982</v>
      </c>
    </row>
    <row r="28" spans="1:13" x14ac:dyDescent="0.25">
      <c r="A28" t="s">
        <v>107</v>
      </c>
      <c r="B28" t="s">
        <v>108</v>
      </c>
      <c r="C28" t="s">
        <v>15</v>
      </c>
      <c r="D28" t="s">
        <v>103</v>
      </c>
      <c r="E28">
        <v>4</v>
      </c>
      <c r="F28">
        <v>147</v>
      </c>
      <c r="G28">
        <v>21</v>
      </c>
      <c r="H28">
        <v>2681</v>
      </c>
      <c r="I28">
        <v>2.5013069438024602E-2</v>
      </c>
      <c r="J28">
        <v>0.77085328660669505</v>
      </c>
      <c r="K28">
        <v>3.4739229024943299</v>
      </c>
      <c r="L28" t="s">
        <v>681</v>
      </c>
      <c r="M28" t="str">
        <f>HYPERLINK("../../3.KEGG_map/SCI_II-vs-NC-Up/rno00983.html","rno00983")</f>
        <v>rno00983</v>
      </c>
    </row>
    <row r="29" spans="1:13" x14ac:dyDescent="0.25">
      <c r="A29" t="s">
        <v>113</v>
      </c>
      <c r="B29" t="s">
        <v>114</v>
      </c>
      <c r="C29" t="s">
        <v>115</v>
      </c>
      <c r="D29" t="s">
        <v>116</v>
      </c>
      <c r="E29">
        <v>4</v>
      </c>
      <c r="F29">
        <v>147</v>
      </c>
      <c r="G29">
        <v>65</v>
      </c>
      <c r="H29">
        <v>2681</v>
      </c>
      <c r="I29">
        <v>0.48187310593766097</v>
      </c>
      <c r="J29">
        <v>0.94372487166899099</v>
      </c>
      <c r="K29">
        <v>1.1223443223443199</v>
      </c>
      <c r="L29" t="s">
        <v>682</v>
      </c>
      <c r="M29" t="str">
        <f>HYPERLINK("../../3.KEGG_map/SCI_II-vs-NC-Up/rno01521.html","rno01521")</f>
        <v>rno01521</v>
      </c>
    </row>
    <row r="30" spans="1:13" x14ac:dyDescent="0.25">
      <c r="A30" t="s">
        <v>683</v>
      </c>
      <c r="B30" t="s">
        <v>684</v>
      </c>
      <c r="C30" t="s">
        <v>115</v>
      </c>
      <c r="D30" t="s">
        <v>116</v>
      </c>
      <c r="E30">
        <v>5</v>
      </c>
      <c r="F30">
        <v>147</v>
      </c>
      <c r="G30">
        <v>66</v>
      </c>
      <c r="H30">
        <v>2681</v>
      </c>
      <c r="I30">
        <v>0.29393232898209898</v>
      </c>
      <c r="J30">
        <v>0.94372487166899099</v>
      </c>
      <c r="K30">
        <v>1.3816738816738801</v>
      </c>
      <c r="L30" t="s">
        <v>685</v>
      </c>
      <c r="M30" t="str">
        <f>HYPERLINK("../../3.KEGG_map/SCI_II-vs-NC-Up/rno01522.html","rno01522")</f>
        <v>rno01522</v>
      </c>
    </row>
    <row r="31" spans="1:13" x14ac:dyDescent="0.25">
      <c r="A31" t="s">
        <v>686</v>
      </c>
      <c r="B31" t="s">
        <v>687</v>
      </c>
      <c r="C31" t="s">
        <v>115</v>
      </c>
      <c r="D31" t="s">
        <v>116</v>
      </c>
      <c r="E31">
        <v>3</v>
      </c>
      <c r="F31">
        <v>147</v>
      </c>
      <c r="G31">
        <v>15</v>
      </c>
      <c r="H31">
        <v>2681</v>
      </c>
      <c r="I31">
        <v>4.5211973326782499E-2</v>
      </c>
      <c r="J31">
        <v>0.82511851321378105</v>
      </c>
      <c r="K31">
        <v>3.6476190476190502</v>
      </c>
      <c r="L31" t="s">
        <v>688</v>
      </c>
      <c r="M31" t="str">
        <f>HYPERLINK("../../3.KEGG_map/SCI_II-vs-NC-Up/rno01523.html","rno01523")</f>
        <v>rno01523</v>
      </c>
    </row>
    <row r="32" spans="1:13" x14ac:dyDescent="0.25">
      <c r="A32" t="s">
        <v>118</v>
      </c>
      <c r="B32" t="s">
        <v>119</v>
      </c>
      <c r="C32" t="s">
        <v>115</v>
      </c>
      <c r="D32" t="s">
        <v>116</v>
      </c>
      <c r="E32">
        <v>6</v>
      </c>
      <c r="F32">
        <v>147</v>
      </c>
      <c r="G32">
        <v>45</v>
      </c>
      <c r="H32">
        <v>2681</v>
      </c>
      <c r="I32">
        <v>3.4012369665638899E-2</v>
      </c>
      <c r="J32">
        <v>0.77085328660669505</v>
      </c>
      <c r="K32">
        <v>2.4317460317460302</v>
      </c>
      <c r="L32" t="s">
        <v>689</v>
      </c>
      <c r="M32" t="str">
        <f>HYPERLINK("../../3.KEGG_map/SCI_II-vs-NC-Up/rno01524.html","rno01524")</f>
        <v>rno01524</v>
      </c>
    </row>
    <row r="33" spans="1:13" x14ac:dyDescent="0.25">
      <c r="A33" t="s">
        <v>121</v>
      </c>
      <c r="B33" t="s">
        <v>122</v>
      </c>
      <c r="C33" t="s">
        <v>123</v>
      </c>
      <c r="D33" t="s">
        <v>124</v>
      </c>
      <c r="E33">
        <v>3</v>
      </c>
      <c r="F33">
        <v>147</v>
      </c>
      <c r="G33">
        <v>25</v>
      </c>
      <c r="H33">
        <v>2681</v>
      </c>
      <c r="I33">
        <v>0.15433086452700701</v>
      </c>
      <c r="J33">
        <v>0.94372487166899099</v>
      </c>
      <c r="K33">
        <v>2.1885714285714299</v>
      </c>
      <c r="L33" t="s">
        <v>690</v>
      </c>
      <c r="M33" t="str">
        <f>HYPERLINK("../../3.KEGG_map/SCI_II-vs-NC-Up/rno02010.html","rno02010")</f>
        <v>rno02010</v>
      </c>
    </row>
    <row r="34" spans="1:13" x14ac:dyDescent="0.25">
      <c r="A34" t="s">
        <v>126</v>
      </c>
      <c r="B34" t="s">
        <v>127</v>
      </c>
      <c r="C34" t="s">
        <v>128</v>
      </c>
      <c r="D34" t="s">
        <v>129</v>
      </c>
      <c r="E34">
        <v>1</v>
      </c>
      <c r="F34">
        <v>147</v>
      </c>
      <c r="G34">
        <v>26</v>
      </c>
      <c r="H34">
        <v>2681</v>
      </c>
      <c r="I34">
        <v>0.77081797756278503</v>
      </c>
      <c r="J34">
        <v>0.94372487166899099</v>
      </c>
      <c r="K34">
        <v>0.70146520146520097</v>
      </c>
      <c r="L34" t="s">
        <v>130</v>
      </c>
      <c r="M34" t="str">
        <f>HYPERLINK("../../3.KEGG_map/SCI_II-vs-NC-Up/rno03008.html","rno03008")</f>
        <v>rno03008</v>
      </c>
    </row>
    <row r="35" spans="1:13" x14ac:dyDescent="0.25">
      <c r="A35" t="s">
        <v>131</v>
      </c>
      <c r="B35" t="s">
        <v>132</v>
      </c>
      <c r="C35" t="s">
        <v>128</v>
      </c>
      <c r="D35" t="s">
        <v>129</v>
      </c>
      <c r="E35">
        <v>7</v>
      </c>
      <c r="F35">
        <v>147</v>
      </c>
      <c r="G35">
        <v>58</v>
      </c>
      <c r="H35">
        <v>2681</v>
      </c>
      <c r="I35">
        <v>3.6992705982571497E-2</v>
      </c>
      <c r="J35">
        <v>0.77085328660669505</v>
      </c>
      <c r="K35">
        <v>2.20114942528736</v>
      </c>
      <c r="L35" t="s">
        <v>691</v>
      </c>
      <c r="M35" t="str">
        <f>HYPERLINK("../../3.KEGG_map/SCI_II-vs-NC-Up/rno03013.html","rno03013")</f>
        <v>rno03013</v>
      </c>
    </row>
    <row r="36" spans="1:13" x14ac:dyDescent="0.25">
      <c r="A36" t="s">
        <v>134</v>
      </c>
      <c r="B36" t="s">
        <v>135</v>
      </c>
      <c r="C36" t="s">
        <v>128</v>
      </c>
      <c r="D36" t="s">
        <v>129</v>
      </c>
      <c r="E36">
        <v>4</v>
      </c>
      <c r="F36">
        <v>147</v>
      </c>
      <c r="G36">
        <v>47</v>
      </c>
      <c r="H36">
        <v>2681</v>
      </c>
      <c r="I36">
        <v>0.25537420194329302</v>
      </c>
      <c r="J36">
        <v>0.94372487166899099</v>
      </c>
      <c r="K36">
        <v>1.55217831813576</v>
      </c>
      <c r="L36" t="s">
        <v>692</v>
      </c>
      <c r="M36" t="str">
        <f>HYPERLINK("../../3.KEGG_map/SCI_II-vs-NC-Up/rno03015.html","rno03015")</f>
        <v>rno03015</v>
      </c>
    </row>
    <row r="37" spans="1:13" x14ac:dyDescent="0.25">
      <c r="A37" t="s">
        <v>137</v>
      </c>
      <c r="B37" t="s">
        <v>138</v>
      </c>
      <c r="C37" t="s">
        <v>128</v>
      </c>
      <c r="D37" t="s">
        <v>139</v>
      </c>
      <c r="E37">
        <v>2</v>
      </c>
      <c r="F37">
        <v>147</v>
      </c>
      <c r="G37">
        <v>53</v>
      </c>
      <c r="H37">
        <v>2681</v>
      </c>
      <c r="I37">
        <v>0.79779645402864297</v>
      </c>
      <c r="J37">
        <v>0.94372487166899099</v>
      </c>
      <c r="K37">
        <v>0.68823000898472597</v>
      </c>
      <c r="L37" t="s">
        <v>693</v>
      </c>
      <c r="M37" t="str">
        <f>HYPERLINK("../../3.KEGG_map/SCI_II-vs-NC-Up/rno03018.html","rno03018")</f>
        <v>rno03018</v>
      </c>
    </row>
    <row r="38" spans="1:13" x14ac:dyDescent="0.25">
      <c r="A38" t="s">
        <v>694</v>
      </c>
      <c r="B38" t="s">
        <v>695</v>
      </c>
      <c r="C38" t="s">
        <v>128</v>
      </c>
      <c r="D38" t="s">
        <v>143</v>
      </c>
      <c r="E38">
        <v>1</v>
      </c>
      <c r="F38">
        <v>147</v>
      </c>
      <c r="G38">
        <v>21</v>
      </c>
      <c r="H38">
        <v>2681</v>
      </c>
      <c r="I38">
        <v>0.69540560732003498</v>
      </c>
      <c r="J38">
        <v>0.94372487166899099</v>
      </c>
      <c r="K38">
        <v>0.86848072562358303</v>
      </c>
      <c r="L38" t="s">
        <v>696</v>
      </c>
      <c r="M38" t="str">
        <f>HYPERLINK("../../3.KEGG_map/SCI_II-vs-NC-Up/rno03022.html","rno03022")</f>
        <v>rno03022</v>
      </c>
    </row>
    <row r="39" spans="1:13" x14ac:dyDescent="0.25">
      <c r="A39" t="s">
        <v>141</v>
      </c>
      <c r="B39" t="s">
        <v>142</v>
      </c>
      <c r="C39" t="s">
        <v>128</v>
      </c>
      <c r="D39" t="s">
        <v>143</v>
      </c>
      <c r="E39">
        <v>2</v>
      </c>
      <c r="F39">
        <v>147</v>
      </c>
      <c r="G39">
        <v>30</v>
      </c>
      <c r="H39">
        <v>2681</v>
      </c>
      <c r="I39">
        <v>0.49631449711895997</v>
      </c>
      <c r="J39">
        <v>0.94372487166899099</v>
      </c>
      <c r="K39">
        <v>1.21587301587302</v>
      </c>
      <c r="L39" t="s">
        <v>697</v>
      </c>
      <c r="M39" t="str">
        <f>HYPERLINK("../../3.KEGG_map/SCI_II-vs-NC-Up/rno03040.html","rno03040")</f>
        <v>rno03040</v>
      </c>
    </row>
    <row r="40" spans="1:13" x14ac:dyDescent="0.25">
      <c r="A40" t="s">
        <v>148</v>
      </c>
      <c r="B40" t="s">
        <v>149</v>
      </c>
      <c r="C40" t="s">
        <v>150</v>
      </c>
      <c r="D40" t="s">
        <v>151</v>
      </c>
      <c r="E40">
        <v>2</v>
      </c>
      <c r="F40">
        <v>147</v>
      </c>
      <c r="G40">
        <v>54</v>
      </c>
      <c r="H40">
        <v>2681</v>
      </c>
      <c r="I40">
        <v>0.80631591619301601</v>
      </c>
      <c r="J40">
        <v>0.94372487166899099</v>
      </c>
      <c r="K40">
        <v>0.67548500881834195</v>
      </c>
      <c r="L40" t="s">
        <v>698</v>
      </c>
      <c r="M40" t="str">
        <f>HYPERLINK("../../3.KEGG_map/SCI_II-vs-NC-Up/rno03320.html","rno03320")</f>
        <v>rno03320</v>
      </c>
    </row>
    <row r="41" spans="1:13" x14ac:dyDescent="0.25">
      <c r="A41" t="s">
        <v>157</v>
      </c>
      <c r="B41" t="s">
        <v>158</v>
      </c>
      <c r="C41" t="s">
        <v>128</v>
      </c>
      <c r="D41" t="s">
        <v>155</v>
      </c>
      <c r="E41">
        <v>2</v>
      </c>
      <c r="F41">
        <v>147</v>
      </c>
      <c r="G41">
        <v>21</v>
      </c>
      <c r="H41">
        <v>2681</v>
      </c>
      <c r="I41">
        <v>0.321386955687954</v>
      </c>
      <c r="J41">
        <v>0.94372487166899099</v>
      </c>
      <c r="K41">
        <v>1.7369614512471701</v>
      </c>
      <c r="L41" t="s">
        <v>699</v>
      </c>
      <c r="M41" t="str">
        <f>HYPERLINK("../../3.KEGG_map/SCI_II-vs-NC-Up/rno03440.html","rno03440")</f>
        <v>rno03440</v>
      </c>
    </row>
    <row r="42" spans="1:13" x14ac:dyDescent="0.25">
      <c r="A42" t="s">
        <v>700</v>
      </c>
      <c r="B42" t="s">
        <v>701</v>
      </c>
      <c r="C42" t="s">
        <v>128</v>
      </c>
      <c r="D42" t="s">
        <v>155</v>
      </c>
      <c r="E42">
        <v>1</v>
      </c>
      <c r="F42">
        <v>147</v>
      </c>
      <c r="G42">
        <v>9</v>
      </c>
      <c r="H42">
        <v>2681</v>
      </c>
      <c r="I42">
        <v>0.39848130101101198</v>
      </c>
      <c r="J42">
        <v>0.94372487166899099</v>
      </c>
      <c r="K42">
        <v>2.0264550264550301</v>
      </c>
      <c r="L42" t="s">
        <v>702</v>
      </c>
      <c r="M42" t="str">
        <f>HYPERLINK("../../3.KEGG_map/SCI_II-vs-NC-Up/rno03450.html","rno03450")</f>
        <v>rno03450</v>
      </c>
    </row>
    <row r="43" spans="1:13" x14ac:dyDescent="0.25">
      <c r="A43" t="s">
        <v>160</v>
      </c>
      <c r="B43" t="s">
        <v>161</v>
      </c>
      <c r="C43" t="s">
        <v>123</v>
      </c>
      <c r="D43" t="s">
        <v>162</v>
      </c>
      <c r="E43">
        <v>9</v>
      </c>
      <c r="F43">
        <v>147</v>
      </c>
      <c r="G43">
        <v>213</v>
      </c>
      <c r="H43">
        <v>2681</v>
      </c>
      <c r="I43">
        <v>0.841135290154018</v>
      </c>
      <c r="J43">
        <v>0.94372487166899099</v>
      </c>
      <c r="K43">
        <v>0.77062374245472798</v>
      </c>
      <c r="L43" t="s">
        <v>703</v>
      </c>
      <c r="M43" t="str">
        <f>HYPERLINK("../../3.KEGG_map/SCI_II-vs-NC-Up/rno04010.html","rno04010")</f>
        <v>rno04010</v>
      </c>
    </row>
    <row r="44" spans="1:13" x14ac:dyDescent="0.25">
      <c r="A44" t="s">
        <v>164</v>
      </c>
      <c r="B44" t="s">
        <v>165</v>
      </c>
      <c r="C44" t="s">
        <v>123</v>
      </c>
      <c r="D44" t="s">
        <v>162</v>
      </c>
      <c r="E44">
        <v>2</v>
      </c>
      <c r="F44">
        <v>147</v>
      </c>
      <c r="G44">
        <v>71</v>
      </c>
      <c r="H44">
        <v>2681</v>
      </c>
      <c r="I44">
        <v>0.90955257534128697</v>
      </c>
      <c r="J44">
        <v>0.958921374898559</v>
      </c>
      <c r="K44">
        <v>0.51374916163648598</v>
      </c>
      <c r="L44" t="s">
        <v>704</v>
      </c>
      <c r="M44" t="str">
        <f>HYPERLINK("../../3.KEGG_map/SCI_II-vs-NC-Up/rno04012.html","rno04012")</f>
        <v>rno04012</v>
      </c>
    </row>
    <row r="45" spans="1:13" x14ac:dyDescent="0.25">
      <c r="A45" t="s">
        <v>167</v>
      </c>
      <c r="B45" t="s">
        <v>168</v>
      </c>
      <c r="C45" t="s">
        <v>123</v>
      </c>
      <c r="D45" t="s">
        <v>162</v>
      </c>
      <c r="E45">
        <v>5</v>
      </c>
      <c r="F45">
        <v>147</v>
      </c>
      <c r="G45">
        <v>131</v>
      </c>
      <c r="H45">
        <v>2681</v>
      </c>
      <c r="I45">
        <v>0.85706818251734695</v>
      </c>
      <c r="J45">
        <v>0.94372487166899099</v>
      </c>
      <c r="K45">
        <v>0.69611050527081098</v>
      </c>
      <c r="L45" t="s">
        <v>705</v>
      </c>
      <c r="M45" t="str">
        <f>HYPERLINK("../../3.KEGG_map/SCI_II-vs-NC-Up/rno04014.html","rno04014")</f>
        <v>rno04014</v>
      </c>
    </row>
    <row r="46" spans="1:13" x14ac:dyDescent="0.25">
      <c r="A46" t="s">
        <v>170</v>
      </c>
      <c r="B46" t="s">
        <v>171</v>
      </c>
      <c r="C46" t="s">
        <v>123</v>
      </c>
      <c r="D46" t="s">
        <v>162</v>
      </c>
      <c r="E46">
        <v>4</v>
      </c>
      <c r="F46">
        <v>147</v>
      </c>
      <c r="G46">
        <v>139</v>
      </c>
      <c r="H46">
        <v>2681</v>
      </c>
      <c r="I46">
        <v>0.95410290009702103</v>
      </c>
      <c r="J46">
        <v>0.97639502393106403</v>
      </c>
      <c r="K46">
        <v>0.52483727303871197</v>
      </c>
      <c r="L46" t="s">
        <v>706</v>
      </c>
      <c r="M46" t="str">
        <f>HYPERLINK("../../3.KEGG_map/SCI_II-vs-NC-Up/rno04015.html","rno04015")</f>
        <v>rno04015</v>
      </c>
    </row>
    <row r="47" spans="1:13" x14ac:dyDescent="0.25">
      <c r="A47" t="s">
        <v>173</v>
      </c>
      <c r="B47" t="s">
        <v>174</v>
      </c>
      <c r="C47" t="s">
        <v>123</v>
      </c>
      <c r="D47" t="s">
        <v>162</v>
      </c>
      <c r="E47">
        <v>4</v>
      </c>
      <c r="F47">
        <v>147</v>
      </c>
      <c r="G47">
        <v>116</v>
      </c>
      <c r="H47">
        <v>2681</v>
      </c>
      <c r="I47">
        <v>0.89040254561682497</v>
      </c>
      <c r="J47">
        <v>0.95587332102982603</v>
      </c>
      <c r="K47">
        <v>0.62889983579638797</v>
      </c>
      <c r="L47" t="s">
        <v>707</v>
      </c>
      <c r="M47" t="str">
        <f>HYPERLINK("../../3.KEGG_map/SCI_II-vs-NC-Up/rno04020.html","rno04020")</f>
        <v>rno04020</v>
      </c>
    </row>
    <row r="48" spans="1:13" x14ac:dyDescent="0.25">
      <c r="A48" t="s">
        <v>176</v>
      </c>
      <c r="B48" t="s">
        <v>177</v>
      </c>
      <c r="C48" t="s">
        <v>123</v>
      </c>
      <c r="D48" t="s">
        <v>162</v>
      </c>
      <c r="E48">
        <v>6</v>
      </c>
      <c r="F48">
        <v>147</v>
      </c>
      <c r="G48">
        <v>156</v>
      </c>
      <c r="H48">
        <v>2681</v>
      </c>
      <c r="I48">
        <v>0.86929137456134697</v>
      </c>
      <c r="J48">
        <v>0.94372487166899099</v>
      </c>
      <c r="K48">
        <v>0.70146520146520097</v>
      </c>
      <c r="L48" t="s">
        <v>708</v>
      </c>
      <c r="M48" t="str">
        <f>HYPERLINK("../../3.KEGG_map/SCI_II-vs-NC-Up/rno04022.html","rno04022")</f>
        <v>rno04022</v>
      </c>
    </row>
    <row r="49" spans="1:13" x14ac:dyDescent="0.25">
      <c r="A49" t="s">
        <v>179</v>
      </c>
      <c r="B49" t="s">
        <v>180</v>
      </c>
      <c r="C49" t="s">
        <v>123</v>
      </c>
      <c r="D49" t="s">
        <v>162</v>
      </c>
      <c r="E49">
        <v>8</v>
      </c>
      <c r="F49">
        <v>147</v>
      </c>
      <c r="G49">
        <v>130</v>
      </c>
      <c r="H49">
        <v>2681</v>
      </c>
      <c r="I49">
        <v>0.42110168697523698</v>
      </c>
      <c r="J49">
        <v>0.94372487166899099</v>
      </c>
      <c r="K49">
        <v>1.1223443223443199</v>
      </c>
      <c r="L49" t="s">
        <v>709</v>
      </c>
      <c r="M49" t="str">
        <f>HYPERLINK("../../3.KEGG_map/SCI_II-vs-NC-Up/rno04024.html","rno04024")</f>
        <v>rno04024</v>
      </c>
    </row>
    <row r="50" spans="1:13" x14ac:dyDescent="0.25">
      <c r="A50" t="s">
        <v>182</v>
      </c>
      <c r="B50" t="s">
        <v>183</v>
      </c>
      <c r="C50" t="s">
        <v>123</v>
      </c>
      <c r="D50" t="s">
        <v>184</v>
      </c>
      <c r="E50">
        <v>2</v>
      </c>
      <c r="F50">
        <v>147</v>
      </c>
      <c r="G50">
        <v>32</v>
      </c>
      <c r="H50">
        <v>2681</v>
      </c>
      <c r="I50">
        <v>0.53128565875701195</v>
      </c>
      <c r="J50">
        <v>0.94372487166899099</v>
      </c>
      <c r="K50">
        <v>1.1398809523809501</v>
      </c>
      <c r="L50" t="s">
        <v>710</v>
      </c>
      <c r="M50" t="str">
        <f>HYPERLINK("../../3.KEGG_map/SCI_II-vs-NC-Up/rno04060.html","rno04060")</f>
        <v>rno04060</v>
      </c>
    </row>
    <row r="51" spans="1:13" x14ac:dyDescent="0.25">
      <c r="A51" t="s">
        <v>186</v>
      </c>
      <c r="B51" t="s">
        <v>187</v>
      </c>
      <c r="C51" t="s">
        <v>150</v>
      </c>
      <c r="D51" t="s">
        <v>188</v>
      </c>
      <c r="E51">
        <v>4</v>
      </c>
      <c r="F51">
        <v>147</v>
      </c>
      <c r="G51">
        <v>98</v>
      </c>
      <c r="H51">
        <v>2681</v>
      </c>
      <c r="I51">
        <v>0.79673422969650998</v>
      </c>
      <c r="J51">
        <v>0.94372487166899099</v>
      </c>
      <c r="K51">
        <v>0.74441205053449899</v>
      </c>
      <c r="L51" t="s">
        <v>711</v>
      </c>
      <c r="M51" t="str">
        <f>HYPERLINK("../../3.KEGG_map/SCI_II-vs-NC-Up/rno04062.html","rno04062")</f>
        <v>rno04062</v>
      </c>
    </row>
    <row r="52" spans="1:13" x14ac:dyDescent="0.25">
      <c r="A52" t="s">
        <v>712</v>
      </c>
      <c r="B52" t="s">
        <v>713</v>
      </c>
      <c r="C52" t="s">
        <v>123</v>
      </c>
      <c r="D52" t="s">
        <v>162</v>
      </c>
      <c r="E52">
        <v>2</v>
      </c>
      <c r="F52">
        <v>147</v>
      </c>
      <c r="G52">
        <v>30</v>
      </c>
      <c r="H52">
        <v>2681</v>
      </c>
      <c r="I52">
        <v>0.49631449711895997</v>
      </c>
      <c r="J52">
        <v>0.94372487166899099</v>
      </c>
      <c r="K52">
        <v>1.21587301587302</v>
      </c>
      <c r="L52" t="s">
        <v>714</v>
      </c>
      <c r="M52" t="str">
        <f>HYPERLINK("../../3.KEGG_map/SCI_II-vs-NC-Up/rno04064.html","rno04064")</f>
        <v>rno04064</v>
      </c>
    </row>
    <row r="53" spans="1:13" x14ac:dyDescent="0.25">
      <c r="A53" t="s">
        <v>190</v>
      </c>
      <c r="B53" t="s">
        <v>191</v>
      </c>
      <c r="C53" t="s">
        <v>123</v>
      </c>
      <c r="D53" t="s">
        <v>162</v>
      </c>
      <c r="E53">
        <v>3</v>
      </c>
      <c r="F53">
        <v>147</v>
      </c>
      <c r="G53">
        <v>51</v>
      </c>
      <c r="H53">
        <v>2681</v>
      </c>
      <c r="I53">
        <v>0.53679035013469401</v>
      </c>
      <c r="J53">
        <v>0.94372487166899099</v>
      </c>
      <c r="K53">
        <v>1.0728291316526599</v>
      </c>
      <c r="L53" t="s">
        <v>715</v>
      </c>
      <c r="M53" t="str">
        <f>HYPERLINK("../../3.KEGG_map/SCI_II-vs-NC-Up/rno04066.html","rno04066")</f>
        <v>rno04066</v>
      </c>
    </row>
    <row r="54" spans="1:13" x14ac:dyDescent="0.25">
      <c r="A54" t="s">
        <v>192</v>
      </c>
      <c r="B54" t="s">
        <v>193</v>
      </c>
      <c r="C54" t="s">
        <v>123</v>
      </c>
      <c r="D54" t="s">
        <v>162</v>
      </c>
      <c r="E54">
        <v>6</v>
      </c>
      <c r="F54">
        <v>147</v>
      </c>
      <c r="G54">
        <v>87</v>
      </c>
      <c r="H54">
        <v>2681</v>
      </c>
      <c r="I54">
        <v>0.34173716542586702</v>
      </c>
      <c r="J54">
        <v>0.94372487166899099</v>
      </c>
      <c r="K54">
        <v>1.25779967159277</v>
      </c>
      <c r="L54" t="s">
        <v>716</v>
      </c>
      <c r="M54" t="str">
        <f>HYPERLINK("../../3.KEGG_map/SCI_II-vs-NC-Up/rno04068.html","rno04068")</f>
        <v>rno04068</v>
      </c>
    </row>
    <row r="55" spans="1:13" x14ac:dyDescent="0.25">
      <c r="A55" t="s">
        <v>195</v>
      </c>
      <c r="B55" t="s">
        <v>196</v>
      </c>
      <c r="C55" t="s">
        <v>123</v>
      </c>
      <c r="D55" t="s">
        <v>162</v>
      </c>
      <c r="E55">
        <v>6</v>
      </c>
      <c r="F55">
        <v>147</v>
      </c>
      <c r="G55">
        <v>102</v>
      </c>
      <c r="H55">
        <v>2681</v>
      </c>
      <c r="I55">
        <v>0.49155550862206399</v>
      </c>
      <c r="J55">
        <v>0.94372487166899099</v>
      </c>
      <c r="K55">
        <v>1.0728291316526599</v>
      </c>
      <c r="L55" t="s">
        <v>717</v>
      </c>
      <c r="M55" t="str">
        <f>HYPERLINK("../../3.KEGG_map/SCI_II-vs-NC-Up/rno04070.html","rno04070")</f>
        <v>rno04070</v>
      </c>
    </row>
    <row r="56" spans="1:13" x14ac:dyDescent="0.25">
      <c r="A56" t="s">
        <v>198</v>
      </c>
      <c r="B56" t="s">
        <v>199</v>
      </c>
      <c r="C56" t="s">
        <v>123</v>
      </c>
      <c r="D56" t="s">
        <v>162</v>
      </c>
      <c r="E56">
        <v>8</v>
      </c>
      <c r="F56">
        <v>147</v>
      </c>
      <c r="G56">
        <v>88</v>
      </c>
      <c r="H56">
        <v>2681</v>
      </c>
      <c r="I56">
        <v>0.106184679384</v>
      </c>
      <c r="J56">
        <v>0.94372487166899099</v>
      </c>
      <c r="K56">
        <v>1.6580086580086599</v>
      </c>
      <c r="L56" t="s">
        <v>718</v>
      </c>
      <c r="M56" t="str">
        <f>HYPERLINK("../../3.KEGG_map/SCI_II-vs-NC-Up/rno04071.html","rno04071")</f>
        <v>rno04071</v>
      </c>
    </row>
    <row r="57" spans="1:13" x14ac:dyDescent="0.25">
      <c r="A57" t="s">
        <v>201</v>
      </c>
      <c r="B57" t="s">
        <v>202</v>
      </c>
      <c r="C57" t="s">
        <v>123</v>
      </c>
      <c r="D57" t="s">
        <v>162</v>
      </c>
      <c r="E57">
        <v>1</v>
      </c>
      <c r="F57">
        <v>147</v>
      </c>
      <c r="G57">
        <v>89</v>
      </c>
      <c r="H57">
        <v>2681</v>
      </c>
      <c r="I57">
        <v>0.99393658452676104</v>
      </c>
      <c r="J57">
        <v>0.99393658452676104</v>
      </c>
      <c r="K57">
        <v>0.20492241840556399</v>
      </c>
      <c r="L57" t="s">
        <v>719</v>
      </c>
      <c r="M57" t="str">
        <f>HYPERLINK("../../3.KEGG_map/SCI_II-vs-NC-Up/rno04072.html","rno04072")</f>
        <v>rno04072</v>
      </c>
    </row>
    <row r="58" spans="1:13" x14ac:dyDescent="0.25">
      <c r="A58" t="s">
        <v>204</v>
      </c>
      <c r="B58" t="s">
        <v>205</v>
      </c>
      <c r="C58" t="s">
        <v>206</v>
      </c>
      <c r="D58" t="s">
        <v>207</v>
      </c>
      <c r="E58">
        <v>5</v>
      </c>
      <c r="F58">
        <v>147</v>
      </c>
      <c r="G58">
        <v>72</v>
      </c>
      <c r="H58">
        <v>2681</v>
      </c>
      <c r="I58">
        <v>0.36031247095782398</v>
      </c>
      <c r="J58">
        <v>0.94372487166899099</v>
      </c>
      <c r="K58">
        <v>1.2665343915343901</v>
      </c>
      <c r="L58" t="s">
        <v>720</v>
      </c>
      <c r="M58" t="str">
        <f>HYPERLINK("../../3.KEGG_map/SCI_II-vs-NC-Up/rno04110.html","rno04110")</f>
        <v>rno04110</v>
      </c>
    </row>
    <row r="59" spans="1:13" x14ac:dyDescent="0.25">
      <c r="A59" t="s">
        <v>209</v>
      </c>
      <c r="B59" t="s">
        <v>210</v>
      </c>
      <c r="C59" t="s">
        <v>206</v>
      </c>
      <c r="D59" t="s">
        <v>207</v>
      </c>
      <c r="E59">
        <v>2</v>
      </c>
      <c r="F59">
        <v>147</v>
      </c>
      <c r="G59">
        <v>70</v>
      </c>
      <c r="H59">
        <v>2681</v>
      </c>
      <c r="I59">
        <v>0.90527966148594496</v>
      </c>
      <c r="J59">
        <v>0.958921374898559</v>
      </c>
      <c r="K59">
        <v>0.52108843537414995</v>
      </c>
      <c r="L59" t="s">
        <v>721</v>
      </c>
      <c r="M59" t="str">
        <f>HYPERLINK("../../3.KEGG_map/SCI_II-vs-NC-Up/rno04114.html","rno04114")</f>
        <v>rno04114</v>
      </c>
    </row>
    <row r="60" spans="1:13" x14ac:dyDescent="0.25">
      <c r="A60" t="s">
        <v>212</v>
      </c>
      <c r="B60" t="s">
        <v>213</v>
      </c>
      <c r="C60" t="s">
        <v>206</v>
      </c>
      <c r="D60" t="s">
        <v>207</v>
      </c>
      <c r="E60">
        <v>2</v>
      </c>
      <c r="F60">
        <v>147</v>
      </c>
      <c r="G60">
        <v>19</v>
      </c>
      <c r="H60">
        <v>2681</v>
      </c>
      <c r="I60">
        <v>0.27993176057001801</v>
      </c>
      <c r="J60">
        <v>0.94372487166899099</v>
      </c>
      <c r="K60">
        <v>1.9197994987468701</v>
      </c>
      <c r="L60" t="s">
        <v>722</v>
      </c>
      <c r="M60" t="str">
        <f>HYPERLINK("../../3.KEGG_map/SCI_II-vs-NC-Up/rno04115.html","rno04115")</f>
        <v>rno04115</v>
      </c>
    </row>
    <row r="61" spans="1:13" x14ac:dyDescent="0.25">
      <c r="A61" t="s">
        <v>215</v>
      </c>
      <c r="B61" t="s">
        <v>216</v>
      </c>
      <c r="C61" t="s">
        <v>128</v>
      </c>
      <c r="D61" t="s">
        <v>139</v>
      </c>
      <c r="E61">
        <v>7</v>
      </c>
      <c r="F61">
        <v>147</v>
      </c>
      <c r="G61">
        <v>120</v>
      </c>
      <c r="H61">
        <v>2681</v>
      </c>
      <c r="I61">
        <v>0.490463163091587</v>
      </c>
      <c r="J61">
        <v>0.94372487166899099</v>
      </c>
      <c r="K61">
        <v>1.06388888888889</v>
      </c>
      <c r="L61" t="s">
        <v>723</v>
      </c>
      <c r="M61" t="str">
        <f>HYPERLINK("../../3.KEGG_map/SCI_II-vs-NC-Up/rno04120.html","rno04120")</f>
        <v>rno04120</v>
      </c>
    </row>
    <row r="62" spans="1:13" x14ac:dyDescent="0.25">
      <c r="A62" t="s">
        <v>218</v>
      </c>
      <c r="B62" t="s">
        <v>219</v>
      </c>
      <c r="C62" t="s">
        <v>206</v>
      </c>
      <c r="D62" t="s">
        <v>220</v>
      </c>
      <c r="E62">
        <v>3</v>
      </c>
      <c r="F62">
        <v>147</v>
      </c>
      <c r="G62">
        <v>77</v>
      </c>
      <c r="H62">
        <v>2681</v>
      </c>
      <c r="I62">
        <v>0.804933093760131</v>
      </c>
      <c r="J62">
        <v>0.94372487166899099</v>
      </c>
      <c r="K62">
        <v>0.710575139146568</v>
      </c>
      <c r="L62" t="s">
        <v>724</v>
      </c>
      <c r="M62" t="str">
        <f>HYPERLINK("../../3.KEGG_map/SCI_II-vs-NC-Up/rno04140.html","rno04140")</f>
        <v>rno04140</v>
      </c>
    </row>
    <row r="63" spans="1:13" x14ac:dyDescent="0.25">
      <c r="A63" t="s">
        <v>221</v>
      </c>
      <c r="B63" t="s">
        <v>222</v>
      </c>
      <c r="C63" t="s">
        <v>128</v>
      </c>
      <c r="D63" t="s">
        <v>139</v>
      </c>
      <c r="E63">
        <v>5</v>
      </c>
      <c r="F63">
        <v>147</v>
      </c>
      <c r="G63">
        <v>86</v>
      </c>
      <c r="H63">
        <v>2681</v>
      </c>
      <c r="I63">
        <v>0.51400865865620604</v>
      </c>
      <c r="J63">
        <v>0.94372487166899099</v>
      </c>
      <c r="K63">
        <v>1.0603543743078601</v>
      </c>
      <c r="L63" t="s">
        <v>725</v>
      </c>
      <c r="M63" t="str">
        <f>HYPERLINK("../../3.KEGG_map/SCI_II-vs-NC-Up/rno04141.html","rno04141")</f>
        <v>rno04141</v>
      </c>
    </row>
    <row r="64" spans="1:13" x14ac:dyDescent="0.25">
      <c r="A64" t="s">
        <v>224</v>
      </c>
      <c r="B64" t="s">
        <v>225</v>
      </c>
      <c r="C64" t="s">
        <v>206</v>
      </c>
      <c r="D64" t="s">
        <v>220</v>
      </c>
      <c r="E64">
        <v>5</v>
      </c>
      <c r="F64">
        <v>147</v>
      </c>
      <c r="G64">
        <v>50</v>
      </c>
      <c r="H64">
        <v>2681</v>
      </c>
      <c r="I64">
        <v>0.13596355679282801</v>
      </c>
      <c r="J64">
        <v>0.94372487166899099</v>
      </c>
      <c r="K64">
        <v>1.82380952380952</v>
      </c>
      <c r="L64" t="s">
        <v>726</v>
      </c>
      <c r="M64" t="str">
        <f>HYPERLINK("../../3.KEGG_map/SCI_II-vs-NC-Up/rno04142.html","rno04142")</f>
        <v>rno04142</v>
      </c>
    </row>
    <row r="65" spans="1:13" x14ac:dyDescent="0.25">
      <c r="A65" t="s">
        <v>227</v>
      </c>
      <c r="B65" t="s">
        <v>228</v>
      </c>
      <c r="C65" t="s">
        <v>206</v>
      </c>
      <c r="D65" t="s">
        <v>220</v>
      </c>
      <c r="E65">
        <v>12</v>
      </c>
      <c r="F65">
        <v>147</v>
      </c>
      <c r="G65">
        <v>193</v>
      </c>
      <c r="H65">
        <v>2681</v>
      </c>
      <c r="I65">
        <v>0.36731057603613798</v>
      </c>
      <c r="J65">
        <v>0.94372487166899099</v>
      </c>
      <c r="K65">
        <v>1.1339748334566999</v>
      </c>
      <c r="L65" t="s">
        <v>727</v>
      </c>
      <c r="M65" t="str">
        <f>HYPERLINK("../../3.KEGG_map/SCI_II-vs-NC-Up/rno04144.html","rno04144")</f>
        <v>rno04144</v>
      </c>
    </row>
    <row r="66" spans="1:13" x14ac:dyDescent="0.25">
      <c r="A66" t="s">
        <v>230</v>
      </c>
      <c r="B66" t="s">
        <v>231</v>
      </c>
      <c r="C66" t="s">
        <v>206</v>
      </c>
      <c r="D66" t="s">
        <v>220</v>
      </c>
      <c r="E66">
        <v>4</v>
      </c>
      <c r="F66">
        <v>147</v>
      </c>
      <c r="G66">
        <v>61</v>
      </c>
      <c r="H66">
        <v>2681</v>
      </c>
      <c r="I66">
        <v>0.43236967124217601</v>
      </c>
      <c r="J66">
        <v>0.94372487166899099</v>
      </c>
      <c r="K66">
        <v>1.1959406713505101</v>
      </c>
      <c r="L66" t="s">
        <v>728</v>
      </c>
      <c r="M66" t="str">
        <f>HYPERLINK("../../3.KEGG_map/SCI_II-vs-NC-Up/rno04145.html","rno04145")</f>
        <v>rno04145</v>
      </c>
    </row>
    <row r="67" spans="1:13" x14ac:dyDescent="0.25">
      <c r="A67" t="s">
        <v>233</v>
      </c>
      <c r="B67" t="s">
        <v>234</v>
      </c>
      <c r="C67" t="s">
        <v>206</v>
      </c>
      <c r="D67" t="s">
        <v>220</v>
      </c>
      <c r="E67">
        <v>1</v>
      </c>
      <c r="F67">
        <v>147</v>
      </c>
      <c r="G67">
        <v>22</v>
      </c>
      <c r="H67">
        <v>2681</v>
      </c>
      <c r="I67">
        <v>0.71223845533655905</v>
      </c>
      <c r="J67">
        <v>0.94372487166899099</v>
      </c>
      <c r="K67">
        <v>0.82900432900432897</v>
      </c>
      <c r="L67" t="s">
        <v>729</v>
      </c>
      <c r="M67" t="str">
        <f>HYPERLINK("../../3.KEGG_map/SCI_II-vs-NC-Up/rno04146.html","rno04146")</f>
        <v>rno04146</v>
      </c>
    </row>
    <row r="68" spans="1:13" x14ac:dyDescent="0.25">
      <c r="A68" t="s">
        <v>236</v>
      </c>
      <c r="B68" t="s">
        <v>237</v>
      </c>
      <c r="C68" t="s">
        <v>123</v>
      </c>
      <c r="D68" t="s">
        <v>162</v>
      </c>
      <c r="E68">
        <v>4</v>
      </c>
      <c r="F68">
        <v>147</v>
      </c>
      <c r="G68">
        <v>89</v>
      </c>
      <c r="H68">
        <v>2681</v>
      </c>
      <c r="I68">
        <v>0.73011430203456995</v>
      </c>
      <c r="J68">
        <v>0.94372487166899099</v>
      </c>
      <c r="K68">
        <v>0.81968967362225797</v>
      </c>
      <c r="L68" t="s">
        <v>730</v>
      </c>
      <c r="M68" t="str">
        <f>HYPERLINK("../../3.KEGG_map/SCI_II-vs-NC-Up/rno04150.html","rno04150")</f>
        <v>rno04150</v>
      </c>
    </row>
    <row r="69" spans="1:13" x14ac:dyDescent="0.25">
      <c r="A69" t="s">
        <v>239</v>
      </c>
      <c r="B69" t="s">
        <v>240</v>
      </c>
      <c r="C69" t="s">
        <v>123</v>
      </c>
      <c r="D69" t="s">
        <v>162</v>
      </c>
      <c r="E69">
        <v>7</v>
      </c>
      <c r="F69">
        <v>147</v>
      </c>
      <c r="G69">
        <v>161</v>
      </c>
      <c r="H69">
        <v>2681</v>
      </c>
      <c r="I69">
        <v>0.79307568411159601</v>
      </c>
      <c r="J69">
        <v>0.94372487166899099</v>
      </c>
      <c r="K69">
        <v>0.79296066252588004</v>
      </c>
      <c r="L69" t="s">
        <v>731</v>
      </c>
      <c r="M69" t="str">
        <f>HYPERLINK("../../3.KEGG_map/SCI_II-vs-NC-Up/rno04151.html","rno04151")</f>
        <v>rno04151</v>
      </c>
    </row>
    <row r="70" spans="1:13" x14ac:dyDescent="0.25">
      <c r="A70" t="s">
        <v>242</v>
      </c>
      <c r="B70" t="s">
        <v>243</v>
      </c>
      <c r="C70" t="s">
        <v>123</v>
      </c>
      <c r="D70" t="s">
        <v>162</v>
      </c>
      <c r="E70">
        <v>1</v>
      </c>
      <c r="F70">
        <v>147</v>
      </c>
      <c r="G70">
        <v>63</v>
      </c>
      <c r="H70">
        <v>2681</v>
      </c>
      <c r="I70">
        <v>0.97255485206190495</v>
      </c>
      <c r="J70">
        <v>0.97856421954998796</v>
      </c>
      <c r="K70">
        <v>0.28949357520786101</v>
      </c>
      <c r="L70" t="s">
        <v>719</v>
      </c>
      <c r="M70" t="str">
        <f>HYPERLINK("../../3.KEGG_map/SCI_II-vs-NC-Up/rno04152.html","rno04152")</f>
        <v>rno04152</v>
      </c>
    </row>
    <row r="71" spans="1:13" x14ac:dyDescent="0.25">
      <c r="A71" t="s">
        <v>245</v>
      </c>
      <c r="B71" t="s">
        <v>246</v>
      </c>
      <c r="C71" t="s">
        <v>206</v>
      </c>
      <c r="D71" t="s">
        <v>207</v>
      </c>
      <c r="E71">
        <v>6</v>
      </c>
      <c r="F71">
        <v>147</v>
      </c>
      <c r="G71">
        <v>62</v>
      </c>
      <c r="H71">
        <v>2681</v>
      </c>
      <c r="I71">
        <v>0.121171635589954</v>
      </c>
      <c r="J71">
        <v>0.94372487166899099</v>
      </c>
      <c r="K71">
        <v>1.7649769585253501</v>
      </c>
      <c r="L71" t="s">
        <v>732</v>
      </c>
      <c r="M71" t="str">
        <f>HYPERLINK("../../3.KEGG_map/SCI_II-vs-NC-Up/rno04210.html","rno04210")</f>
        <v>rno04210</v>
      </c>
    </row>
    <row r="72" spans="1:13" x14ac:dyDescent="0.25">
      <c r="A72" t="s">
        <v>248</v>
      </c>
      <c r="B72" t="s">
        <v>249</v>
      </c>
      <c r="C72" t="s">
        <v>150</v>
      </c>
      <c r="D72" t="s">
        <v>250</v>
      </c>
      <c r="E72">
        <v>1</v>
      </c>
      <c r="F72">
        <v>147</v>
      </c>
      <c r="G72">
        <v>64</v>
      </c>
      <c r="H72">
        <v>2681</v>
      </c>
      <c r="I72">
        <v>0.974095889780354</v>
      </c>
      <c r="J72">
        <v>0.97856421954998796</v>
      </c>
      <c r="K72">
        <v>0.28497023809523803</v>
      </c>
      <c r="L72" t="s">
        <v>719</v>
      </c>
      <c r="M72" t="str">
        <f>HYPERLINK("../../3.KEGG_map/SCI_II-vs-NC-Up/rno04211.html","rno04211")</f>
        <v>rno04211</v>
      </c>
    </row>
    <row r="73" spans="1:13" x14ac:dyDescent="0.25">
      <c r="A73" t="s">
        <v>252</v>
      </c>
      <c r="B73" t="s">
        <v>253</v>
      </c>
      <c r="C73" t="s">
        <v>150</v>
      </c>
      <c r="D73" t="s">
        <v>250</v>
      </c>
      <c r="E73">
        <v>2</v>
      </c>
      <c r="F73">
        <v>147</v>
      </c>
      <c r="G73">
        <v>31</v>
      </c>
      <c r="H73">
        <v>2681</v>
      </c>
      <c r="I73">
        <v>0.51400535869018005</v>
      </c>
      <c r="J73">
        <v>0.94372487166899099</v>
      </c>
      <c r="K73">
        <v>1.1766513056835599</v>
      </c>
      <c r="L73" t="s">
        <v>733</v>
      </c>
      <c r="M73" t="str">
        <f>HYPERLINK("../../3.KEGG_map/SCI_II-vs-NC-Up/rno04213.html","rno04213")</f>
        <v>rno04213</v>
      </c>
    </row>
    <row r="74" spans="1:13" x14ac:dyDescent="0.25">
      <c r="A74" t="s">
        <v>734</v>
      </c>
      <c r="B74" t="s">
        <v>735</v>
      </c>
      <c r="C74" t="s">
        <v>206</v>
      </c>
      <c r="D74" t="s">
        <v>207</v>
      </c>
      <c r="E74">
        <v>3</v>
      </c>
      <c r="F74">
        <v>147</v>
      </c>
      <c r="G74">
        <v>10</v>
      </c>
      <c r="H74">
        <v>2681</v>
      </c>
      <c r="I74">
        <v>1.45764738763148E-2</v>
      </c>
      <c r="J74">
        <v>0.77085328660669505</v>
      </c>
      <c r="K74">
        <v>5.4714285714285698</v>
      </c>
      <c r="L74" t="s">
        <v>736</v>
      </c>
      <c r="M74" t="str">
        <f>HYPERLINK("../../3.KEGG_map/SCI_II-vs-NC-Up/rno04216.html","rno04216")</f>
        <v>rno04216</v>
      </c>
    </row>
    <row r="75" spans="1:13" x14ac:dyDescent="0.25">
      <c r="A75" t="s">
        <v>255</v>
      </c>
      <c r="B75" t="s">
        <v>256</v>
      </c>
      <c r="C75" t="s">
        <v>206</v>
      </c>
      <c r="D75" t="s">
        <v>207</v>
      </c>
      <c r="E75">
        <v>3</v>
      </c>
      <c r="F75">
        <v>147</v>
      </c>
      <c r="G75">
        <v>44</v>
      </c>
      <c r="H75">
        <v>2681</v>
      </c>
      <c r="I75">
        <v>0.43736952074373098</v>
      </c>
      <c r="J75">
        <v>0.94372487166899099</v>
      </c>
      <c r="K75">
        <v>1.2435064935064899</v>
      </c>
      <c r="L75" t="s">
        <v>737</v>
      </c>
      <c r="M75" t="str">
        <f>HYPERLINK("../../3.KEGG_map/SCI_II-vs-NC-Up/rno04217.html","rno04217")</f>
        <v>rno04217</v>
      </c>
    </row>
    <row r="76" spans="1:13" x14ac:dyDescent="0.25">
      <c r="A76" t="s">
        <v>258</v>
      </c>
      <c r="B76" t="s">
        <v>259</v>
      </c>
      <c r="C76" t="s">
        <v>206</v>
      </c>
      <c r="D76" t="s">
        <v>207</v>
      </c>
      <c r="E76">
        <v>11</v>
      </c>
      <c r="F76">
        <v>147</v>
      </c>
      <c r="G76">
        <v>111</v>
      </c>
      <c r="H76">
        <v>2681</v>
      </c>
      <c r="I76">
        <v>3.8145597662708898E-2</v>
      </c>
      <c r="J76">
        <v>0.77085328660669505</v>
      </c>
      <c r="K76">
        <v>1.80737880737881</v>
      </c>
      <c r="L76" t="s">
        <v>738</v>
      </c>
      <c r="M76" t="str">
        <f>HYPERLINK("../../3.KEGG_map/SCI_II-vs-NC-Up/rno04218.html","rno04218")</f>
        <v>rno04218</v>
      </c>
    </row>
    <row r="77" spans="1:13" x14ac:dyDescent="0.25">
      <c r="A77" t="s">
        <v>261</v>
      </c>
      <c r="B77" t="s">
        <v>262</v>
      </c>
      <c r="C77" t="s">
        <v>150</v>
      </c>
      <c r="D77" t="s">
        <v>263</v>
      </c>
      <c r="E77">
        <v>3</v>
      </c>
      <c r="F77">
        <v>147</v>
      </c>
      <c r="G77">
        <v>39</v>
      </c>
      <c r="H77">
        <v>2681</v>
      </c>
      <c r="I77">
        <v>0.36188706408184301</v>
      </c>
      <c r="J77">
        <v>0.94372487166899099</v>
      </c>
      <c r="K77">
        <v>1.4029304029303999</v>
      </c>
      <c r="L77" t="s">
        <v>739</v>
      </c>
      <c r="M77" t="str">
        <f>HYPERLINK("../../3.KEGG_map/SCI_II-vs-NC-Up/rno04260.html","rno04260")</f>
        <v>rno04260</v>
      </c>
    </row>
    <row r="78" spans="1:13" x14ac:dyDescent="0.25">
      <c r="A78" t="s">
        <v>265</v>
      </c>
      <c r="B78" t="s">
        <v>266</v>
      </c>
      <c r="C78" t="s">
        <v>150</v>
      </c>
      <c r="D78" t="s">
        <v>263</v>
      </c>
      <c r="E78">
        <v>5</v>
      </c>
      <c r="F78">
        <v>147</v>
      </c>
      <c r="G78">
        <v>102</v>
      </c>
      <c r="H78">
        <v>2681</v>
      </c>
      <c r="I78">
        <v>0.66821747552802402</v>
      </c>
      <c r="J78">
        <v>0.94372487166899099</v>
      </c>
      <c r="K78">
        <v>0.89402427637721804</v>
      </c>
      <c r="L78" t="s">
        <v>740</v>
      </c>
      <c r="M78" t="str">
        <f>HYPERLINK("../../3.KEGG_map/SCI_II-vs-NC-Up/rno04261.html","rno04261")</f>
        <v>rno04261</v>
      </c>
    </row>
    <row r="79" spans="1:13" x14ac:dyDescent="0.25">
      <c r="A79" t="s">
        <v>268</v>
      </c>
      <c r="B79" t="s">
        <v>269</v>
      </c>
      <c r="C79" t="s">
        <v>150</v>
      </c>
      <c r="D79" t="s">
        <v>263</v>
      </c>
      <c r="E79">
        <v>6</v>
      </c>
      <c r="F79">
        <v>147</v>
      </c>
      <c r="G79">
        <v>132</v>
      </c>
      <c r="H79">
        <v>2681</v>
      </c>
      <c r="I79">
        <v>0.74277987291751901</v>
      </c>
      <c r="J79">
        <v>0.94372487166899099</v>
      </c>
      <c r="K79">
        <v>0.82900432900432897</v>
      </c>
      <c r="L79" t="s">
        <v>741</v>
      </c>
      <c r="M79" t="str">
        <f>HYPERLINK("../../3.KEGG_map/SCI_II-vs-NC-Up/rno04270.html","rno04270")</f>
        <v>rno04270</v>
      </c>
    </row>
    <row r="80" spans="1:13" x14ac:dyDescent="0.25">
      <c r="A80" t="s">
        <v>271</v>
      </c>
      <c r="B80" t="s">
        <v>272</v>
      </c>
      <c r="C80" t="s">
        <v>123</v>
      </c>
      <c r="D80" t="s">
        <v>162</v>
      </c>
      <c r="E80">
        <v>4</v>
      </c>
      <c r="F80">
        <v>147</v>
      </c>
      <c r="G80">
        <v>88</v>
      </c>
      <c r="H80">
        <v>2681</v>
      </c>
      <c r="I80">
        <v>0.72180477093587003</v>
      </c>
      <c r="J80">
        <v>0.94372487166899099</v>
      </c>
      <c r="K80">
        <v>0.82900432900432897</v>
      </c>
      <c r="L80" t="s">
        <v>742</v>
      </c>
      <c r="M80" t="str">
        <f>HYPERLINK("../../3.KEGG_map/SCI_II-vs-NC-Up/rno04310.html","rno04310")</f>
        <v>rno04310</v>
      </c>
    </row>
    <row r="81" spans="1:13" x14ac:dyDescent="0.25">
      <c r="A81" t="s">
        <v>274</v>
      </c>
      <c r="B81" t="s">
        <v>275</v>
      </c>
      <c r="C81" t="s">
        <v>123</v>
      </c>
      <c r="D81" t="s">
        <v>162</v>
      </c>
      <c r="E81">
        <v>5</v>
      </c>
      <c r="F81">
        <v>147</v>
      </c>
      <c r="G81">
        <v>19</v>
      </c>
      <c r="H81">
        <v>2681</v>
      </c>
      <c r="I81">
        <v>2.8795879976087398E-3</v>
      </c>
      <c r="J81">
        <v>0.63062977147631505</v>
      </c>
      <c r="K81">
        <v>4.7994987468671697</v>
      </c>
      <c r="L81" t="s">
        <v>743</v>
      </c>
      <c r="M81" t="str">
        <f>HYPERLINK("../../3.KEGG_map/SCI_II-vs-NC-Up/rno04330.html","rno04330")</f>
        <v>rno04330</v>
      </c>
    </row>
    <row r="82" spans="1:13" x14ac:dyDescent="0.25">
      <c r="A82" t="s">
        <v>277</v>
      </c>
      <c r="B82" t="s">
        <v>278</v>
      </c>
      <c r="C82" t="s">
        <v>123</v>
      </c>
      <c r="D82" t="s">
        <v>162</v>
      </c>
      <c r="E82">
        <v>2</v>
      </c>
      <c r="F82">
        <v>147</v>
      </c>
      <c r="G82">
        <v>25</v>
      </c>
      <c r="H82">
        <v>2681</v>
      </c>
      <c r="I82">
        <v>0.40217518318845702</v>
      </c>
      <c r="J82">
        <v>0.94372487166899099</v>
      </c>
      <c r="K82">
        <v>1.45904761904762</v>
      </c>
      <c r="L82" t="s">
        <v>744</v>
      </c>
      <c r="M82" t="str">
        <f>HYPERLINK("../../3.KEGG_map/SCI_II-vs-NC-Up/rno04340.html","rno04340")</f>
        <v>rno04340</v>
      </c>
    </row>
    <row r="83" spans="1:13" x14ac:dyDescent="0.25">
      <c r="A83" t="s">
        <v>280</v>
      </c>
      <c r="B83" t="s">
        <v>281</v>
      </c>
      <c r="C83" t="s">
        <v>123</v>
      </c>
      <c r="D83" t="s">
        <v>162</v>
      </c>
      <c r="E83">
        <v>3</v>
      </c>
      <c r="F83">
        <v>147</v>
      </c>
      <c r="G83">
        <v>62</v>
      </c>
      <c r="H83">
        <v>2681</v>
      </c>
      <c r="I83">
        <v>0.67088013743423802</v>
      </c>
      <c r="J83">
        <v>0.94372487166899099</v>
      </c>
      <c r="K83">
        <v>0.88248847926267304</v>
      </c>
      <c r="L83" t="s">
        <v>745</v>
      </c>
      <c r="M83" t="str">
        <f>HYPERLINK("../../3.KEGG_map/SCI_II-vs-NC-Up/rno04350.html","rno04350")</f>
        <v>rno04350</v>
      </c>
    </row>
    <row r="84" spans="1:13" x14ac:dyDescent="0.25">
      <c r="A84" t="s">
        <v>283</v>
      </c>
      <c r="B84" t="s">
        <v>284</v>
      </c>
      <c r="C84" t="s">
        <v>150</v>
      </c>
      <c r="D84" t="s">
        <v>285</v>
      </c>
      <c r="E84">
        <v>6</v>
      </c>
      <c r="F84">
        <v>147</v>
      </c>
      <c r="G84">
        <v>115</v>
      </c>
      <c r="H84">
        <v>2681</v>
      </c>
      <c r="I84">
        <v>0.611947714913888</v>
      </c>
      <c r="J84">
        <v>0.94372487166899099</v>
      </c>
      <c r="K84">
        <v>0.95155279503105605</v>
      </c>
      <c r="L84" t="s">
        <v>746</v>
      </c>
      <c r="M84" t="str">
        <f>HYPERLINK("../../3.KEGG_map/SCI_II-vs-NC-Up/rno04360.html","rno04360")</f>
        <v>rno04360</v>
      </c>
    </row>
    <row r="85" spans="1:13" x14ac:dyDescent="0.25">
      <c r="A85" t="s">
        <v>747</v>
      </c>
      <c r="B85" t="s">
        <v>748</v>
      </c>
      <c r="C85" t="s">
        <v>123</v>
      </c>
      <c r="D85" t="s">
        <v>162</v>
      </c>
      <c r="E85">
        <v>2</v>
      </c>
      <c r="F85">
        <v>147</v>
      </c>
      <c r="G85">
        <v>60</v>
      </c>
      <c r="H85">
        <v>2681</v>
      </c>
      <c r="I85">
        <v>0.85106110044109395</v>
      </c>
      <c r="J85">
        <v>0.94372487166899099</v>
      </c>
      <c r="K85">
        <v>0.607936507936508</v>
      </c>
      <c r="L85" t="s">
        <v>704</v>
      </c>
      <c r="M85" t="str">
        <f>HYPERLINK("../../3.KEGG_map/SCI_II-vs-NC-Up/rno04370.html","rno04370")</f>
        <v>rno04370</v>
      </c>
    </row>
    <row r="86" spans="1:13" x14ac:dyDescent="0.25">
      <c r="A86" t="s">
        <v>287</v>
      </c>
      <c r="B86" t="s">
        <v>288</v>
      </c>
      <c r="C86" t="s">
        <v>123</v>
      </c>
      <c r="D86" t="s">
        <v>162</v>
      </c>
      <c r="E86">
        <v>5</v>
      </c>
      <c r="F86">
        <v>147</v>
      </c>
      <c r="G86">
        <v>111</v>
      </c>
      <c r="H86">
        <v>2681</v>
      </c>
      <c r="I86">
        <v>0.739632495130217</v>
      </c>
      <c r="J86">
        <v>0.94372487166899099</v>
      </c>
      <c r="K86">
        <v>0.82153582153582205</v>
      </c>
      <c r="L86" t="s">
        <v>749</v>
      </c>
      <c r="M86" t="str">
        <f>HYPERLINK("../../3.KEGG_map/SCI_II-vs-NC-Up/rno04371.html","rno04371")</f>
        <v>rno04371</v>
      </c>
    </row>
    <row r="87" spans="1:13" x14ac:dyDescent="0.25">
      <c r="A87" t="s">
        <v>290</v>
      </c>
      <c r="B87" t="s">
        <v>291</v>
      </c>
      <c r="C87" t="s">
        <v>150</v>
      </c>
      <c r="D87" t="s">
        <v>285</v>
      </c>
      <c r="E87">
        <v>4</v>
      </c>
      <c r="F87">
        <v>147</v>
      </c>
      <c r="G87">
        <v>64</v>
      </c>
      <c r="H87">
        <v>2681</v>
      </c>
      <c r="I87">
        <v>0.469638745366178</v>
      </c>
      <c r="J87">
        <v>0.94372487166899099</v>
      </c>
      <c r="K87">
        <v>1.1398809523809501</v>
      </c>
      <c r="L87" t="s">
        <v>750</v>
      </c>
      <c r="M87" t="str">
        <f>HYPERLINK("../../3.KEGG_map/SCI_II-vs-NC-Up/rno04380.html","rno04380")</f>
        <v>rno04380</v>
      </c>
    </row>
    <row r="88" spans="1:13" x14ac:dyDescent="0.25">
      <c r="A88" t="s">
        <v>293</v>
      </c>
      <c r="B88" t="s">
        <v>294</v>
      </c>
      <c r="C88" t="s">
        <v>123</v>
      </c>
      <c r="D88" t="s">
        <v>162</v>
      </c>
      <c r="E88">
        <v>3</v>
      </c>
      <c r="F88">
        <v>147</v>
      </c>
      <c r="G88">
        <v>84</v>
      </c>
      <c r="H88">
        <v>2681</v>
      </c>
      <c r="I88">
        <v>0.84995836845272998</v>
      </c>
      <c r="J88">
        <v>0.94372487166899099</v>
      </c>
      <c r="K88">
        <v>0.65136054421768697</v>
      </c>
      <c r="L88" t="s">
        <v>751</v>
      </c>
      <c r="M88" t="str">
        <f>HYPERLINK("../../3.KEGG_map/SCI_II-vs-NC-Up/rno04390.html","rno04390")</f>
        <v>rno04390</v>
      </c>
    </row>
    <row r="89" spans="1:13" x14ac:dyDescent="0.25">
      <c r="A89" t="s">
        <v>296</v>
      </c>
      <c r="B89" t="s">
        <v>297</v>
      </c>
      <c r="C89" t="s">
        <v>123</v>
      </c>
      <c r="D89" t="s">
        <v>162</v>
      </c>
      <c r="E89">
        <v>1</v>
      </c>
      <c r="F89">
        <v>147</v>
      </c>
      <c r="G89">
        <v>26</v>
      </c>
      <c r="H89">
        <v>2681</v>
      </c>
      <c r="I89">
        <v>0.77081797756278503</v>
      </c>
      <c r="J89">
        <v>0.94372487166899099</v>
      </c>
      <c r="K89">
        <v>0.70146520146520097</v>
      </c>
      <c r="L89" t="s">
        <v>298</v>
      </c>
      <c r="M89" t="str">
        <f>HYPERLINK("../../3.KEGG_map/SCI_II-vs-NC-Up/rno04392.html","rno04392")</f>
        <v>rno04392</v>
      </c>
    </row>
    <row r="90" spans="1:13" x14ac:dyDescent="0.25">
      <c r="A90" t="s">
        <v>299</v>
      </c>
      <c r="B90" t="s">
        <v>300</v>
      </c>
      <c r="C90" t="s">
        <v>206</v>
      </c>
      <c r="D90" t="s">
        <v>301</v>
      </c>
      <c r="E90">
        <v>8</v>
      </c>
      <c r="F90">
        <v>147</v>
      </c>
      <c r="G90">
        <v>192</v>
      </c>
      <c r="H90">
        <v>2681</v>
      </c>
      <c r="I90">
        <v>0.84089893093355095</v>
      </c>
      <c r="J90">
        <v>0.94372487166899099</v>
      </c>
      <c r="K90">
        <v>0.759920634920635</v>
      </c>
      <c r="L90" t="s">
        <v>752</v>
      </c>
      <c r="M90" t="str">
        <f>HYPERLINK("../../3.KEGG_map/SCI_II-vs-NC-Up/rno04510.html","rno04510")</f>
        <v>rno04510</v>
      </c>
    </row>
    <row r="91" spans="1:13" x14ac:dyDescent="0.25">
      <c r="A91" t="s">
        <v>303</v>
      </c>
      <c r="B91" t="s">
        <v>304</v>
      </c>
      <c r="C91" t="s">
        <v>123</v>
      </c>
      <c r="D91" t="s">
        <v>184</v>
      </c>
      <c r="E91">
        <v>4</v>
      </c>
      <c r="F91">
        <v>147</v>
      </c>
      <c r="G91">
        <v>70</v>
      </c>
      <c r="H91">
        <v>2681</v>
      </c>
      <c r="I91">
        <v>0.54125351340957595</v>
      </c>
      <c r="J91">
        <v>0.94372487166899099</v>
      </c>
      <c r="K91">
        <v>1.0421768707482999</v>
      </c>
      <c r="L91" t="s">
        <v>753</v>
      </c>
      <c r="M91" t="str">
        <f>HYPERLINK("../../3.KEGG_map/SCI_II-vs-NC-Up/rno04512.html","rno04512")</f>
        <v>rno04512</v>
      </c>
    </row>
    <row r="92" spans="1:13" x14ac:dyDescent="0.25">
      <c r="A92" t="s">
        <v>306</v>
      </c>
      <c r="B92" t="s">
        <v>307</v>
      </c>
      <c r="C92" t="s">
        <v>123</v>
      </c>
      <c r="D92" t="s">
        <v>184</v>
      </c>
      <c r="E92">
        <v>2</v>
      </c>
      <c r="F92">
        <v>147</v>
      </c>
      <c r="G92">
        <v>51</v>
      </c>
      <c r="H92">
        <v>2681</v>
      </c>
      <c r="I92">
        <v>0.77976640991284096</v>
      </c>
      <c r="J92">
        <v>0.94372487166899099</v>
      </c>
      <c r="K92">
        <v>0.71521942110177394</v>
      </c>
      <c r="L92" t="s">
        <v>754</v>
      </c>
      <c r="M92" t="str">
        <f>HYPERLINK("../../3.KEGG_map/SCI_II-vs-NC-Up/rno04514.html","rno04514")</f>
        <v>rno04514</v>
      </c>
    </row>
    <row r="93" spans="1:13" x14ac:dyDescent="0.25">
      <c r="A93" t="s">
        <v>309</v>
      </c>
      <c r="B93" t="s">
        <v>310</v>
      </c>
      <c r="C93" t="s">
        <v>206</v>
      </c>
      <c r="D93" t="s">
        <v>301</v>
      </c>
      <c r="E93">
        <v>5</v>
      </c>
      <c r="F93">
        <v>147</v>
      </c>
      <c r="G93">
        <v>112</v>
      </c>
      <c r="H93">
        <v>2681</v>
      </c>
      <c r="I93">
        <v>0.746835195859613</v>
      </c>
      <c r="J93">
        <v>0.94372487166899099</v>
      </c>
      <c r="K93">
        <v>0.81420068027210901</v>
      </c>
      <c r="L93" t="s">
        <v>755</v>
      </c>
      <c r="M93" t="str">
        <f>HYPERLINK("../../3.KEGG_map/SCI_II-vs-NC-Up/rno04520.html","rno04520")</f>
        <v>rno04520</v>
      </c>
    </row>
    <row r="94" spans="1:13" x14ac:dyDescent="0.25">
      <c r="A94" t="s">
        <v>312</v>
      </c>
      <c r="B94" t="s">
        <v>313</v>
      </c>
      <c r="C94" t="s">
        <v>206</v>
      </c>
      <c r="D94" t="s">
        <v>301</v>
      </c>
      <c r="E94">
        <v>5</v>
      </c>
      <c r="F94">
        <v>147</v>
      </c>
      <c r="G94">
        <v>118</v>
      </c>
      <c r="H94">
        <v>2681</v>
      </c>
      <c r="I94">
        <v>0.78700653467682002</v>
      </c>
      <c r="J94">
        <v>0.94372487166899099</v>
      </c>
      <c r="K94">
        <v>0.77280064568200202</v>
      </c>
      <c r="L94" t="s">
        <v>756</v>
      </c>
      <c r="M94" t="str">
        <f>HYPERLINK("../../3.KEGG_map/SCI_II-vs-NC-Up/rno04530.html","rno04530")</f>
        <v>rno04530</v>
      </c>
    </row>
    <row r="95" spans="1:13" x14ac:dyDescent="0.25">
      <c r="A95" t="s">
        <v>315</v>
      </c>
      <c r="B95" t="s">
        <v>316</v>
      </c>
      <c r="C95" t="s">
        <v>206</v>
      </c>
      <c r="D95" t="s">
        <v>301</v>
      </c>
      <c r="E95">
        <v>4</v>
      </c>
      <c r="F95">
        <v>147</v>
      </c>
      <c r="G95">
        <v>65</v>
      </c>
      <c r="H95">
        <v>2681</v>
      </c>
      <c r="I95">
        <v>0.48187310593766097</v>
      </c>
      <c r="J95">
        <v>0.94372487166899099</v>
      </c>
      <c r="K95">
        <v>1.1223443223443199</v>
      </c>
      <c r="L95" t="s">
        <v>757</v>
      </c>
      <c r="M95" t="str">
        <f>HYPERLINK("../../3.KEGG_map/SCI_II-vs-NC-Up/rno04540.html","rno04540")</f>
        <v>rno04540</v>
      </c>
    </row>
    <row r="96" spans="1:13" x14ac:dyDescent="0.25">
      <c r="A96" t="s">
        <v>318</v>
      </c>
      <c r="B96" t="s">
        <v>319</v>
      </c>
      <c r="C96" t="s">
        <v>206</v>
      </c>
      <c r="D96" t="s">
        <v>301</v>
      </c>
      <c r="E96">
        <v>5</v>
      </c>
      <c r="F96">
        <v>147</v>
      </c>
      <c r="G96">
        <v>60</v>
      </c>
      <c r="H96">
        <v>2681</v>
      </c>
      <c r="I96">
        <v>0.23018978595457901</v>
      </c>
      <c r="J96">
        <v>0.94372487166899099</v>
      </c>
      <c r="K96">
        <v>1.51984126984127</v>
      </c>
      <c r="L96" t="s">
        <v>758</v>
      </c>
      <c r="M96" t="str">
        <f>HYPERLINK("../../3.KEGG_map/SCI_II-vs-NC-Up/rno04550.html","rno04550")</f>
        <v>rno04550</v>
      </c>
    </row>
    <row r="97" spans="1:13" x14ac:dyDescent="0.25">
      <c r="A97" t="s">
        <v>759</v>
      </c>
      <c r="B97" t="s">
        <v>760</v>
      </c>
      <c r="C97" t="s">
        <v>150</v>
      </c>
      <c r="D97" t="s">
        <v>188</v>
      </c>
      <c r="E97">
        <v>2</v>
      </c>
      <c r="F97">
        <v>147</v>
      </c>
      <c r="G97">
        <v>12</v>
      </c>
      <c r="H97">
        <v>2681</v>
      </c>
      <c r="I97">
        <v>0.137554330529852</v>
      </c>
      <c r="J97">
        <v>0.94372487166899099</v>
      </c>
      <c r="K97">
        <v>3.03968253968254</v>
      </c>
      <c r="L97" t="s">
        <v>761</v>
      </c>
      <c r="M97" t="str">
        <f>HYPERLINK("../../3.KEGG_map/SCI_II-vs-NC-Up/rno04610.html","rno04610")</f>
        <v>rno04610</v>
      </c>
    </row>
    <row r="98" spans="1:13" x14ac:dyDescent="0.25">
      <c r="A98" t="s">
        <v>321</v>
      </c>
      <c r="B98" t="s">
        <v>322</v>
      </c>
      <c r="C98" t="s">
        <v>150</v>
      </c>
      <c r="D98" t="s">
        <v>188</v>
      </c>
      <c r="E98">
        <v>5</v>
      </c>
      <c r="F98">
        <v>147</v>
      </c>
      <c r="G98">
        <v>122</v>
      </c>
      <c r="H98">
        <v>2681</v>
      </c>
      <c r="I98">
        <v>0.81095528495671498</v>
      </c>
      <c r="J98">
        <v>0.94372487166899099</v>
      </c>
      <c r="K98">
        <v>0.74746291959406697</v>
      </c>
      <c r="L98" t="s">
        <v>762</v>
      </c>
      <c r="M98" t="str">
        <f>HYPERLINK("../../3.KEGG_map/SCI_II-vs-NC-Up/rno04611.html","rno04611")</f>
        <v>rno04611</v>
      </c>
    </row>
    <row r="99" spans="1:13" x14ac:dyDescent="0.25">
      <c r="A99" t="s">
        <v>324</v>
      </c>
      <c r="B99" t="s">
        <v>325</v>
      </c>
      <c r="C99" t="s">
        <v>150</v>
      </c>
      <c r="D99" t="s">
        <v>188</v>
      </c>
      <c r="E99">
        <v>3</v>
      </c>
      <c r="F99">
        <v>147</v>
      </c>
      <c r="G99">
        <v>23</v>
      </c>
      <c r="H99">
        <v>2681</v>
      </c>
      <c r="I99">
        <v>0.128412740603222</v>
      </c>
      <c r="J99">
        <v>0.94372487166899099</v>
      </c>
      <c r="K99">
        <v>2.3788819875776399</v>
      </c>
      <c r="L99" t="s">
        <v>763</v>
      </c>
      <c r="M99" t="str">
        <f>HYPERLINK("../../3.KEGG_map/SCI_II-vs-NC-Up/rno04612.html","rno04612")</f>
        <v>rno04612</v>
      </c>
    </row>
    <row r="100" spans="1:13" x14ac:dyDescent="0.25">
      <c r="A100" t="s">
        <v>764</v>
      </c>
      <c r="B100" t="s">
        <v>765</v>
      </c>
      <c r="C100" t="s">
        <v>150</v>
      </c>
      <c r="D100" t="s">
        <v>188</v>
      </c>
      <c r="E100">
        <v>2</v>
      </c>
      <c r="F100">
        <v>147</v>
      </c>
      <c r="G100">
        <v>33</v>
      </c>
      <c r="H100">
        <v>2681</v>
      </c>
      <c r="I100">
        <v>0.54814699272059098</v>
      </c>
      <c r="J100">
        <v>0.94372487166899099</v>
      </c>
      <c r="K100">
        <v>1.10533910533911</v>
      </c>
      <c r="L100" t="s">
        <v>766</v>
      </c>
      <c r="M100" t="str">
        <f>HYPERLINK("../../3.KEGG_map/SCI_II-vs-NC-Up/rno04620.html","rno04620")</f>
        <v>rno04620</v>
      </c>
    </row>
    <row r="101" spans="1:13" x14ac:dyDescent="0.25">
      <c r="A101" t="s">
        <v>327</v>
      </c>
      <c r="B101" t="s">
        <v>328</v>
      </c>
      <c r="C101" t="s">
        <v>150</v>
      </c>
      <c r="D101" t="s">
        <v>188</v>
      </c>
      <c r="E101">
        <v>6</v>
      </c>
      <c r="F101">
        <v>147</v>
      </c>
      <c r="G101">
        <v>64</v>
      </c>
      <c r="H101">
        <v>2681</v>
      </c>
      <c r="I101">
        <v>0.13544554871322201</v>
      </c>
      <c r="J101">
        <v>0.94372487166899099</v>
      </c>
      <c r="K101">
        <v>1.7098214285714299</v>
      </c>
      <c r="L101" t="s">
        <v>767</v>
      </c>
      <c r="M101" t="str">
        <f>HYPERLINK("../../3.KEGG_map/SCI_II-vs-NC-Up/rno04621.html","rno04621")</f>
        <v>rno04621</v>
      </c>
    </row>
    <row r="102" spans="1:13" x14ac:dyDescent="0.25">
      <c r="A102" t="s">
        <v>768</v>
      </c>
      <c r="B102" t="s">
        <v>769</v>
      </c>
      <c r="C102" t="s">
        <v>150</v>
      </c>
      <c r="D102" t="s">
        <v>188</v>
      </c>
      <c r="E102">
        <v>2</v>
      </c>
      <c r="F102">
        <v>147</v>
      </c>
      <c r="G102">
        <v>23</v>
      </c>
      <c r="H102">
        <v>2681</v>
      </c>
      <c r="I102">
        <v>0.36224942357967099</v>
      </c>
      <c r="J102">
        <v>0.94372487166899099</v>
      </c>
      <c r="K102">
        <v>1.5859213250517601</v>
      </c>
      <c r="L102" t="s">
        <v>714</v>
      </c>
      <c r="M102" t="str">
        <f>HYPERLINK("../../3.KEGG_map/SCI_II-vs-NC-Up/rno04622.html","rno04622")</f>
        <v>rno04622</v>
      </c>
    </row>
    <row r="103" spans="1:13" x14ac:dyDescent="0.25">
      <c r="A103" t="s">
        <v>330</v>
      </c>
      <c r="B103" t="s">
        <v>331</v>
      </c>
      <c r="C103" t="s">
        <v>150</v>
      </c>
      <c r="D103" t="s">
        <v>188</v>
      </c>
      <c r="E103">
        <v>4</v>
      </c>
      <c r="F103">
        <v>147</v>
      </c>
      <c r="G103">
        <v>69</v>
      </c>
      <c r="H103">
        <v>2681</v>
      </c>
      <c r="I103">
        <v>0.52964069481169596</v>
      </c>
      <c r="J103">
        <v>0.94372487166899099</v>
      </c>
      <c r="K103">
        <v>1.05728088336784</v>
      </c>
      <c r="L103" t="s">
        <v>770</v>
      </c>
      <c r="M103" t="str">
        <f>HYPERLINK("../../3.KEGG_map/SCI_II-vs-NC-Up/rno04625.html","rno04625")</f>
        <v>rno04625</v>
      </c>
    </row>
    <row r="104" spans="1:13" x14ac:dyDescent="0.25">
      <c r="A104" t="s">
        <v>333</v>
      </c>
      <c r="B104" t="s">
        <v>334</v>
      </c>
      <c r="C104" t="s">
        <v>123</v>
      </c>
      <c r="D104" t="s">
        <v>162</v>
      </c>
      <c r="E104">
        <v>4</v>
      </c>
      <c r="F104">
        <v>147</v>
      </c>
      <c r="G104">
        <v>52</v>
      </c>
      <c r="H104">
        <v>2681</v>
      </c>
      <c r="I104">
        <v>0.31798871455500599</v>
      </c>
      <c r="J104">
        <v>0.94372487166899099</v>
      </c>
      <c r="K104">
        <v>1.4029304029303999</v>
      </c>
      <c r="L104" t="s">
        <v>771</v>
      </c>
      <c r="M104" t="str">
        <f>HYPERLINK("../../3.KEGG_map/SCI_II-vs-NC-Up/rno04630.html","rno04630")</f>
        <v>rno04630</v>
      </c>
    </row>
    <row r="105" spans="1:13" x14ac:dyDescent="0.25">
      <c r="A105" t="s">
        <v>772</v>
      </c>
      <c r="B105" t="s">
        <v>773</v>
      </c>
      <c r="C105" t="s">
        <v>150</v>
      </c>
      <c r="D105" t="s">
        <v>188</v>
      </c>
      <c r="E105">
        <v>3</v>
      </c>
      <c r="F105">
        <v>147</v>
      </c>
      <c r="G105">
        <v>60</v>
      </c>
      <c r="H105">
        <v>2681</v>
      </c>
      <c r="I105">
        <v>0.64875232469039701</v>
      </c>
      <c r="J105">
        <v>0.94372487166899099</v>
      </c>
      <c r="K105">
        <v>0.911904761904762</v>
      </c>
      <c r="L105" t="s">
        <v>774</v>
      </c>
      <c r="M105" t="str">
        <f>HYPERLINK("../../3.KEGG_map/SCI_II-vs-NC-Up/rno04650.html","rno04650")</f>
        <v>rno04650</v>
      </c>
    </row>
    <row r="106" spans="1:13" x14ac:dyDescent="0.25">
      <c r="A106" t="s">
        <v>775</v>
      </c>
      <c r="B106" t="s">
        <v>776</v>
      </c>
      <c r="C106" t="s">
        <v>150</v>
      </c>
      <c r="D106" t="s">
        <v>188</v>
      </c>
      <c r="E106">
        <v>2</v>
      </c>
      <c r="F106">
        <v>147</v>
      </c>
      <c r="G106">
        <v>24</v>
      </c>
      <c r="H106">
        <v>2681</v>
      </c>
      <c r="I106">
        <v>0.38234763769554098</v>
      </c>
      <c r="J106">
        <v>0.94372487166899099</v>
      </c>
      <c r="K106">
        <v>1.51984126984127</v>
      </c>
      <c r="L106" t="s">
        <v>714</v>
      </c>
      <c r="M106" t="str">
        <f>HYPERLINK("../../3.KEGG_map/SCI_II-vs-NC-Up/rno04657.html","rno04657")</f>
        <v>rno04657</v>
      </c>
    </row>
    <row r="107" spans="1:13" x14ac:dyDescent="0.25">
      <c r="A107" t="s">
        <v>338</v>
      </c>
      <c r="B107" t="s">
        <v>339</v>
      </c>
      <c r="C107" t="s">
        <v>150</v>
      </c>
      <c r="D107" t="s">
        <v>188</v>
      </c>
      <c r="E107">
        <v>2</v>
      </c>
      <c r="F107">
        <v>147</v>
      </c>
      <c r="G107">
        <v>43</v>
      </c>
      <c r="H107">
        <v>2681</v>
      </c>
      <c r="I107">
        <v>0.69315581719945896</v>
      </c>
      <c r="J107">
        <v>0.94372487166899099</v>
      </c>
      <c r="K107">
        <v>0.84828349944629</v>
      </c>
      <c r="L107" t="s">
        <v>777</v>
      </c>
      <c r="M107" t="str">
        <f>HYPERLINK("../../3.KEGG_map/SCI_II-vs-NC-Up/rno04658.html","rno04658")</f>
        <v>rno04658</v>
      </c>
    </row>
    <row r="108" spans="1:13" x14ac:dyDescent="0.25">
      <c r="A108" t="s">
        <v>341</v>
      </c>
      <c r="B108" t="s">
        <v>342</v>
      </c>
      <c r="C108" t="s">
        <v>150</v>
      </c>
      <c r="D108" t="s">
        <v>188</v>
      </c>
      <c r="E108">
        <v>2</v>
      </c>
      <c r="F108">
        <v>147</v>
      </c>
      <c r="G108">
        <v>61</v>
      </c>
      <c r="H108">
        <v>2681</v>
      </c>
      <c r="I108">
        <v>0.857539628222039</v>
      </c>
      <c r="J108">
        <v>0.94372487166899099</v>
      </c>
      <c r="K108">
        <v>0.59797033567525404</v>
      </c>
      <c r="L108" t="s">
        <v>778</v>
      </c>
      <c r="M108" t="str">
        <f>HYPERLINK("../../3.KEGG_map/SCI_II-vs-NC-Up/rno04659.html","rno04659")</f>
        <v>rno04659</v>
      </c>
    </row>
    <row r="109" spans="1:13" x14ac:dyDescent="0.25">
      <c r="A109" t="s">
        <v>344</v>
      </c>
      <c r="B109" t="s">
        <v>345</v>
      </c>
      <c r="C109" t="s">
        <v>150</v>
      </c>
      <c r="D109" t="s">
        <v>188</v>
      </c>
      <c r="E109">
        <v>3</v>
      </c>
      <c r="F109">
        <v>147</v>
      </c>
      <c r="G109">
        <v>80</v>
      </c>
      <c r="H109">
        <v>2681</v>
      </c>
      <c r="I109">
        <v>0.82545955900964396</v>
      </c>
      <c r="J109">
        <v>0.94372487166899099</v>
      </c>
      <c r="K109">
        <v>0.683928571428571</v>
      </c>
      <c r="L109" t="s">
        <v>779</v>
      </c>
      <c r="M109" t="str">
        <f>HYPERLINK("../../3.KEGG_map/SCI_II-vs-NC-Up/rno04660.html","rno04660")</f>
        <v>rno04660</v>
      </c>
    </row>
    <row r="110" spans="1:13" x14ac:dyDescent="0.25">
      <c r="A110" t="s">
        <v>346</v>
      </c>
      <c r="B110" t="s">
        <v>347</v>
      </c>
      <c r="C110" t="s">
        <v>150</v>
      </c>
      <c r="D110" t="s">
        <v>188</v>
      </c>
      <c r="E110">
        <v>3</v>
      </c>
      <c r="F110">
        <v>147</v>
      </c>
      <c r="G110">
        <v>58</v>
      </c>
      <c r="H110">
        <v>2681</v>
      </c>
      <c r="I110">
        <v>0.625601479860735</v>
      </c>
      <c r="J110">
        <v>0.94372487166899099</v>
      </c>
      <c r="K110">
        <v>0.94334975369458096</v>
      </c>
      <c r="L110" t="s">
        <v>779</v>
      </c>
      <c r="M110" t="str">
        <f>HYPERLINK("../../3.KEGG_map/SCI_II-vs-NC-Up/rno04662.html","rno04662")</f>
        <v>rno04662</v>
      </c>
    </row>
    <row r="111" spans="1:13" x14ac:dyDescent="0.25">
      <c r="A111" t="s">
        <v>780</v>
      </c>
      <c r="B111" t="s">
        <v>781</v>
      </c>
      <c r="C111" t="s">
        <v>150</v>
      </c>
      <c r="D111" t="s">
        <v>188</v>
      </c>
      <c r="E111">
        <v>2</v>
      </c>
      <c r="F111">
        <v>147</v>
      </c>
      <c r="G111">
        <v>40</v>
      </c>
      <c r="H111">
        <v>2681</v>
      </c>
      <c r="I111">
        <v>0.65413916905385805</v>
      </c>
      <c r="J111">
        <v>0.94372487166899099</v>
      </c>
      <c r="K111">
        <v>0.911904761904762</v>
      </c>
      <c r="L111" t="s">
        <v>782</v>
      </c>
      <c r="M111" t="str">
        <f>HYPERLINK("../../3.KEGG_map/SCI_II-vs-NC-Up/rno04664.html","rno04664")</f>
        <v>rno04664</v>
      </c>
    </row>
    <row r="112" spans="1:13" x14ac:dyDescent="0.25">
      <c r="A112" t="s">
        <v>348</v>
      </c>
      <c r="B112" t="s">
        <v>349</v>
      </c>
      <c r="C112" t="s">
        <v>150</v>
      </c>
      <c r="D112" t="s">
        <v>188</v>
      </c>
      <c r="E112">
        <v>2</v>
      </c>
      <c r="F112">
        <v>147</v>
      </c>
      <c r="G112">
        <v>51</v>
      </c>
      <c r="H112">
        <v>2681</v>
      </c>
      <c r="I112">
        <v>0.77976640991284096</v>
      </c>
      <c r="J112">
        <v>0.94372487166899099</v>
      </c>
      <c r="K112">
        <v>0.71521942110177394</v>
      </c>
      <c r="L112" t="s">
        <v>782</v>
      </c>
      <c r="M112" t="str">
        <f>HYPERLINK("../../3.KEGG_map/SCI_II-vs-NC-Up/rno04666.html","rno04666")</f>
        <v>rno04666</v>
      </c>
    </row>
    <row r="113" spans="1:13" x14ac:dyDescent="0.25">
      <c r="A113" t="s">
        <v>350</v>
      </c>
      <c r="B113" t="s">
        <v>351</v>
      </c>
      <c r="C113" t="s">
        <v>123</v>
      </c>
      <c r="D113" t="s">
        <v>162</v>
      </c>
      <c r="E113">
        <v>6</v>
      </c>
      <c r="F113">
        <v>147</v>
      </c>
      <c r="G113">
        <v>65</v>
      </c>
      <c r="H113">
        <v>2681</v>
      </c>
      <c r="I113">
        <v>0.142870298950421</v>
      </c>
      <c r="J113">
        <v>0.94372487166899099</v>
      </c>
      <c r="K113">
        <v>1.68351648351648</v>
      </c>
      <c r="L113" t="s">
        <v>783</v>
      </c>
      <c r="M113" t="str">
        <f>HYPERLINK("../../3.KEGG_map/SCI_II-vs-NC-Up/rno04668.html","rno04668")</f>
        <v>rno04668</v>
      </c>
    </row>
    <row r="114" spans="1:13" x14ac:dyDescent="0.25">
      <c r="A114" t="s">
        <v>353</v>
      </c>
      <c r="B114" t="s">
        <v>354</v>
      </c>
      <c r="C114" t="s">
        <v>150</v>
      </c>
      <c r="D114" t="s">
        <v>188</v>
      </c>
      <c r="E114">
        <v>3</v>
      </c>
      <c r="F114">
        <v>147</v>
      </c>
      <c r="G114">
        <v>63</v>
      </c>
      <c r="H114">
        <v>2681</v>
      </c>
      <c r="I114">
        <v>0.68155895137201605</v>
      </c>
      <c r="J114">
        <v>0.94372487166899099</v>
      </c>
      <c r="K114">
        <v>0.86848072562358303</v>
      </c>
      <c r="L114" t="s">
        <v>784</v>
      </c>
      <c r="M114" t="str">
        <f>HYPERLINK("../../3.KEGG_map/SCI_II-vs-NC-Up/rno04670.html","rno04670")</f>
        <v>rno04670</v>
      </c>
    </row>
    <row r="115" spans="1:13" x14ac:dyDescent="0.25">
      <c r="A115" t="s">
        <v>356</v>
      </c>
      <c r="B115" t="s">
        <v>357</v>
      </c>
      <c r="C115" t="s">
        <v>150</v>
      </c>
      <c r="D115" t="s">
        <v>358</v>
      </c>
      <c r="E115">
        <v>1</v>
      </c>
      <c r="F115">
        <v>147</v>
      </c>
      <c r="G115">
        <v>9</v>
      </c>
      <c r="H115">
        <v>2681</v>
      </c>
      <c r="I115">
        <v>0.39848130101101198</v>
      </c>
      <c r="J115">
        <v>0.94372487166899099</v>
      </c>
      <c r="K115">
        <v>2.0264550264550301</v>
      </c>
      <c r="L115" t="s">
        <v>785</v>
      </c>
      <c r="M115" t="str">
        <f>HYPERLINK("../../3.KEGG_map/SCI_II-vs-NC-Up/rno04710.html","rno04710")</f>
        <v>rno04710</v>
      </c>
    </row>
    <row r="116" spans="1:13" x14ac:dyDescent="0.25">
      <c r="A116" t="s">
        <v>359</v>
      </c>
      <c r="B116" t="s">
        <v>360</v>
      </c>
      <c r="C116" t="s">
        <v>150</v>
      </c>
      <c r="D116" t="s">
        <v>358</v>
      </c>
      <c r="E116">
        <v>4</v>
      </c>
      <c r="F116">
        <v>147</v>
      </c>
      <c r="G116">
        <v>77</v>
      </c>
      <c r="H116">
        <v>2681</v>
      </c>
      <c r="I116">
        <v>0.61821569538801702</v>
      </c>
      <c r="J116">
        <v>0.94372487166899099</v>
      </c>
      <c r="K116">
        <v>0.94743351886209004</v>
      </c>
      <c r="L116" t="s">
        <v>786</v>
      </c>
      <c r="M116" t="str">
        <f>HYPERLINK("../../3.KEGG_map/SCI_II-vs-NC-Up/rno04713.html","rno04713")</f>
        <v>rno04713</v>
      </c>
    </row>
    <row r="117" spans="1:13" x14ac:dyDescent="0.25">
      <c r="A117" t="s">
        <v>362</v>
      </c>
      <c r="B117" t="s">
        <v>363</v>
      </c>
      <c r="C117" t="s">
        <v>150</v>
      </c>
      <c r="D117" t="s">
        <v>358</v>
      </c>
      <c r="E117">
        <v>2</v>
      </c>
      <c r="F117">
        <v>147</v>
      </c>
      <c r="G117">
        <v>74</v>
      </c>
      <c r="H117">
        <v>2681</v>
      </c>
      <c r="I117">
        <v>0.92131950322795197</v>
      </c>
      <c r="J117">
        <v>0.958921374898559</v>
      </c>
      <c r="K117">
        <v>0.49292149292149301</v>
      </c>
      <c r="L117" t="s">
        <v>787</v>
      </c>
      <c r="M117" t="str">
        <f>HYPERLINK("../../3.KEGG_map/SCI_II-vs-NC-Up/rno04714.html","rno04714")</f>
        <v>rno04714</v>
      </c>
    </row>
    <row r="118" spans="1:13" x14ac:dyDescent="0.25">
      <c r="A118" t="s">
        <v>365</v>
      </c>
      <c r="B118" t="s">
        <v>366</v>
      </c>
      <c r="C118" t="s">
        <v>150</v>
      </c>
      <c r="D118" t="s">
        <v>367</v>
      </c>
      <c r="E118">
        <v>6</v>
      </c>
      <c r="F118">
        <v>147</v>
      </c>
      <c r="G118">
        <v>77</v>
      </c>
      <c r="H118">
        <v>2681</v>
      </c>
      <c r="I118">
        <v>0.24469759513318601</v>
      </c>
      <c r="J118">
        <v>0.94372487166899099</v>
      </c>
      <c r="K118">
        <v>1.42115027829314</v>
      </c>
      <c r="L118" t="s">
        <v>788</v>
      </c>
      <c r="M118" t="str">
        <f>HYPERLINK("../../3.KEGG_map/SCI_II-vs-NC-Up/rno04720.html","rno04720")</f>
        <v>rno04720</v>
      </c>
    </row>
    <row r="119" spans="1:13" x14ac:dyDescent="0.25">
      <c r="A119" t="s">
        <v>789</v>
      </c>
      <c r="B119" t="s">
        <v>790</v>
      </c>
      <c r="C119" t="s">
        <v>150</v>
      </c>
      <c r="D119" t="s">
        <v>367</v>
      </c>
      <c r="E119">
        <v>1</v>
      </c>
      <c r="F119">
        <v>147</v>
      </c>
      <c r="G119">
        <v>27</v>
      </c>
      <c r="H119">
        <v>2681</v>
      </c>
      <c r="I119">
        <v>0.78350715168642804</v>
      </c>
      <c r="J119">
        <v>0.94372487166899099</v>
      </c>
      <c r="K119">
        <v>0.67548500881834195</v>
      </c>
      <c r="L119" t="s">
        <v>652</v>
      </c>
      <c r="M119" t="str">
        <f>HYPERLINK("../../3.KEGG_map/SCI_II-vs-NC-Up/rno04721.html","rno04721")</f>
        <v>rno04721</v>
      </c>
    </row>
    <row r="120" spans="1:13" x14ac:dyDescent="0.25">
      <c r="A120" t="s">
        <v>369</v>
      </c>
      <c r="B120" t="s">
        <v>370</v>
      </c>
      <c r="C120" t="s">
        <v>150</v>
      </c>
      <c r="D120" t="s">
        <v>367</v>
      </c>
      <c r="E120">
        <v>6</v>
      </c>
      <c r="F120">
        <v>147</v>
      </c>
      <c r="G120">
        <v>90</v>
      </c>
      <c r="H120">
        <v>2681</v>
      </c>
      <c r="I120">
        <v>0.37182427993962303</v>
      </c>
      <c r="J120">
        <v>0.94372487166899099</v>
      </c>
      <c r="K120">
        <v>1.21587301587302</v>
      </c>
      <c r="L120" t="s">
        <v>791</v>
      </c>
      <c r="M120" t="str">
        <f>HYPERLINK("../../3.KEGG_map/SCI_II-vs-NC-Up/rno04722.html","rno04722")</f>
        <v>rno04722</v>
      </c>
    </row>
    <row r="121" spans="1:13" x14ac:dyDescent="0.25">
      <c r="A121" t="s">
        <v>372</v>
      </c>
      <c r="B121" t="s">
        <v>373</v>
      </c>
      <c r="C121" t="s">
        <v>150</v>
      </c>
      <c r="D121" t="s">
        <v>367</v>
      </c>
      <c r="E121">
        <v>4</v>
      </c>
      <c r="F121">
        <v>147</v>
      </c>
      <c r="G121">
        <v>54</v>
      </c>
      <c r="H121">
        <v>2681</v>
      </c>
      <c r="I121">
        <v>0.34345487493805499</v>
      </c>
      <c r="J121">
        <v>0.94372487166899099</v>
      </c>
      <c r="K121">
        <v>1.3509700176366799</v>
      </c>
      <c r="L121" t="s">
        <v>707</v>
      </c>
      <c r="M121" t="str">
        <f>HYPERLINK("../../3.KEGG_map/SCI_II-vs-NC-Up/rno04723.html","rno04723")</f>
        <v>rno04723</v>
      </c>
    </row>
    <row r="122" spans="1:13" x14ac:dyDescent="0.25">
      <c r="A122" t="s">
        <v>375</v>
      </c>
      <c r="B122" t="s">
        <v>376</v>
      </c>
      <c r="C122" t="s">
        <v>150</v>
      </c>
      <c r="D122" t="s">
        <v>367</v>
      </c>
      <c r="E122">
        <v>5</v>
      </c>
      <c r="F122">
        <v>147</v>
      </c>
      <c r="G122">
        <v>77</v>
      </c>
      <c r="H122">
        <v>2681</v>
      </c>
      <c r="I122">
        <v>0.41609657744274597</v>
      </c>
      <c r="J122">
        <v>0.94372487166899099</v>
      </c>
      <c r="K122">
        <v>1.1842918985776101</v>
      </c>
      <c r="L122" t="s">
        <v>792</v>
      </c>
      <c r="M122" t="str">
        <f>HYPERLINK("../../3.KEGG_map/SCI_II-vs-NC-Up/rno04724.html","rno04724")</f>
        <v>rno04724</v>
      </c>
    </row>
    <row r="123" spans="1:13" x14ac:dyDescent="0.25">
      <c r="A123" t="s">
        <v>378</v>
      </c>
      <c r="B123" t="s">
        <v>379</v>
      </c>
      <c r="C123" t="s">
        <v>150</v>
      </c>
      <c r="D123" t="s">
        <v>367</v>
      </c>
      <c r="E123">
        <v>5</v>
      </c>
      <c r="F123">
        <v>147</v>
      </c>
      <c r="G123">
        <v>61</v>
      </c>
      <c r="H123">
        <v>2681</v>
      </c>
      <c r="I123">
        <v>0.24053426269462</v>
      </c>
      <c r="J123">
        <v>0.94372487166899099</v>
      </c>
      <c r="K123">
        <v>1.4949258391881299</v>
      </c>
      <c r="L123" t="s">
        <v>793</v>
      </c>
      <c r="M123" t="str">
        <f>HYPERLINK("../../3.KEGG_map/SCI_II-vs-NC-Up/rno04725.html","rno04725")</f>
        <v>rno04725</v>
      </c>
    </row>
    <row r="124" spans="1:13" x14ac:dyDescent="0.25">
      <c r="A124" t="s">
        <v>381</v>
      </c>
      <c r="B124" t="s">
        <v>382</v>
      </c>
      <c r="C124" t="s">
        <v>150</v>
      </c>
      <c r="D124" t="s">
        <v>367</v>
      </c>
      <c r="E124">
        <v>5</v>
      </c>
      <c r="F124">
        <v>147</v>
      </c>
      <c r="G124">
        <v>59</v>
      </c>
      <c r="H124">
        <v>2681</v>
      </c>
      <c r="I124">
        <v>0.21998190026144801</v>
      </c>
      <c r="J124">
        <v>0.94372487166899099</v>
      </c>
      <c r="K124">
        <v>1.545601291364</v>
      </c>
      <c r="L124" t="s">
        <v>794</v>
      </c>
      <c r="M124" t="str">
        <f>HYPERLINK("../../3.KEGG_map/SCI_II-vs-NC-Up/rno04726.html","rno04726")</f>
        <v>rno04726</v>
      </c>
    </row>
    <row r="125" spans="1:13" x14ac:dyDescent="0.25">
      <c r="A125" t="s">
        <v>384</v>
      </c>
      <c r="B125" t="s">
        <v>385</v>
      </c>
      <c r="C125" t="s">
        <v>150</v>
      </c>
      <c r="D125" t="s">
        <v>367</v>
      </c>
      <c r="E125">
        <v>1</v>
      </c>
      <c r="F125">
        <v>147</v>
      </c>
      <c r="G125">
        <v>35</v>
      </c>
      <c r="H125">
        <v>2681</v>
      </c>
      <c r="I125">
        <v>0.86284814219405104</v>
      </c>
      <c r="J125">
        <v>0.94372487166899099</v>
      </c>
      <c r="K125">
        <v>0.52108843537414995</v>
      </c>
      <c r="L125" t="s">
        <v>386</v>
      </c>
      <c r="M125" t="str">
        <f>HYPERLINK("../../3.KEGG_map/SCI_II-vs-NC-Up/rno04727.html","rno04727")</f>
        <v>rno04727</v>
      </c>
    </row>
    <row r="126" spans="1:13" x14ac:dyDescent="0.25">
      <c r="A126" t="s">
        <v>387</v>
      </c>
      <c r="B126" t="s">
        <v>388</v>
      </c>
      <c r="C126" t="s">
        <v>150</v>
      </c>
      <c r="D126" t="s">
        <v>367</v>
      </c>
      <c r="E126">
        <v>4</v>
      </c>
      <c r="F126">
        <v>147</v>
      </c>
      <c r="G126">
        <v>85</v>
      </c>
      <c r="H126">
        <v>2681</v>
      </c>
      <c r="I126">
        <v>0.69576362894923405</v>
      </c>
      <c r="J126">
        <v>0.94372487166899099</v>
      </c>
      <c r="K126">
        <v>0.85826330532212902</v>
      </c>
      <c r="L126" t="s">
        <v>707</v>
      </c>
      <c r="M126" t="str">
        <f>HYPERLINK("../../3.KEGG_map/SCI_II-vs-NC-Up/rno04728.html","rno04728")</f>
        <v>rno04728</v>
      </c>
    </row>
    <row r="127" spans="1:13" x14ac:dyDescent="0.25">
      <c r="A127" t="s">
        <v>390</v>
      </c>
      <c r="B127" t="s">
        <v>391</v>
      </c>
      <c r="C127" t="s">
        <v>150</v>
      </c>
      <c r="D127" t="s">
        <v>367</v>
      </c>
      <c r="E127">
        <v>4</v>
      </c>
      <c r="F127">
        <v>147</v>
      </c>
      <c r="G127">
        <v>48</v>
      </c>
      <c r="H127">
        <v>2681</v>
      </c>
      <c r="I127">
        <v>0.26771396471087799</v>
      </c>
      <c r="J127">
        <v>0.94372487166899099</v>
      </c>
      <c r="K127">
        <v>1.51984126984127</v>
      </c>
      <c r="L127" t="s">
        <v>757</v>
      </c>
      <c r="M127" t="str">
        <f>HYPERLINK("../../3.KEGG_map/SCI_II-vs-NC-Up/rno04730.html","rno04730")</f>
        <v>rno04730</v>
      </c>
    </row>
    <row r="128" spans="1:13" x14ac:dyDescent="0.25">
      <c r="A128" t="s">
        <v>393</v>
      </c>
      <c r="B128" t="s">
        <v>394</v>
      </c>
      <c r="C128" t="s">
        <v>150</v>
      </c>
      <c r="D128" t="s">
        <v>395</v>
      </c>
      <c r="E128">
        <v>1</v>
      </c>
      <c r="F128">
        <v>147</v>
      </c>
      <c r="G128">
        <v>8</v>
      </c>
      <c r="H128">
        <v>2681</v>
      </c>
      <c r="I128">
        <v>0.36347605605797101</v>
      </c>
      <c r="J128">
        <v>0.94372487166899099</v>
      </c>
      <c r="K128">
        <v>2.2797619047619002</v>
      </c>
      <c r="L128" t="s">
        <v>386</v>
      </c>
      <c r="M128" t="str">
        <f>HYPERLINK("../../3.KEGG_map/SCI_II-vs-NC-Up/rno04742.html","rno04742")</f>
        <v>rno04742</v>
      </c>
    </row>
    <row r="129" spans="1:13" x14ac:dyDescent="0.25">
      <c r="A129" t="s">
        <v>396</v>
      </c>
      <c r="B129" t="s">
        <v>397</v>
      </c>
      <c r="C129" t="s">
        <v>150</v>
      </c>
      <c r="D129" t="s">
        <v>395</v>
      </c>
      <c r="E129">
        <v>5</v>
      </c>
      <c r="F129">
        <v>147</v>
      </c>
      <c r="G129">
        <v>52</v>
      </c>
      <c r="H129">
        <v>2681</v>
      </c>
      <c r="I129">
        <v>0.153227386395242</v>
      </c>
      <c r="J129">
        <v>0.94372487166899099</v>
      </c>
      <c r="K129">
        <v>1.7536630036630001</v>
      </c>
      <c r="L129" t="s">
        <v>795</v>
      </c>
      <c r="M129" t="str">
        <f>HYPERLINK("../../3.KEGG_map/SCI_II-vs-NC-Up/rno04750.html","rno04750")</f>
        <v>rno04750</v>
      </c>
    </row>
    <row r="130" spans="1:13" x14ac:dyDescent="0.25">
      <c r="A130" t="s">
        <v>399</v>
      </c>
      <c r="B130" t="s">
        <v>400</v>
      </c>
      <c r="C130" t="s">
        <v>206</v>
      </c>
      <c r="D130" t="s">
        <v>401</v>
      </c>
      <c r="E130">
        <v>8</v>
      </c>
      <c r="F130">
        <v>147</v>
      </c>
      <c r="G130">
        <v>174</v>
      </c>
      <c r="H130">
        <v>2681</v>
      </c>
      <c r="I130">
        <v>0.75156883979822198</v>
      </c>
      <c r="J130">
        <v>0.94372487166899099</v>
      </c>
      <c r="K130">
        <v>0.83853311439518297</v>
      </c>
      <c r="L130" t="s">
        <v>796</v>
      </c>
      <c r="M130" t="str">
        <f>HYPERLINK("../../3.KEGG_map/SCI_II-vs-NC-Up/rno04810.html","rno04810")</f>
        <v>rno04810</v>
      </c>
    </row>
    <row r="131" spans="1:13" x14ac:dyDescent="0.25">
      <c r="A131" t="s">
        <v>403</v>
      </c>
      <c r="B131" t="s">
        <v>404</v>
      </c>
      <c r="C131" t="s">
        <v>150</v>
      </c>
      <c r="D131" t="s">
        <v>151</v>
      </c>
      <c r="E131">
        <v>3</v>
      </c>
      <c r="F131">
        <v>147</v>
      </c>
      <c r="G131">
        <v>100</v>
      </c>
      <c r="H131">
        <v>2681</v>
      </c>
      <c r="I131">
        <v>0.92051879221535804</v>
      </c>
      <c r="J131">
        <v>0.958921374898559</v>
      </c>
      <c r="K131">
        <v>0.54714285714285704</v>
      </c>
      <c r="L131" t="s">
        <v>797</v>
      </c>
      <c r="M131" t="str">
        <f>HYPERLINK("../../3.KEGG_map/SCI_II-vs-NC-Up/rno04910.html","rno04910")</f>
        <v>rno04910</v>
      </c>
    </row>
    <row r="132" spans="1:13" x14ac:dyDescent="0.25">
      <c r="A132" t="s">
        <v>406</v>
      </c>
      <c r="B132" t="s">
        <v>407</v>
      </c>
      <c r="C132" t="s">
        <v>150</v>
      </c>
      <c r="D132" t="s">
        <v>151</v>
      </c>
      <c r="E132">
        <v>3</v>
      </c>
      <c r="F132">
        <v>147</v>
      </c>
      <c r="G132">
        <v>56</v>
      </c>
      <c r="H132">
        <v>2681</v>
      </c>
      <c r="I132">
        <v>0.60144004131544004</v>
      </c>
      <c r="J132">
        <v>0.94372487166899099</v>
      </c>
      <c r="K132">
        <v>0.97704081632653095</v>
      </c>
      <c r="L132" t="s">
        <v>798</v>
      </c>
      <c r="M132" t="str">
        <f>HYPERLINK("../../3.KEGG_map/SCI_II-vs-NC-Up/rno04911.html","rno04911")</f>
        <v>rno04911</v>
      </c>
    </row>
    <row r="133" spans="1:13" x14ac:dyDescent="0.25">
      <c r="A133" t="s">
        <v>409</v>
      </c>
      <c r="B133" t="s">
        <v>410</v>
      </c>
      <c r="C133" t="s">
        <v>150</v>
      </c>
      <c r="D133" t="s">
        <v>151</v>
      </c>
      <c r="E133">
        <v>4</v>
      </c>
      <c r="F133">
        <v>147</v>
      </c>
      <c r="G133">
        <v>83</v>
      </c>
      <c r="H133">
        <v>2681</v>
      </c>
      <c r="I133">
        <v>0.67747469617051204</v>
      </c>
      <c r="J133">
        <v>0.94372487166899099</v>
      </c>
      <c r="K133">
        <v>0.87894434882386696</v>
      </c>
      <c r="L133" t="s">
        <v>707</v>
      </c>
      <c r="M133" t="str">
        <f>HYPERLINK("../../3.KEGG_map/SCI_II-vs-NC-Up/rno04912.html","rno04912")</f>
        <v>rno04912</v>
      </c>
    </row>
    <row r="134" spans="1:13" x14ac:dyDescent="0.25">
      <c r="A134" t="s">
        <v>412</v>
      </c>
      <c r="B134" t="s">
        <v>413</v>
      </c>
      <c r="C134" t="s">
        <v>150</v>
      </c>
      <c r="D134" t="s">
        <v>151</v>
      </c>
      <c r="E134">
        <v>1</v>
      </c>
      <c r="F134">
        <v>147</v>
      </c>
      <c r="G134">
        <v>19</v>
      </c>
      <c r="H134">
        <v>2681</v>
      </c>
      <c r="I134">
        <v>0.65875085884237405</v>
      </c>
      <c r="J134">
        <v>0.94372487166899099</v>
      </c>
      <c r="K134">
        <v>0.95989974937343403</v>
      </c>
      <c r="L134" t="s">
        <v>414</v>
      </c>
      <c r="M134" t="str">
        <f>HYPERLINK("../../3.KEGG_map/SCI_II-vs-NC-Up/rno04913.html","rno04913")</f>
        <v>rno04913</v>
      </c>
    </row>
    <row r="135" spans="1:13" x14ac:dyDescent="0.25">
      <c r="A135" t="s">
        <v>799</v>
      </c>
      <c r="B135" t="s">
        <v>800</v>
      </c>
      <c r="C135" t="s">
        <v>150</v>
      </c>
      <c r="D135" t="s">
        <v>151</v>
      </c>
      <c r="E135">
        <v>1</v>
      </c>
      <c r="F135">
        <v>147</v>
      </c>
      <c r="G135">
        <v>59</v>
      </c>
      <c r="H135">
        <v>2681</v>
      </c>
      <c r="I135">
        <v>0.96542560472390904</v>
      </c>
      <c r="J135">
        <v>0.97856421954998796</v>
      </c>
      <c r="K135">
        <v>0.30912025827280099</v>
      </c>
      <c r="L135" t="s">
        <v>719</v>
      </c>
      <c r="M135" t="str">
        <f>HYPERLINK("../../3.KEGG_map/SCI_II-vs-NC-Up/rno04914.html","rno04914")</f>
        <v>rno04914</v>
      </c>
    </row>
    <row r="136" spans="1:13" x14ac:dyDescent="0.25">
      <c r="A136" t="s">
        <v>415</v>
      </c>
      <c r="B136" t="s">
        <v>416</v>
      </c>
      <c r="C136" t="s">
        <v>150</v>
      </c>
      <c r="D136" t="s">
        <v>151</v>
      </c>
      <c r="E136">
        <v>6</v>
      </c>
      <c r="F136">
        <v>147</v>
      </c>
      <c r="G136">
        <v>67</v>
      </c>
      <c r="H136">
        <v>2681</v>
      </c>
      <c r="I136">
        <v>0.15826999223972099</v>
      </c>
      <c r="J136">
        <v>0.94372487166899099</v>
      </c>
      <c r="K136">
        <v>1.6332622601279301</v>
      </c>
      <c r="L136" t="s">
        <v>801</v>
      </c>
      <c r="M136" t="str">
        <f>HYPERLINK("../../3.KEGG_map/SCI_II-vs-NC-Up/rno04915.html","rno04915")</f>
        <v>rno04915</v>
      </c>
    </row>
    <row r="137" spans="1:13" x14ac:dyDescent="0.25">
      <c r="A137" t="s">
        <v>418</v>
      </c>
      <c r="B137" t="s">
        <v>419</v>
      </c>
      <c r="C137" t="s">
        <v>150</v>
      </c>
      <c r="D137" t="s">
        <v>151</v>
      </c>
      <c r="E137">
        <v>4</v>
      </c>
      <c r="F137">
        <v>147</v>
      </c>
      <c r="G137">
        <v>48</v>
      </c>
      <c r="H137">
        <v>2681</v>
      </c>
      <c r="I137">
        <v>0.26771396471087799</v>
      </c>
      <c r="J137">
        <v>0.94372487166899099</v>
      </c>
      <c r="K137">
        <v>1.51984126984127</v>
      </c>
      <c r="L137" t="s">
        <v>802</v>
      </c>
      <c r="M137" t="str">
        <f>HYPERLINK("../../3.KEGG_map/SCI_II-vs-NC-Up/rno04916.html","rno04916")</f>
        <v>rno04916</v>
      </c>
    </row>
    <row r="138" spans="1:13" x14ac:dyDescent="0.25">
      <c r="A138" t="s">
        <v>803</v>
      </c>
      <c r="B138" t="s">
        <v>804</v>
      </c>
      <c r="C138" t="s">
        <v>150</v>
      </c>
      <c r="D138" t="s">
        <v>151</v>
      </c>
      <c r="E138">
        <v>1</v>
      </c>
      <c r="F138">
        <v>147</v>
      </c>
      <c r="G138">
        <v>33</v>
      </c>
      <c r="H138">
        <v>2681</v>
      </c>
      <c r="I138">
        <v>0.84624830352059299</v>
      </c>
      <c r="J138">
        <v>0.94372487166899099</v>
      </c>
      <c r="K138">
        <v>0.55266955266955298</v>
      </c>
      <c r="L138" t="s">
        <v>719</v>
      </c>
      <c r="M138" t="str">
        <f>HYPERLINK("../../3.KEGG_map/SCI_II-vs-NC-Up/rno04917.html","rno04917")</f>
        <v>rno04917</v>
      </c>
    </row>
    <row r="139" spans="1:13" x14ac:dyDescent="0.25">
      <c r="A139" t="s">
        <v>421</v>
      </c>
      <c r="B139" t="s">
        <v>422</v>
      </c>
      <c r="C139" t="s">
        <v>150</v>
      </c>
      <c r="D139" t="s">
        <v>151</v>
      </c>
      <c r="E139">
        <v>4</v>
      </c>
      <c r="F139">
        <v>147</v>
      </c>
      <c r="G139">
        <v>46</v>
      </c>
      <c r="H139">
        <v>2681</v>
      </c>
      <c r="I139">
        <v>0.24315891503201201</v>
      </c>
      <c r="J139">
        <v>0.94372487166899099</v>
      </c>
      <c r="K139">
        <v>1.5859213250517601</v>
      </c>
      <c r="L139" t="s">
        <v>805</v>
      </c>
      <c r="M139" t="str">
        <f>HYPERLINK("../../3.KEGG_map/SCI_II-vs-NC-Up/rno04918.html","rno04918")</f>
        <v>rno04918</v>
      </c>
    </row>
    <row r="140" spans="1:13" x14ac:dyDescent="0.25">
      <c r="A140" t="s">
        <v>424</v>
      </c>
      <c r="B140" t="s">
        <v>425</v>
      </c>
      <c r="C140" t="s">
        <v>150</v>
      </c>
      <c r="D140" t="s">
        <v>151</v>
      </c>
      <c r="E140">
        <v>6</v>
      </c>
      <c r="F140">
        <v>147</v>
      </c>
      <c r="G140">
        <v>88</v>
      </c>
      <c r="H140">
        <v>2681</v>
      </c>
      <c r="I140">
        <v>0.35174262844262</v>
      </c>
      <c r="J140">
        <v>0.94372487166899099</v>
      </c>
      <c r="K140">
        <v>1.2435064935064899</v>
      </c>
      <c r="L140" t="s">
        <v>806</v>
      </c>
      <c r="M140" t="str">
        <f>HYPERLINK("../../3.KEGG_map/SCI_II-vs-NC-Up/rno04919.html","rno04919")</f>
        <v>rno04919</v>
      </c>
    </row>
    <row r="141" spans="1:13" x14ac:dyDescent="0.25">
      <c r="A141" t="s">
        <v>807</v>
      </c>
      <c r="B141" t="s">
        <v>808</v>
      </c>
      <c r="C141" t="s">
        <v>150</v>
      </c>
      <c r="D141" t="s">
        <v>151</v>
      </c>
      <c r="E141">
        <v>1</v>
      </c>
      <c r="F141">
        <v>147</v>
      </c>
      <c r="G141">
        <v>30</v>
      </c>
      <c r="H141">
        <v>2681</v>
      </c>
      <c r="I141">
        <v>0.81753692194981897</v>
      </c>
      <c r="J141">
        <v>0.94372487166899099</v>
      </c>
      <c r="K141">
        <v>0.607936507936508</v>
      </c>
      <c r="L141" t="s">
        <v>809</v>
      </c>
      <c r="M141" t="str">
        <f>HYPERLINK("../../3.KEGG_map/SCI_II-vs-NC-Up/rno04920.html","rno04920")</f>
        <v>rno04920</v>
      </c>
    </row>
    <row r="142" spans="1:13" x14ac:dyDescent="0.25">
      <c r="A142" t="s">
        <v>427</v>
      </c>
      <c r="B142" t="s">
        <v>428</v>
      </c>
      <c r="C142" t="s">
        <v>150</v>
      </c>
      <c r="D142" t="s">
        <v>151</v>
      </c>
      <c r="E142">
        <v>7</v>
      </c>
      <c r="F142">
        <v>147</v>
      </c>
      <c r="G142">
        <v>140</v>
      </c>
      <c r="H142">
        <v>2681</v>
      </c>
      <c r="I142">
        <v>0.65764691732426905</v>
      </c>
      <c r="J142">
        <v>0.94372487166899099</v>
      </c>
      <c r="K142">
        <v>0.911904761904762</v>
      </c>
      <c r="L142" t="s">
        <v>810</v>
      </c>
      <c r="M142" t="str">
        <f>HYPERLINK("../../3.KEGG_map/SCI_II-vs-NC-Up/rno04921.html","rno04921")</f>
        <v>rno04921</v>
      </c>
    </row>
    <row r="143" spans="1:13" x14ac:dyDescent="0.25">
      <c r="A143" t="s">
        <v>430</v>
      </c>
      <c r="B143" t="s">
        <v>431</v>
      </c>
      <c r="C143" t="s">
        <v>150</v>
      </c>
      <c r="D143" t="s">
        <v>151</v>
      </c>
      <c r="E143">
        <v>6</v>
      </c>
      <c r="F143">
        <v>147</v>
      </c>
      <c r="G143">
        <v>88</v>
      </c>
      <c r="H143">
        <v>2681</v>
      </c>
      <c r="I143">
        <v>0.35174262844262</v>
      </c>
      <c r="J143">
        <v>0.94372487166899099</v>
      </c>
      <c r="K143">
        <v>1.2435064935064899</v>
      </c>
      <c r="L143" t="s">
        <v>811</v>
      </c>
      <c r="M143" t="str">
        <f>HYPERLINK("../../3.KEGG_map/SCI_II-vs-NC-Up/rno04922.html","rno04922")</f>
        <v>rno04922</v>
      </c>
    </row>
    <row r="144" spans="1:13" x14ac:dyDescent="0.25">
      <c r="A144" t="s">
        <v>812</v>
      </c>
      <c r="B144" t="s">
        <v>813</v>
      </c>
      <c r="C144" t="s">
        <v>150</v>
      </c>
      <c r="D144" t="s">
        <v>151</v>
      </c>
      <c r="E144">
        <v>1</v>
      </c>
      <c r="F144">
        <v>147</v>
      </c>
      <c r="G144">
        <v>35</v>
      </c>
      <c r="H144">
        <v>2681</v>
      </c>
      <c r="I144">
        <v>0.86284814219405104</v>
      </c>
      <c r="J144">
        <v>0.94372487166899099</v>
      </c>
      <c r="K144">
        <v>0.52108843537414995</v>
      </c>
      <c r="L144" t="s">
        <v>719</v>
      </c>
      <c r="M144" t="str">
        <f>HYPERLINK("../../3.KEGG_map/SCI_II-vs-NC-Up/rno04923.html","rno04923")</f>
        <v>rno04923</v>
      </c>
    </row>
    <row r="145" spans="1:13" x14ac:dyDescent="0.25">
      <c r="A145" t="s">
        <v>433</v>
      </c>
      <c r="B145" t="s">
        <v>434</v>
      </c>
      <c r="C145" t="s">
        <v>150</v>
      </c>
      <c r="D145" t="s">
        <v>151</v>
      </c>
      <c r="E145">
        <v>5</v>
      </c>
      <c r="F145">
        <v>147</v>
      </c>
      <c r="G145">
        <v>65</v>
      </c>
      <c r="H145">
        <v>2681</v>
      </c>
      <c r="I145">
        <v>0.28306474665106601</v>
      </c>
      <c r="J145">
        <v>0.94372487166899099</v>
      </c>
      <c r="K145">
        <v>1.4029304029303999</v>
      </c>
      <c r="L145" t="s">
        <v>814</v>
      </c>
      <c r="M145" t="str">
        <f>HYPERLINK("../../3.KEGG_map/SCI_II-vs-NC-Up/rno04924.html","rno04924")</f>
        <v>rno04924</v>
      </c>
    </row>
    <row r="146" spans="1:13" x14ac:dyDescent="0.25">
      <c r="A146" t="s">
        <v>435</v>
      </c>
      <c r="B146" t="s">
        <v>436</v>
      </c>
      <c r="C146" t="s">
        <v>150</v>
      </c>
      <c r="D146" t="s">
        <v>151</v>
      </c>
      <c r="E146">
        <v>4</v>
      </c>
      <c r="F146">
        <v>147</v>
      </c>
      <c r="G146">
        <v>62</v>
      </c>
      <c r="H146">
        <v>2681</v>
      </c>
      <c r="I146">
        <v>0.44487760246018798</v>
      </c>
      <c r="J146">
        <v>0.94372487166899099</v>
      </c>
      <c r="K146">
        <v>1.1766513056835599</v>
      </c>
      <c r="L146" t="s">
        <v>707</v>
      </c>
      <c r="M146" t="str">
        <f>HYPERLINK("../../3.KEGG_map/SCI_II-vs-NC-Up/rno04925.html","rno04925")</f>
        <v>rno04925</v>
      </c>
    </row>
    <row r="147" spans="1:13" x14ac:dyDescent="0.25">
      <c r="A147" t="s">
        <v>438</v>
      </c>
      <c r="B147" t="s">
        <v>439</v>
      </c>
      <c r="C147" t="s">
        <v>150</v>
      </c>
      <c r="D147" t="s">
        <v>151</v>
      </c>
      <c r="E147">
        <v>3</v>
      </c>
      <c r="F147">
        <v>147</v>
      </c>
      <c r="G147">
        <v>104</v>
      </c>
      <c r="H147">
        <v>2681</v>
      </c>
      <c r="I147">
        <v>0.93264955640818703</v>
      </c>
      <c r="J147">
        <v>0.958921374898559</v>
      </c>
      <c r="K147">
        <v>0.52609890109890101</v>
      </c>
      <c r="L147" t="s">
        <v>815</v>
      </c>
      <c r="M147" t="str">
        <f>HYPERLINK("../../3.KEGG_map/SCI_II-vs-NC-Up/rno04926.html","rno04926")</f>
        <v>rno04926</v>
      </c>
    </row>
    <row r="148" spans="1:13" x14ac:dyDescent="0.25">
      <c r="A148" t="s">
        <v>441</v>
      </c>
      <c r="B148" t="s">
        <v>442</v>
      </c>
      <c r="C148" t="s">
        <v>150</v>
      </c>
      <c r="D148" t="s">
        <v>151</v>
      </c>
      <c r="E148">
        <v>5</v>
      </c>
      <c r="F148">
        <v>147</v>
      </c>
      <c r="G148">
        <v>49</v>
      </c>
      <c r="H148">
        <v>2681</v>
      </c>
      <c r="I148">
        <v>0.12767898123368701</v>
      </c>
      <c r="J148">
        <v>0.94372487166899099</v>
      </c>
      <c r="K148">
        <v>1.8610301263362501</v>
      </c>
      <c r="L148" t="s">
        <v>816</v>
      </c>
      <c r="M148" t="str">
        <f>HYPERLINK("../../3.KEGG_map/SCI_II-vs-NC-Up/rno04927.html","rno04927")</f>
        <v>rno04927</v>
      </c>
    </row>
    <row r="149" spans="1:13" x14ac:dyDescent="0.25">
      <c r="A149" t="s">
        <v>444</v>
      </c>
      <c r="B149" t="s">
        <v>445</v>
      </c>
      <c r="C149" t="s">
        <v>115</v>
      </c>
      <c r="D149" t="s">
        <v>446</v>
      </c>
      <c r="E149">
        <v>2</v>
      </c>
      <c r="F149">
        <v>147</v>
      </c>
      <c r="G149">
        <v>18</v>
      </c>
      <c r="H149">
        <v>2681</v>
      </c>
      <c r="I149">
        <v>0.25911465185120602</v>
      </c>
      <c r="J149">
        <v>0.94372487166899099</v>
      </c>
      <c r="K149">
        <v>2.0264550264550301</v>
      </c>
      <c r="L149" t="s">
        <v>817</v>
      </c>
      <c r="M149" t="str">
        <f>HYPERLINK("../../3.KEGG_map/SCI_II-vs-NC-Up/rno04930.html","rno04930")</f>
        <v>rno04930</v>
      </c>
    </row>
    <row r="150" spans="1:13" x14ac:dyDescent="0.25">
      <c r="A150" t="s">
        <v>447</v>
      </c>
      <c r="B150" t="s">
        <v>448</v>
      </c>
      <c r="C150" t="s">
        <v>115</v>
      </c>
      <c r="D150" t="s">
        <v>446</v>
      </c>
      <c r="E150">
        <v>2</v>
      </c>
      <c r="F150">
        <v>147</v>
      </c>
      <c r="G150">
        <v>51</v>
      </c>
      <c r="H150">
        <v>2681</v>
      </c>
      <c r="I150">
        <v>0.77976640991284096</v>
      </c>
      <c r="J150">
        <v>0.94372487166899099</v>
      </c>
      <c r="K150">
        <v>0.71521942110177394</v>
      </c>
      <c r="L150" t="s">
        <v>818</v>
      </c>
      <c r="M150" t="str">
        <f>HYPERLINK("../../3.KEGG_map/SCI_II-vs-NC-Up/rno04931.html","rno04931")</f>
        <v>rno04931</v>
      </c>
    </row>
    <row r="151" spans="1:13" x14ac:dyDescent="0.25">
      <c r="A151" t="s">
        <v>450</v>
      </c>
      <c r="B151" t="s">
        <v>451</v>
      </c>
      <c r="C151" t="s">
        <v>115</v>
      </c>
      <c r="D151" t="s">
        <v>446</v>
      </c>
      <c r="E151">
        <v>4</v>
      </c>
      <c r="F151">
        <v>147</v>
      </c>
      <c r="G151">
        <v>59</v>
      </c>
      <c r="H151">
        <v>2681</v>
      </c>
      <c r="I151">
        <v>0.40715026590752301</v>
      </c>
      <c r="J151">
        <v>0.94372487166899099</v>
      </c>
      <c r="K151">
        <v>1.2364810330911999</v>
      </c>
      <c r="L151" t="s">
        <v>819</v>
      </c>
      <c r="M151" t="str">
        <f>HYPERLINK("../../3.KEGG_map/SCI_II-vs-NC-Up/rno04932.html","rno04932")</f>
        <v>rno04932</v>
      </c>
    </row>
    <row r="152" spans="1:13" x14ac:dyDescent="0.25">
      <c r="A152" t="s">
        <v>453</v>
      </c>
      <c r="B152" t="s">
        <v>454</v>
      </c>
      <c r="C152" t="s">
        <v>115</v>
      </c>
      <c r="D152" t="s">
        <v>446</v>
      </c>
      <c r="E152">
        <v>3</v>
      </c>
      <c r="F152">
        <v>147</v>
      </c>
      <c r="G152">
        <v>94</v>
      </c>
      <c r="H152">
        <v>2681</v>
      </c>
      <c r="I152">
        <v>0.89859671304273303</v>
      </c>
      <c r="J152">
        <v>0.958921374898559</v>
      </c>
      <c r="K152">
        <v>0.582066869300912</v>
      </c>
      <c r="L152" t="s">
        <v>815</v>
      </c>
      <c r="M152" t="str">
        <f>HYPERLINK("../../3.KEGG_map/SCI_II-vs-NC-Up/rno04933.html","rno04933")</f>
        <v>rno04933</v>
      </c>
    </row>
    <row r="153" spans="1:13" x14ac:dyDescent="0.25">
      <c r="A153" t="s">
        <v>456</v>
      </c>
      <c r="B153" t="s">
        <v>457</v>
      </c>
      <c r="C153" t="s">
        <v>115</v>
      </c>
      <c r="D153" t="s">
        <v>446</v>
      </c>
      <c r="E153">
        <v>6</v>
      </c>
      <c r="F153">
        <v>147</v>
      </c>
      <c r="G153">
        <v>79</v>
      </c>
      <c r="H153">
        <v>2681</v>
      </c>
      <c r="I153">
        <v>0.26349009097950998</v>
      </c>
      <c r="J153">
        <v>0.94372487166899099</v>
      </c>
      <c r="K153">
        <v>1.38517179023508</v>
      </c>
      <c r="L153" t="s">
        <v>820</v>
      </c>
      <c r="M153" t="str">
        <f>HYPERLINK("../../3.KEGG_map/SCI_II-vs-NC-Up/rno04934.html","rno04934")</f>
        <v>rno04934</v>
      </c>
    </row>
    <row r="154" spans="1:13" x14ac:dyDescent="0.25">
      <c r="A154" t="s">
        <v>459</v>
      </c>
      <c r="B154" t="s">
        <v>460</v>
      </c>
      <c r="C154" t="s">
        <v>115</v>
      </c>
      <c r="D154" t="s">
        <v>446</v>
      </c>
      <c r="E154">
        <v>2</v>
      </c>
      <c r="F154">
        <v>147</v>
      </c>
      <c r="G154">
        <v>15</v>
      </c>
      <c r="H154">
        <v>2681</v>
      </c>
      <c r="I154">
        <v>0.19710669063915801</v>
      </c>
      <c r="J154">
        <v>0.94372487166899099</v>
      </c>
      <c r="K154">
        <v>2.4317460317460302</v>
      </c>
      <c r="L154" t="s">
        <v>821</v>
      </c>
      <c r="M154" t="str">
        <f>HYPERLINK("../../3.KEGG_map/SCI_II-vs-NC-Up/rno04940.html","rno04940")</f>
        <v>rno04940</v>
      </c>
    </row>
    <row r="155" spans="1:13" x14ac:dyDescent="0.25">
      <c r="A155" t="s">
        <v>822</v>
      </c>
      <c r="B155" t="s">
        <v>823</v>
      </c>
      <c r="C155" t="s">
        <v>150</v>
      </c>
      <c r="D155" t="s">
        <v>464</v>
      </c>
      <c r="E155">
        <v>2</v>
      </c>
      <c r="F155">
        <v>147</v>
      </c>
      <c r="G155">
        <v>23</v>
      </c>
      <c r="H155">
        <v>2681</v>
      </c>
      <c r="I155">
        <v>0.36224942357967099</v>
      </c>
      <c r="J155">
        <v>0.94372487166899099</v>
      </c>
      <c r="K155">
        <v>1.5859213250517601</v>
      </c>
      <c r="L155" t="s">
        <v>824</v>
      </c>
      <c r="M155" t="str">
        <f>HYPERLINK("../../3.KEGG_map/SCI_II-vs-NC-Up/rno04960.html","rno04960")</f>
        <v>rno04960</v>
      </c>
    </row>
    <row r="156" spans="1:13" x14ac:dyDescent="0.25">
      <c r="A156" t="s">
        <v>462</v>
      </c>
      <c r="B156" t="s">
        <v>463</v>
      </c>
      <c r="C156" t="s">
        <v>150</v>
      </c>
      <c r="D156" t="s">
        <v>464</v>
      </c>
      <c r="E156">
        <v>2</v>
      </c>
      <c r="F156">
        <v>147</v>
      </c>
      <c r="G156">
        <v>39</v>
      </c>
      <c r="H156">
        <v>2681</v>
      </c>
      <c r="I156">
        <v>0.64029054003563801</v>
      </c>
      <c r="J156">
        <v>0.94372487166899099</v>
      </c>
      <c r="K156">
        <v>0.93528693528693496</v>
      </c>
      <c r="L156" t="s">
        <v>825</v>
      </c>
      <c r="M156" t="str">
        <f>HYPERLINK("../../3.KEGG_map/SCI_II-vs-NC-Up/rno04961.html","rno04961")</f>
        <v>rno04961</v>
      </c>
    </row>
    <row r="157" spans="1:13" x14ac:dyDescent="0.25">
      <c r="A157" t="s">
        <v>466</v>
      </c>
      <c r="B157" t="s">
        <v>467</v>
      </c>
      <c r="C157" t="s">
        <v>150</v>
      </c>
      <c r="D157" t="s">
        <v>464</v>
      </c>
      <c r="E157">
        <v>2</v>
      </c>
      <c r="F157">
        <v>147</v>
      </c>
      <c r="G157">
        <v>13</v>
      </c>
      <c r="H157">
        <v>2681</v>
      </c>
      <c r="I157">
        <v>0.15696681517069799</v>
      </c>
      <c r="J157">
        <v>0.94372487166899099</v>
      </c>
      <c r="K157">
        <v>2.8058608058608101</v>
      </c>
      <c r="L157" t="s">
        <v>826</v>
      </c>
      <c r="M157" t="str">
        <f>HYPERLINK("../../3.KEGG_map/SCI_II-vs-NC-Up/rno04962.html","rno04962")</f>
        <v>rno04962</v>
      </c>
    </row>
    <row r="158" spans="1:13" x14ac:dyDescent="0.25">
      <c r="A158" t="s">
        <v>469</v>
      </c>
      <c r="B158" t="s">
        <v>470</v>
      </c>
      <c r="C158" t="s">
        <v>150</v>
      </c>
      <c r="D158" t="s">
        <v>471</v>
      </c>
      <c r="E158">
        <v>4</v>
      </c>
      <c r="F158">
        <v>147</v>
      </c>
      <c r="G158">
        <v>67</v>
      </c>
      <c r="H158">
        <v>2681</v>
      </c>
      <c r="I158">
        <v>0.50600628416966897</v>
      </c>
      <c r="J158">
        <v>0.94372487166899099</v>
      </c>
      <c r="K158">
        <v>1.0888415067519499</v>
      </c>
      <c r="L158" t="s">
        <v>757</v>
      </c>
      <c r="M158" t="str">
        <f>HYPERLINK("../../3.KEGG_map/SCI_II-vs-NC-Up/rno04970.html","rno04970")</f>
        <v>rno04970</v>
      </c>
    </row>
    <row r="159" spans="1:13" x14ac:dyDescent="0.25">
      <c r="A159" t="s">
        <v>473</v>
      </c>
      <c r="B159" t="s">
        <v>474</v>
      </c>
      <c r="C159" t="s">
        <v>150</v>
      </c>
      <c r="D159" t="s">
        <v>471</v>
      </c>
      <c r="E159">
        <v>3</v>
      </c>
      <c r="F159">
        <v>147</v>
      </c>
      <c r="G159">
        <v>49</v>
      </c>
      <c r="H159">
        <v>2681</v>
      </c>
      <c r="I159">
        <v>0.50934571927897598</v>
      </c>
      <c r="J159">
        <v>0.94372487166899099</v>
      </c>
      <c r="K159">
        <v>1.1166180758017501</v>
      </c>
      <c r="L159" t="s">
        <v>827</v>
      </c>
      <c r="M159" t="str">
        <f>HYPERLINK("../../3.KEGG_map/SCI_II-vs-NC-Up/rno04971.html","rno04971")</f>
        <v>rno04971</v>
      </c>
    </row>
    <row r="160" spans="1:13" x14ac:dyDescent="0.25">
      <c r="A160" t="s">
        <v>476</v>
      </c>
      <c r="B160" t="s">
        <v>477</v>
      </c>
      <c r="C160" t="s">
        <v>150</v>
      </c>
      <c r="D160" t="s">
        <v>471</v>
      </c>
      <c r="E160">
        <v>3</v>
      </c>
      <c r="F160">
        <v>147</v>
      </c>
      <c r="G160">
        <v>55</v>
      </c>
      <c r="H160">
        <v>2681</v>
      </c>
      <c r="I160">
        <v>0.58898693351951603</v>
      </c>
      <c r="J160">
        <v>0.94372487166899099</v>
      </c>
      <c r="K160">
        <v>0.99480519480519503</v>
      </c>
      <c r="L160" t="s">
        <v>827</v>
      </c>
      <c r="M160" t="str">
        <f>HYPERLINK("../../3.KEGG_map/SCI_II-vs-NC-Up/rno04972.html","rno04972")</f>
        <v>rno04972</v>
      </c>
    </row>
    <row r="161" spans="1:13" x14ac:dyDescent="0.25">
      <c r="A161" t="s">
        <v>828</v>
      </c>
      <c r="B161" t="s">
        <v>829</v>
      </c>
      <c r="C161" t="s">
        <v>150</v>
      </c>
      <c r="D161" t="s">
        <v>471</v>
      </c>
      <c r="E161">
        <v>1</v>
      </c>
      <c r="F161">
        <v>147</v>
      </c>
      <c r="G161">
        <v>17</v>
      </c>
      <c r="H161">
        <v>2681</v>
      </c>
      <c r="I161">
        <v>0.61771865824745498</v>
      </c>
      <c r="J161">
        <v>0.94372487166899099</v>
      </c>
      <c r="K161">
        <v>1.0728291316526599</v>
      </c>
      <c r="L161" t="s">
        <v>719</v>
      </c>
      <c r="M161" t="str">
        <f>HYPERLINK("../../3.KEGG_map/SCI_II-vs-NC-Up/rno04973.html","rno04973")</f>
        <v>rno04973</v>
      </c>
    </row>
    <row r="162" spans="1:13" x14ac:dyDescent="0.25">
      <c r="A162" t="s">
        <v>479</v>
      </c>
      <c r="B162" t="s">
        <v>480</v>
      </c>
      <c r="C162" t="s">
        <v>150</v>
      </c>
      <c r="D162" t="s">
        <v>471</v>
      </c>
      <c r="E162">
        <v>3</v>
      </c>
      <c r="F162">
        <v>147</v>
      </c>
      <c r="G162">
        <v>58</v>
      </c>
      <c r="H162">
        <v>2681</v>
      </c>
      <c r="I162">
        <v>0.625601479860735</v>
      </c>
      <c r="J162">
        <v>0.94372487166899099</v>
      </c>
      <c r="K162">
        <v>0.94334975369458096</v>
      </c>
      <c r="L162" t="s">
        <v>830</v>
      </c>
      <c r="M162" t="str">
        <f>HYPERLINK("../../3.KEGG_map/SCI_II-vs-NC-Up/rno04974.html","rno04974")</f>
        <v>rno04974</v>
      </c>
    </row>
    <row r="163" spans="1:13" x14ac:dyDescent="0.25">
      <c r="A163" t="s">
        <v>831</v>
      </c>
      <c r="B163" t="s">
        <v>832</v>
      </c>
      <c r="C163" t="s">
        <v>150</v>
      </c>
      <c r="D163" t="s">
        <v>471</v>
      </c>
      <c r="E163">
        <v>1</v>
      </c>
      <c r="F163">
        <v>147</v>
      </c>
      <c r="G163">
        <v>19</v>
      </c>
      <c r="H163">
        <v>2681</v>
      </c>
      <c r="I163">
        <v>0.65875085884237405</v>
      </c>
      <c r="J163">
        <v>0.94372487166899099</v>
      </c>
      <c r="K163">
        <v>0.95989974937343403</v>
      </c>
      <c r="L163" t="s">
        <v>833</v>
      </c>
      <c r="M163" t="str">
        <f>HYPERLINK("../../3.KEGG_map/SCI_II-vs-NC-Up/rno04976.html","rno04976")</f>
        <v>rno04976</v>
      </c>
    </row>
    <row r="164" spans="1:13" x14ac:dyDescent="0.25">
      <c r="A164" t="s">
        <v>482</v>
      </c>
      <c r="B164" t="s">
        <v>483</v>
      </c>
      <c r="C164" t="s">
        <v>150</v>
      </c>
      <c r="D164" t="s">
        <v>471</v>
      </c>
      <c r="E164">
        <v>2</v>
      </c>
      <c r="F164">
        <v>147</v>
      </c>
      <c r="G164">
        <v>8</v>
      </c>
      <c r="H164">
        <v>2681</v>
      </c>
      <c r="I164">
        <v>6.7254386855032003E-2</v>
      </c>
      <c r="J164">
        <v>0.94372487166899099</v>
      </c>
      <c r="K164">
        <v>4.5595238095238102</v>
      </c>
      <c r="L164" t="s">
        <v>834</v>
      </c>
      <c r="M164" t="str">
        <f>HYPERLINK("../../3.KEGG_map/SCI_II-vs-NC-Up/rno04977.html","rno04977")</f>
        <v>rno04977</v>
      </c>
    </row>
    <row r="165" spans="1:13" x14ac:dyDescent="0.25">
      <c r="A165" t="s">
        <v>488</v>
      </c>
      <c r="B165" t="s">
        <v>489</v>
      </c>
      <c r="C165" t="s">
        <v>115</v>
      </c>
      <c r="D165" t="s">
        <v>490</v>
      </c>
      <c r="E165">
        <v>4</v>
      </c>
      <c r="F165">
        <v>147</v>
      </c>
      <c r="G165">
        <v>92</v>
      </c>
      <c r="H165">
        <v>2681</v>
      </c>
      <c r="I165">
        <v>0.75393910482083903</v>
      </c>
      <c r="J165">
        <v>0.94372487166899099</v>
      </c>
      <c r="K165">
        <v>0.79296066252588004</v>
      </c>
      <c r="L165" t="s">
        <v>707</v>
      </c>
      <c r="M165" t="str">
        <f>HYPERLINK("../../3.KEGG_map/SCI_II-vs-NC-Up/rno05010.html","rno05010")</f>
        <v>rno05010</v>
      </c>
    </row>
    <row r="166" spans="1:13" x14ac:dyDescent="0.25">
      <c r="A166" t="s">
        <v>491</v>
      </c>
      <c r="B166" t="s">
        <v>492</v>
      </c>
      <c r="C166" t="s">
        <v>115</v>
      </c>
      <c r="D166" t="s">
        <v>490</v>
      </c>
      <c r="E166">
        <v>2</v>
      </c>
      <c r="F166">
        <v>147</v>
      </c>
      <c r="G166">
        <v>30</v>
      </c>
      <c r="H166">
        <v>2681</v>
      </c>
      <c r="I166">
        <v>0.49631449711895997</v>
      </c>
      <c r="J166">
        <v>0.94372487166899099</v>
      </c>
      <c r="K166">
        <v>1.21587301587302</v>
      </c>
      <c r="L166" t="s">
        <v>787</v>
      </c>
      <c r="M166" t="str">
        <f>HYPERLINK("../../3.KEGG_map/SCI_II-vs-NC-Up/rno05014.html","rno05014")</f>
        <v>rno05014</v>
      </c>
    </row>
    <row r="167" spans="1:13" x14ac:dyDescent="0.25">
      <c r="A167" t="s">
        <v>494</v>
      </c>
      <c r="B167" t="s">
        <v>495</v>
      </c>
      <c r="C167" t="s">
        <v>115</v>
      </c>
      <c r="D167" t="s">
        <v>490</v>
      </c>
      <c r="E167">
        <v>5</v>
      </c>
      <c r="F167">
        <v>147</v>
      </c>
      <c r="G167">
        <v>61</v>
      </c>
      <c r="H167">
        <v>2681</v>
      </c>
      <c r="I167">
        <v>0.24053426269462</v>
      </c>
      <c r="J167">
        <v>0.94372487166899099</v>
      </c>
      <c r="K167">
        <v>1.4949258391881299</v>
      </c>
      <c r="L167" t="s">
        <v>835</v>
      </c>
      <c r="M167" t="str">
        <f>HYPERLINK("../../3.KEGG_map/SCI_II-vs-NC-Up/rno05016.html","rno05016")</f>
        <v>rno05016</v>
      </c>
    </row>
    <row r="168" spans="1:13" x14ac:dyDescent="0.25">
      <c r="A168" t="s">
        <v>496</v>
      </c>
      <c r="B168" t="s">
        <v>497</v>
      </c>
      <c r="C168" t="s">
        <v>115</v>
      </c>
      <c r="D168" t="s">
        <v>498</v>
      </c>
      <c r="E168">
        <v>1</v>
      </c>
      <c r="F168">
        <v>147</v>
      </c>
      <c r="G168">
        <v>15</v>
      </c>
      <c r="H168">
        <v>2681</v>
      </c>
      <c r="I168">
        <v>0.571790235007551</v>
      </c>
      <c r="J168">
        <v>0.94372487166899099</v>
      </c>
      <c r="K168">
        <v>1.21587301587302</v>
      </c>
      <c r="L168" t="s">
        <v>836</v>
      </c>
      <c r="M168" t="str">
        <f>HYPERLINK("../../3.KEGG_map/SCI_II-vs-NC-Up/rno05030.html","rno05030")</f>
        <v>rno05030</v>
      </c>
    </row>
    <row r="169" spans="1:13" x14ac:dyDescent="0.25">
      <c r="A169" t="s">
        <v>499</v>
      </c>
      <c r="B169" t="s">
        <v>500</v>
      </c>
      <c r="C169" t="s">
        <v>115</v>
      </c>
      <c r="D169" t="s">
        <v>498</v>
      </c>
      <c r="E169">
        <v>1</v>
      </c>
      <c r="F169">
        <v>147</v>
      </c>
      <c r="G169">
        <v>45</v>
      </c>
      <c r="H169">
        <v>2681</v>
      </c>
      <c r="I169">
        <v>0.92263753205183496</v>
      </c>
      <c r="J169">
        <v>0.958921374898559</v>
      </c>
      <c r="K169">
        <v>0.40529100529100498</v>
      </c>
      <c r="L169" t="s">
        <v>386</v>
      </c>
      <c r="M169" t="str">
        <f>HYPERLINK("../../3.KEGG_map/SCI_II-vs-NC-Up/rno05031.html","rno05031")</f>
        <v>rno05031</v>
      </c>
    </row>
    <row r="170" spans="1:13" x14ac:dyDescent="0.25">
      <c r="A170" t="s">
        <v>504</v>
      </c>
      <c r="B170" t="s">
        <v>505</v>
      </c>
      <c r="C170" t="s">
        <v>115</v>
      </c>
      <c r="D170" t="s">
        <v>506</v>
      </c>
      <c r="E170">
        <v>3</v>
      </c>
      <c r="F170">
        <v>147</v>
      </c>
      <c r="G170">
        <v>89</v>
      </c>
      <c r="H170">
        <v>2681</v>
      </c>
      <c r="I170">
        <v>0.87636379394378205</v>
      </c>
      <c r="J170">
        <v>0.94543680233343996</v>
      </c>
      <c r="K170">
        <v>0.61476725521669295</v>
      </c>
      <c r="L170" t="s">
        <v>837</v>
      </c>
      <c r="M170" t="str">
        <f>HYPERLINK("../../3.KEGG_map/SCI_II-vs-NC-Up/rno05100.html","rno05100")</f>
        <v>rno05100</v>
      </c>
    </row>
    <row r="171" spans="1:13" x14ac:dyDescent="0.25">
      <c r="A171" t="s">
        <v>514</v>
      </c>
      <c r="B171" t="s">
        <v>515</v>
      </c>
      <c r="C171" t="s">
        <v>115</v>
      </c>
      <c r="D171" t="s">
        <v>506</v>
      </c>
      <c r="E171">
        <v>3</v>
      </c>
      <c r="F171">
        <v>147</v>
      </c>
      <c r="G171">
        <v>13</v>
      </c>
      <c r="H171">
        <v>2681</v>
      </c>
      <c r="I171">
        <v>3.0785665005196101E-2</v>
      </c>
      <c r="J171">
        <v>0.77085328660669505</v>
      </c>
      <c r="K171">
        <v>4.2087912087912098</v>
      </c>
      <c r="L171" t="s">
        <v>838</v>
      </c>
      <c r="M171" t="str">
        <f>HYPERLINK("../../3.KEGG_map/SCI_II-vs-NC-Up/rno05134.html","rno05134")</f>
        <v>rno05134</v>
      </c>
    </row>
    <row r="172" spans="1:13" x14ac:dyDescent="0.25">
      <c r="A172" t="s">
        <v>521</v>
      </c>
      <c r="B172" t="s">
        <v>522</v>
      </c>
      <c r="C172" t="s">
        <v>115</v>
      </c>
      <c r="D172" t="s">
        <v>519</v>
      </c>
      <c r="E172">
        <v>4</v>
      </c>
      <c r="F172">
        <v>147</v>
      </c>
      <c r="G172">
        <v>52</v>
      </c>
      <c r="H172">
        <v>2681</v>
      </c>
      <c r="I172">
        <v>0.31798871455500599</v>
      </c>
      <c r="J172">
        <v>0.94372487166899099</v>
      </c>
      <c r="K172">
        <v>1.4029304029303999</v>
      </c>
      <c r="L172" t="s">
        <v>839</v>
      </c>
      <c r="M172" t="str">
        <f>HYPERLINK("../../3.KEGG_map/SCI_II-vs-NC-Up/rno05142.html","rno05142")</f>
        <v>rno05142</v>
      </c>
    </row>
    <row r="173" spans="1:13" x14ac:dyDescent="0.25">
      <c r="A173" t="s">
        <v>524</v>
      </c>
      <c r="B173" t="s">
        <v>525</v>
      </c>
      <c r="C173" t="s">
        <v>115</v>
      </c>
      <c r="D173" t="s">
        <v>519</v>
      </c>
      <c r="E173">
        <v>2</v>
      </c>
      <c r="F173">
        <v>147</v>
      </c>
      <c r="G173">
        <v>17</v>
      </c>
      <c r="H173">
        <v>2681</v>
      </c>
      <c r="I173">
        <v>0.23832188579328201</v>
      </c>
      <c r="J173">
        <v>0.94372487166899099</v>
      </c>
      <c r="K173">
        <v>2.1456582633053198</v>
      </c>
      <c r="L173" t="s">
        <v>825</v>
      </c>
      <c r="M173" t="str">
        <f>HYPERLINK("../../3.KEGG_map/SCI_II-vs-NC-Up/rno05143.html","rno05143")</f>
        <v>rno05143</v>
      </c>
    </row>
    <row r="174" spans="1:13" x14ac:dyDescent="0.25">
      <c r="A174" t="s">
        <v>530</v>
      </c>
      <c r="B174" t="s">
        <v>531</v>
      </c>
      <c r="C174" t="s">
        <v>115</v>
      </c>
      <c r="D174" t="s">
        <v>519</v>
      </c>
      <c r="E174">
        <v>1</v>
      </c>
      <c r="F174">
        <v>147</v>
      </c>
      <c r="G174">
        <v>34</v>
      </c>
      <c r="H174">
        <v>2681</v>
      </c>
      <c r="I174">
        <v>0.854783612955061</v>
      </c>
      <c r="J174">
        <v>0.94372487166899099</v>
      </c>
      <c r="K174">
        <v>0.53641456582633096</v>
      </c>
      <c r="L174" t="s">
        <v>254</v>
      </c>
      <c r="M174" t="str">
        <f>HYPERLINK("../../3.KEGG_map/SCI_II-vs-NC-Up/rno05145.html","rno05145")</f>
        <v>rno05145</v>
      </c>
    </row>
    <row r="175" spans="1:13" x14ac:dyDescent="0.25">
      <c r="A175" t="s">
        <v>533</v>
      </c>
      <c r="B175" t="s">
        <v>534</v>
      </c>
      <c r="C175" t="s">
        <v>115</v>
      </c>
      <c r="D175" t="s">
        <v>519</v>
      </c>
      <c r="E175">
        <v>5</v>
      </c>
      <c r="F175">
        <v>147</v>
      </c>
      <c r="G175">
        <v>79</v>
      </c>
      <c r="H175">
        <v>2681</v>
      </c>
      <c r="I175">
        <v>0.43825726645123197</v>
      </c>
      <c r="J175">
        <v>0.94372487166899099</v>
      </c>
      <c r="K175">
        <v>1.1543098251959001</v>
      </c>
      <c r="L175" t="s">
        <v>840</v>
      </c>
      <c r="M175" t="str">
        <f>HYPERLINK("../../3.KEGG_map/SCI_II-vs-NC-Up/rno05146.html","rno05146")</f>
        <v>rno05146</v>
      </c>
    </row>
    <row r="176" spans="1:13" x14ac:dyDescent="0.25">
      <c r="A176" t="s">
        <v>536</v>
      </c>
      <c r="B176" t="s">
        <v>537</v>
      </c>
      <c r="C176" t="s">
        <v>115</v>
      </c>
      <c r="D176" t="s">
        <v>506</v>
      </c>
      <c r="E176">
        <v>2</v>
      </c>
      <c r="F176">
        <v>147</v>
      </c>
      <c r="G176">
        <v>6</v>
      </c>
      <c r="H176">
        <v>2681</v>
      </c>
      <c r="I176">
        <v>3.8718658231386503E-2</v>
      </c>
      <c r="J176">
        <v>0.77085328660669505</v>
      </c>
      <c r="K176">
        <v>6.07936507936508</v>
      </c>
      <c r="L176" t="s">
        <v>761</v>
      </c>
      <c r="M176" t="str">
        <f>HYPERLINK("../../3.KEGG_map/SCI_II-vs-NC-Up/rno05150.html","rno05150")</f>
        <v>rno05150</v>
      </c>
    </row>
    <row r="177" spans="1:13" x14ac:dyDescent="0.25">
      <c r="A177" t="s">
        <v>538</v>
      </c>
      <c r="B177" t="s">
        <v>539</v>
      </c>
      <c r="C177" t="s">
        <v>115</v>
      </c>
      <c r="D177" t="s">
        <v>506</v>
      </c>
      <c r="E177">
        <v>5</v>
      </c>
      <c r="F177">
        <v>147</v>
      </c>
      <c r="G177">
        <v>81</v>
      </c>
      <c r="H177">
        <v>2681</v>
      </c>
      <c r="I177">
        <v>0.46023459903145703</v>
      </c>
      <c r="J177">
        <v>0.94372487166899099</v>
      </c>
      <c r="K177">
        <v>1.1258083480305701</v>
      </c>
      <c r="L177" t="s">
        <v>841</v>
      </c>
      <c r="M177" t="str">
        <f>HYPERLINK("../../3.KEGG_map/SCI_II-vs-NC-Up/rno05152.html","rno05152")</f>
        <v>rno05152</v>
      </c>
    </row>
    <row r="178" spans="1:13" x14ac:dyDescent="0.25">
      <c r="A178" t="s">
        <v>540</v>
      </c>
      <c r="B178" t="s">
        <v>541</v>
      </c>
      <c r="C178" t="s">
        <v>115</v>
      </c>
      <c r="D178" t="s">
        <v>542</v>
      </c>
      <c r="E178">
        <v>3</v>
      </c>
      <c r="F178">
        <v>147</v>
      </c>
      <c r="G178">
        <v>59</v>
      </c>
      <c r="H178">
        <v>2681</v>
      </c>
      <c r="I178">
        <v>0.63730422346537097</v>
      </c>
      <c r="J178">
        <v>0.94372487166899099</v>
      </c>
      <c r="K178">
        <v>0.92736077481840196</v>
      </c>
      <c r="L178" t="s">
        <v>842</v>
      </c>
      <c r="M178" t="str">
        <f>HYPERLINK("../../3.KEGG_map/SCI_II-vs-NC-Up/rno05160.html","rno05160")</f>
        <v>rno05160</v>
      </c>
    </row>
    <row r="179" spans="1:13" x14ac:dyDescent="0.25">
      <c r="A179" t="s">
        <v>544</v>
      </c>
      <c r="B179" t="s">
        <v>545</v>
      </c>
      <c r="C179" t="s">
        <v>115</v>
      </c>
      <c r="D179" t="s">
        <v>542</v>
      </c>
      <c r="E179">
        <v>5</v>
      </c>
      <c r="F179">
        <v>147</v>
      </c>
      <c r="G179">
        <v>79</v>
      </c>
      <c r="H179">
        <v>2681</v>
      </c>
      <c r="I179">
        <v>0.43825726645123197</v>
      </c>
      <c r="J179">
        <v>0.94372487166899099</v>
      </c>
      <c r="K179">
        <v>1.1543098251959001</v>
      </c>
      <c r="L179" t="s">
        <v>843</v>
      </c>
      <c r="M179" t="str">
        <f>HYPERLINK("../../3.KEGG_map/SCI_II-vs-NC-Up/rno05161.html","rno05161")</f>
        <v>rno05161</v>
      </c>
    </row>
    <row r="180" spans="1:13" x14ac:dyDescent="0.25">
      <c r="A180" t="s">
        <v>547</v>
      </c>
      <c r="B180" t="s">
        <v>548</v>
      </c>
      <c r="C180" t="s">
        <v>115</v>
      </c>
      <c r="D180" t="s">
        <v>542</v>
      </c>
      <c r="E180">
        <v>2</v>
      </c>
      <c r="F180">
        <v>147</v>
      </c>
      <c r="G180">
        <v>28</v>
      </c>
      <c r="H180">
        <v>2681</v>
      </c>
      <c r="I180">
        <v>0.45974674665380899</v>
      </c>
      <c r="J180">
        <v>0.94372487166899099</v>
      </c>
      <c r="K180">
        <v>1.3027210884353699</v>
      </c>
      <c r="L180" t="s">
        <v>733</v>
      </c>
      <c r="M180" t="str">
        <f>HYPERLINK("../../3.KEGG_map/SCI_II-vs-NC-Up/rno05162.html","rno05162")</f>
        <v>rno05162</v>
      </c>
    </row>
    <row r="181" spans="1:13" x14ac:dyDescent="0.25">
      <c r="A181" t="s">
        <v>549</v>
      </c>
      <c r="B181" t="s">
        <v>550</v>
      </c>
      <c r="C181" t="s">
        <v>115</v>
      </c>
      <c r="D181" t="s">
        <v>542</v>
      </c>
      <c r="E181">
        <v>4</v>
      </c>
      <c r="F181">
        <v>147</v>
      </c>
      <c r="G181">
        <v>67</v>
      </c>
      <c r="H181">
        <v>2681</v>
      </c>
      <c r="I181">
        <v>0.50600628416966897</v>
      </c>
      <c r="J181">
        <v>0.94372487166899099</v>
      </c>
      <c r="K181">
        <v>1.0888415067519499</v>
      </c>
      <c r="L181" t="s">
        <v>844</v>
      </c>
      <c r="M181" t="str">
        <f>HYPERLINK("../../3.KEGG_map/SCI_II-vs-NC-Up/rno05164.html","rno05164")</f>
        <v>rno05164</v>
      </c>
    </row>
    <row r="182" spans="1:13" x14ac:dyDescent="0.25">
      <c r="A182" t="s">
        <v>552</v>
      </c>
      <c r="B182" t="s">
        <v>553</v>
      </c>
      <c r="C182" t="s">
        <v>115</v>
      </c>
      <c r="D182" t="s">
        <v>542</v>
      </c>
      <c r="E182">
        <v>14</v>
      </c>
      <c r="F182">
        <v>147</v>
      </c>
      <c r="G182">
        <v>188</v>
      </c>
      <c r="H182">
        <v>2681</v>
      </c>
      <c r="I182">
        <v>0.14491294491464199</v>
      </c>
      <c r="J182">
        <v>0.94372487166899099</v>
      </c>
      <c r="K182">
        <v>1.3581560283687899</v>
      </c>
      <c r="L182" t="s">
        <v>845</v>
      </c>
      <c r="M182" t="str">
        <f>HYPERLINK("../../3.KEGG_map/SCI_II-vs-NC-Up/rno05165.html","rno05165")</f>
        <v>rno05165</v>
      </c>
    </row>
    <row r="183" spans="1:13" x14ac:dyDescent="0.25">
      <c r="A183" t="s">
        <v>555</v>
      </c>
      <c r="B183" t="s">
        <v>556</v>
      </c>
      <c r="C183" t="s">
        <v>115</v>
      </c>
      <c r="D183" t="s">
        <v>542</v>
      </c>
      <c r="E183">
        <v>7</v>
      </c>
      <c r="F183">
        <v>147</v>
      </c>
      <c r="G183">
        <v>143</v>
      </c>
      <c r="H183">
        <v>2681</v>
      </c>
      <c r="I183">
        <v>0.67977117257511699</v>
      </c>
      <c r="J183">
        <v>0.94372487166899099</v>
      </c>
      <c r="K183">
        <v>0.89277389277389296</v>
      </c>
      <c r="L183" t="s">
        <v>846</v>
      </c>
      <c r="M183" t="str">
        <f>HYPERLINK("../../3.KEGG_map/SCI_II-vs-NC-Up/rno05166.html","rno05166")</f>
        <v>rno05166</v>
      </c>
    </row>
    <row r="184" spans="1:13" x14ac:dyDescent="0.25">
      <c r="A184" t="s">
        <v>558</v>
      </c>
      <c r="B184" t="s">
        <v>559</v>
      </c>
      <c r="C184" t="s">
        <v>115</v>
      </c>
      <c r="D184" t="s">
        <v>542</v>
      </c>
      <c r="E184">
        <v>8</v>
      </c>
      <c r="F184">
        <v>147</v>
      </c>
      <c r="G184">
        <v>98</v>
      </c>
      <c r="H184">
        <v>2681</v>
      </c>
      <c r="I184">
        <v>0.165832616979984</v>
      </c>
      <c r="J184">
        <v>0.94372487166899099</v>
      </c>
      <c r="K184">
        <v>1.488824101069</v>
      </c>
      <c r="L184" t="s">
        <v>847</v>
      </c>
      <c r="M184" t="str">
        <f>HYPERLINK("../../3.KEGG_map/SCI_II-vs-NC-Up/rno05167.html","rno05167")</f>
        <v>rno05167</v>
      </c>
    </row>
    <row r="185" spans="1:13" x14ac:dyDescent="0.25">
      <c r="A185" t="s">
        <v>560</v>
      </c>
      <c r="B185" t="s">
        <v>561</v>
      </c>
      <c r="C185" t="s">
        <v>115</v>
      </c>
      <c r="D185" t="s">
        <v>542</v>
      </c>
      <c r="E185">
        <v>6</v>
      </c>
      <c r="F185">
        <v>147</v>
      </c>
      <c r="G185">
        <v>64</v>
      </c>
      <c r="H185">
        <v>2681</v>
      </c>
      <c r="I185">
        <v>0.13544554871322201</v>
      </c>
      <c r="J185">
        <v>0.94372487166899099</v>
      </c>
      <c r="K185">
        <v>1.7098214285714299</v>
      </c>
      <c r="L185" t="s">
        <v>848</v>
      </c>
      <c r="M185" t="str">
        <f>HYPERLINK("../../3.KEGG_map/SCI_II-vs-NC-Up/rno05168.html","rno05168")</f>
        <v>rno05168</v>
      </c>
    </row>
    <row r="186" spans="1:13" x14ac:dyDescent="0.25">
      <c r="A186" t="s">
        <v>562</v>
      </c>
      <c r="B186" t="s">
        <v>563</v>
      </c>
      <c r="C186" t="s">
        <v>115</v>
      </c>
      <c r="D186" t="s">
        <v>542</v>
      </c>
      <c r="E186">
        <v>10</v>
      </c>
      <c r="F186">
        <v>147</v>
      </c>
      <c r="G186">
        <v>93</v>
      </c>
      <c r="H186">
        <v>2681</v>
      </c>
      <c r="I186">
        <v>2.8870252326583901E-2</v>
      </c>
      <c r="J186">
        <v>0.77085328660669505</v>
      </c>
      <c r="K186">
        <v>1.9610855094726101</v>
      </c>
      <c r="L186" t="s">
        <v>849</v>
      </c>
      <c r="M186" t="str">
        <f>HYPERLINK("../../3.KEGG_map/SCI_II-vs-NC-Up/rno05169.html","rno05169")</f>
        <v>rno05169</v>
      </c>
    </row>
    <row r="187" spans="1:13" x14ac:dyDescent="0.25">
      <c r="A187" t="s">
        <v>564</v>
      </c>
      <c r="B187" t="s">
        <v>565</v>
      </c>
      <c r="C187" t="s">
        <v>115</v>
      </c>
      <c r="D187" t="s">
        <v>566</v>
      </c>
      <c r="E187">
        <v>16</v>
      </c>
      <c r="F187">
        <v>147</v>
      </c>
      <c r="G187">
        <v>258</v>
      </c>
      <c r="H187">
        <v>2681</v>
      </c>
      <c r="I187">
        <v>0.33780545866880501</v>
      </c>
      <c r="J187">
        <v>0.94372487166899099</v>
      </c>
      <c r="K187">
        <v>1.1310446659283899</v>
      </c>
      <c r="L187" t="s">
        <v>850</v>
      </c>
      <c r="M187" t="str">
        <f>HYPERLINK("../../3.KEGG_map/SCI_II-vs-NC-Up/rno05200.html","rno05200")</f>
        <v>rno05200</v>
      </c>
    </row>
    <row r="188" spans="1:13" x14ac:dyDescent="0.25">
      <c r="A188" t="s">
        <v>568</v>
      </c>
      <c r="B188" t="s">
        <v>569</v>
      </c>
      <c r="C188" t="s">
        <v>115</v>
      </c>
      <c r="D188" t="s">
        <v>566</v>
      </c>
      <c r="E188">
        <v>8</v>
      </c>
      <c r="F188">
        <v>147</v>
      </c>
      <c r="G188">
        <v>93</v>
      </c>
      <c r="H188">
        <v>2681</v>
      </c>
      <c r="I188">
        <v>0.13429236624085999</v>
      </c>
      <c r="J188">
        <v>0.94372487166899099</v>
      </c>
      <c r="K188">
        <v>1.5688684075780801</v>
      </c>
      <c r="L188" t="s">
        <v>851</v>
      </c>
      <c r="M188" t="str">
        <f>HYPERLINK("../../3.KEGG_map/SCI_II-vs-NC-Up/rno05202.html","rno05202")</f>
        <v>rno05202</v>
      </c>
    </row>
    <row r="189" spans="1:13" x14ac:dyDescent="0.25">
      <c r="A189" t="s">
        <v>571</v>
      </c>
      <c r="B189" t="s">
        <v>572</v>
      </c>
      <c r="C189" t="s">
        <v>115</v>
      </c>
      <c r="D189" t="s">
        <v>566</v>
      </c>
      <c r="E189">
        <v>8</v>
      </c>
      <c r="F189">
        <v>147</v>
      </c>
      <c r="G189">
        <v>84</v>
      </c>
      <c r="H189">
        <v>2681</v>
      </c>
      <c r="I189">
        <v>8.6317180933944304E-2</v>
      </c>
      <c r="J189">
        <v>0.94372487166899099</v>
      </c>
      <c r="K189">
        <v>1.7369614512471701</v>
      </c>
      <c r="L189" t="s">
        <v>852</v>
      </c>
      <c r="M189" t="str">
        <f>HYPERLINK("../../3.KEGG_map/SCI_II-vs-NC-Up/rno05203.html","rno05203")</f>
        <v>rno05203</v>
      </c>
    </row>
    <row r="190" spans="1:13" x14ac:dyDescent="0.25">
      <c r="A190" t="s">
        <v>573</v>
      </c>
      <c r="B190" t="s">
        <v>574</v>
      </c>
      <c r="C190" t="s">
        <v>115</v>
      </c>
      <c r="D190" t="s">
        <v>566</v>
      </c>
      <c r="E190">
        <v>2</v>
      </c>
      <c r="F190">
        <v>147</v>
      </c>
      <c r="G190">
        <v>15</v>
      </c>
      <c r="H190">
        <v>2681</v>
      </c>
      <c r="I190">
        <v>0.19710669063915801</v>
      </c>
      <c r="J190">
        <v>0.94372487166899099</v>
      </c>
      <c r="K190">
        <v>2.4317460317460302</v>
      </c>
      <c r="L190" t="s">
        <v>661</v>
      </c>
      <c r="M190" t="str">
        <f>HYPERLINK("../../3.KEGG_map/SCI_II-vs-NC-Up/rno05204.html","rno05204")</f>
        <v>rno05204</v>
      </c>
    </row>
    <row r="191" spans="1:13" x14ac:dyDescent="0.25">
      <c r="A191" t="s">
        <v>575</v>
      </c>
      <c r="B191" t="s">
        <v>576</v>
      </c>
      <c r="C191" t="s">
        <v>115</v>
      </c>
      <c r="D191" t="s">
        <v>566</v>
      </c>
      <c r="E191">
        <v>7</v>
      </c>
      <c r="F191">
        <v>147</v>
      </c>
      <c r="G191">
        <v>166</v>
      </c>
      <c r="H191">
        <v>2681</v>
      </c>
      <c r="I191">
        <v>0.81858908523804097</v>
      </c>
      <c r="J191">
        <v>0.94372487166899099</v>
      </c>
      <c r="K191">
        <v>0.76907630522088399</v>
      </c>
      <c r="L191" t="s">
        <v>853</v>
      </c>
      <c r="M191" t="str">
        <f>HYPERLINK("../../3.KEGG_map/SCI_II-vs-NC-Up/rno05205.html","rno05205")</f>
        <v>rno05205</v>
      </c>
    </row>
    <row r="192" spans="1:13" x14ac:dyDescent="0.25">
      <c r="A192" t="s">
        <v>578</v>
      </c>
      <c r="B192" t="s">
        <v>579</v>
      </c>
      <c r="C192" t="s">
        <v>115</v>
      </c>
      <c r="D192" t="s">
        <v>566</v>
      </c>
      <c r="E192">
        <v>6</v>
      </c>
      <c r="F192">
        <v>147</v>
      </c>
      <c r="G192">
        <v>82</v>
      </c>
      <c r="H192">
        <v>2681</v>
      </c>
      <c r="I192">
        <v>0.29234857672510101</v>
      </c>
      <c r="J192">
        <v>0.94372487166899099</v>
      </c>
      <c r="K192">
        <v>1.3344947735191599</v>
      </c>
      <c r="L192" t="s">
        <v>854</v>
      </c>
      <c r="M192" t="str">
        <f>HYPERLINK("../../3.KEGG_map/SCI_II-vs-NC-Up/rno05206.html","rno05206")</f>
        <v>rno05206</v>
      </c>
    </row>
    <row r="193" spans="1:13" x14ac:dyDescent="0.25">
      <c r="A193" t="s">
        <v>581</v>
      </c>
      <c r="B193" t="s">
        <v>582</v>
      </c>
      <c r="C193" t="s">
        <v>115</v>
      </c>
      <c r="D193" t="s">
        <v>583</v>
      </c>
      <c r="E193">
        <v>2</v>
      </c>
      <c r="F193">
        <v>147</v>
      </c>
      <c r="G193">
        <v>61</v>
      </c>
      <c r="H193">
        <v>2681</v>
      </c>
      <c r="I193">
        <v>0.857539628222039</v>
      </c>
      <c r="J193">
        <v>0.94372487166899099</v>
      </c>
      <c r="K193">
        <v>0.59797033567525404</v>
      </c>
      <c r="L193" t="s">
        <v>855</v>
      </c>
      <c r="M193" t="str">
        <f>HYPERLINK("../../3.KEGG_map/SCI_II-vs-NC-Up/rno05210.html","rno05210")</f>
        <v>rno05210</v>
      </c>
    </row>
    <row r="194" spans="1:13" x14ac:dyDescent="0.25">
      <c r="A194" t="s">
        <v>585</v>
      </c>
      <c r="B194" t="s">
        <v>586</v>
      </c>
      <c r="C194" t="s">
        <v>115</v>
      </c>
      <c r="D194" t="s">
        <v>583</v>
      </c>
      <c r="E194">
        <v>3</v>
      </c>
      <c r="F194">
        <v>147</v>
      </c>
      <c r="G194">
        <v>52</v>
      </c>
      <c r="H194">
        <v>2681</v>
      </c>
      <c r="I194">
        <v>0.55018636863957304</v>
      </c>
      <c r="J194">
        <v>0.94372487166899099</v>
      </c>
      <c r="K194">
        <v>1.0521978021978</v>
      </c>
      <c r="L194" t="s">
        <v>715</v>
      </c>
      <c r="M194" t="str">
        <f>HYPERLINK("../../3.KEGG_map/SCI_II-vs-NC-Up/rno05211.html","rno05211")</f>
        <v>rno05211</v>
      </c>
    </row>
    <row r="195" spans="1:13" x14ac:dyDescent="0.25">
      <c r="A195" t="s">
        <v>588</v>
      </c>
      <c r="B195" t="s">
        <v>589</v>
      </c>
      <c r="C195" t="s">
        <v>115</v>
      </c>
      <c r="D195" t="s">
        <v>583</v>
      </c>
      <c r="E195">
        <v>2</v>
      </c>
      <c r="F195">
        <v>147</v>
      </c>
      <c r="G195">
        <v>61</v>
      </c>
      <c r="H195">
        <v>2681</v>
      </c>
      <c r="I195">
        <v>0.857539628222039</v>
      </c>
      <c r="J195">
        <v>0.94372487166899099</v>
      </c>
      <c r="K195">
        <v>0.59797033567525404</v>
      </c>
      <c r="L195" t="s">
        <v>855</v>
      </c>
      <c r="M195" t="str">
        <f>HYPERLINK("../../3.KEGG_map/SCI_II-vs-NC-Up/rno05212.html","rno05212")</f>
        <v>rno05212</v>
      </c>
    </row>
    <row r="196" spans="1:13" x14ac:dyDescent="0.25">
      <c r="A196" t="s">
        <v>591</v>
      </c>
      <c r="B196" t="s">
        <v>592</v>
      </c>
      <c r="C196" t="s">
        <v>115</v>
      </c>
      <c r="D196" t="s">
        <v>583</v>
      </c>
      <c r="E196">
        <v>2</v>
      </c>
      <c r="F196">
        <v>147</v>
      </c>
      <c r="G196">
        <v>43</v>
      </c>
      <c r="H196">
        <v>2681</v>
      </c>
      <c r="I196">
        <v>0.69315581719945896</v>
      </c>
      <c r="J196">
        <v>0.94372487166899099</v>
      </c>
      <c r="K196">
        <v>0.84828349944629</v>
      </c>
      <c r="L196" t="s">
        <v>818</v>
      </c>
      <c r="M196" t="str">
        <f>HYPERLINK("../../3.KEGG_map/SCI_II-vs-NC-Up/rno05213.html","rno05213")</f>
        <v>rno05213</v>
      </c>
    </row>
    <row r="197" spans="1:13" x14ac:dyDescent="0.25">
      <c r="A197" t="s">
        <v>593</v>
      </c>
      <c r="B197" t="s">
        <v>594</v>
      </c>
      <c r="C197" t="s">
        <v>115</v>
      </c>
      <c r="D197" t="s">
        <v>583</v>
      </c>
      <c r="E197">
        <v>3</v>
      </c>
      <c r="F197">
        <v>147</v>
      </c>
      <c r="G197">
        <v>47</v>
      </c>
      <c r="H197">
        <v>2681</v>
      </c>
      <c r="I197">
        <v>0.481089029233705</v>
      </c>
      <c r="J197">
        <v>0.94372487166899099</v>
      </c>
      <c r="K197">
        <v>1.16413373860182</v>
      </c>
      <c r="L197" t="s">
        <v>856</v>
      </c>
      <c r="M197" t="str">
        <f>HYPERLINK("../../3.KEGG_map/SCI_II-vs-NC-Up/rno05214.html","rno05214")</f>
        <v>rno05214</v>
      </c>
    </row>
    <row r="198" spans="1:13" x14ac:dyDescent="0.25">
      <c r="A198" t="s">
        <v>595</v>
      </c>
      <c r="B198" t="s">
        <v>596</v>
      </c>
      <c r="C198" t="s">
        <v>115</v>
      </c>
      <c r="D198" t="s">
        <v>583</v>
      </c>
      <c r="E198">
        <v>5</v>
      </c>
      <c r="F198">
        <v>147</v>
      </c>
      <c r="G198">
        <v>62</v>
      </c>
      <c r="H198">
        <v>2681</v>
      </c>
      <c r="I198">
        <v>0.25100466858099402</v>
      </c>
      <c r="J198">
        <v>0.94372487166899099</v>
      </c>
      <c r="K198">
        <v>1.4708141321044499</v>
      </c>
      <c r="L198" t="s">
        <v>857</v>
      </c>
      <c r="M198" t="str">
        <f>HYPERLINK("../../3.KEGG_map/SCI_II-vs-NC-Up/rno05215.html","rno05215")</f>
        <v>rno05215</v>
      </c>
    </row>
    <row r="199" spans="1:13" x14ac:dyDescent="0.25">
      <c r="A199" t="s">
        <v>858</v>
      </c>
      <c r="B199" t="s">
        <v>859</v>
      </c>
      <c r="C199" t="s">
        <v>115</v>
      </c>
      <c r="D199" t="s">
        <v>583</v>
      </c>
      <c r="E199">
        <v>1</v>
      </c>
      <c r="F199">
        <v>147</v>
      </c>
      <c r="G199">
        <v>9</v>
      </c>
      <c r="H199">
        <v>2681</v>
      </c>
      <c r="I199">
        <v>0.39848130101101198</v>
      </c>
      <c r="J199">
        <v>0.94372487166899099</v>
      </c>
      <c r="K199">
        <v>2.0264550264550301</v>
      </c>
      <c r="L199" t="s">
        <v>860</v>
      </c>
      <c r="M199" t="str">
        <f>HYPERLINK("../../3.KEGG_map/SCI_II-vs-NC-Up/rno05217.html","rno05217")</f>
        <v>rno05217</v>
      </c>
    </row>
    <row r="200" spans="1:13" x14ac:dyDescent="0.25">
      <c r="A200" t="s">
        <v>598</v>
      </c>
      <c r="B200" t="s">
        <v>599</v>
      </c>
      <c r="C200" t="s">
        <v>115</v>
      </c>
      <c r="D200" t="s">
        <v>583</v>
      </c>
      <c r="E200">
        <v>3</v>
      </c>
      <c r="F200">
        <v>147</v>
      </c>
      <c r="G200">
        <v>38</v>
      </c>
      <c r="H200">
        <v>2681</v>
      </c>
      <c r="I200">
        <v>0.34655546907771501</v>
      </c>
      <c r="J200">
        <v>0.94372487166899099</v>
      </c>
      <c r="K200">
        <v>1.4398496240601499</v>
      </c>
      <c r="L200" t="s">
        <v>856</v>
      </c>
      <c r="M200" t="str">
        <f>HYPERLINK("../../3.KEGG_map/SCI_II-vs-NC-Up/rno05218.html","rno05218")</f>
        <v>rno05218</v>
      </c>
    </row>
    <row r="201" spans="1:13" x14ac:dyDescent="0.25">
      <c r="A201" t="s">
        <v>600</v>
      </c>
      <c r="B201" t="s">
        <v>601</v>
      </c>
      <c r="C201" t="s">
        <v>115</v>
      </c>
      <c r="D201" t="s">
        <v>583</v>
      </c>
      <c r="E201">
        <v>1</v>
      </c>
      <c r="F201">
        <v>147</v>
      </c>
      <c r="G201">
        <v>27</v>
      </c>
      <c r="H201">
        <v>2681</v>
      </c>
      <c r="I201">
        <v>0.78350715168642804</v>
      </c>
      <c r="J201">
        <v>0.94372487166899099</v>
      </c>
      <c r="K201">
        <v>0.67548500881834195</v>
      </c>
      <c r="L201" t="s">
        <v>861</v>
      </c>
      <c r="M201" t="str">
        <f>HYPERLINK("../../3.KEGG_map/SCI_II-vs-NC-Up/rno05219.html","rno05219")</f>
        <v>rno05219</v>
      </c>
    </row>
    <row r="202" spans="1:13" x14ac:dyDescent="0.25">
      <c r="A202" t="s">
        <v>862</v>
      </c>
      <c r="B202" t="s">
        <v>863</v>
      </c>
      <c r="C202" t="s">
        <v>115</v>
      </c>
      <c r="D202" t="s">
        <v>583</v>
      </c>
      <c r="E202">
        <v>2</v>
      </c>
      <c r="F202">
        <v>147</v>
      </c>
      <c r="G202">
        <v>51</v>
      </c>
      <c r="H202">
        <v>2681</v>
      </c>
      <c r="I202">
        <v>0.77976640991284096</v>
      </c>
      <c r="J202">
        <v>0.94372487166899099</v>
      </c>
      <c r="K202">
        <v>0.71521942110177394</v>
      </c>
      <c r="L202" t="s">
        <v>864</v>
      </c>
      <c r="M202" t="str">
        <f>HYPERLINK("../../3.KEGG_map/SCI_II-vs-NC-Up/rno05220.html","rno05220")</f>
        <v>rno05220</v>
      </c>
    </row>
    <row r="203" spans="1:13" x14ac:dyDescent="0.25">
      <c r="A203" t="s">
        <v>865</v>
      </c>
      <c r="B203" t="s">
        <v>866</v>
      </c>
      <c r="C203" t="s">
        <v>115</v>
      </c>
      <c r="D203" t="s">
        <v>583</v>
      </c>
      <c r="E203">
        <v>1</v>
      </c>
      <c r="F203">
        <v>147</v>
      </c>
      <c r="G203">
        <v>36</v>
      </c>
      <c r="H203">
        <v>2681</v>
      </c>
      <c r="I203">
        <v>0.87046768984993705</v>
      </c>
      <c r="J203">
        <v>0.94372487166899099</v>
      </c>
      <c r="K203">
        <v>0.50661375661375696</v>
      </c>
      <c r="L203" t="s">
        <v>719</v>
      </c>
      <c r="M203" t="str">
        <f>HYPERLINK("../../3.KEGG_map/SCI_II-vs-NC-Up/rno05221.html","rno05221")</f>
        <v>rno05221</v>
      </c>
    </row>
    <row r="204" spans="1:13" x14ac:dyDescent="0.25">
      <c r="A204" t="s">
        <v>603</v>
      </c>
      <c r="B204" t="s">
        <v>604</v>
      </c>
      <c r="C204" t="s">
        <v>115</v>
      </c>
      <c r="D204" t="s">
        <v>583</v>
      </c>
      <c r="E204">
        <v>6</v>
      </c>
      <c r="F204">
        <v>147</v>
      </c>
      <c r="G204">
        <v>62</v>
      </c>
      <c r="H204">
        <v>2681</v>
      </c>
      <c r="I204">
        <v>0.121171635589954</v>
      </c>
      <c r="J204">
        <v>0.94372487166899099</v>
      </c>
      <c r="K204">
        <v>1.7649769585253501</v>
      </c>
      <c r="L204" t="s">
        <v>867</v>
      </c>
      <c r="M204" t="str">
        <f>HYPERLINK("../../3.KEGG_map/SCI_II-vs-NC-Up/rno05222.html","rno05222")</f>
        <v>rno05222</v>
      </c>
    </row>
    <row r="205" spans="1:13" x14ac:dyDescent="0.25">
      <c r="A205" t="s">
        <v>868</v>
      </c>
      <c r="B205" t="s">
        <v>869</v>
      </c>
      <c r="C205" t="s">
        <v>115</v>
      </c>
      <c r="D205" t="s">
        <v>583</v>
      </c>
      <c r="E205">
        <v>1</v>
      </c>
      <c r="F205">
        <v>147</v>
      </c>
      <c r="G205">
        <v>47</v>
      </c>
      <c r="H205">
        <v>2681</v>
      </c>
      <c r="I205">
        <v>0.93102692904625495</v>
      </c>
      <c r="J205">
        <v>0.958921374898559</v>
      </c>
      <c r="K205">
        <v>0.388044579533941</v>
      </c>
      <c r="L205" t="s">
        <v>719</v>
      </c>
      <c r="M205" t="str">
        <f>HYPERLINK("../../3.KEGG_map/SCI_II-vs-NC-Up/rno05223.html","rno05223")</f>
        <v>rno05223</v>
      </c>
    </row>
    <row r="206" spans="1:13" x14ac:dyDescent="0.25">
      <c r="A206" t="s">
        <v>606</v>
      </c>
      <c r="B206" t="s">
        <v>607</v>
      </c>
      <c r="C206" t="s">
        <v>115</v>
      </c>
      <c r="D206" t="s">
        <v>583</v>
      </c>
      <c r="E206">
        <v>3</v>
      </c>
      <c r="F206">
        <v>147</v>
      </c>
      <c r="G206">
        <v>57</v>
      </c>
      <c r="H206">
        <v>2681</v>
      </c>
      <c r="I206">
        <v>0.61364593186030503</v>
      </c>
      <c r="J206">
        <v>0.94372487166899099</v>
      </c>
      <c r="K206">
        <v>0.95989974937343403</v>
      </c>
      <c r="L206" t="s">
        <v>870</v>
      </c>
      <c r="M206" t="str">
        <f>HYPERLINK("../../3.KEGG_map/SCI_II-vs-NC-Up/rno05224.html","rno05224")</f>
        <v>rno05224</v>
      </c>
    </row>
    <row r="207" spans="1:13" x14ac:dyDescent="0.25">
      <c r="A207" t="s">
        <v>608</v>
      </c>
      <c r="B207" t="s">
        <v>609</v>
      </c>
      <c r="C207" t="s">
        <v>115</v>
      </c>
      <c r="D207" t="s">
        <v>583</v>
      </c>
      <c r="E207">
        <v>5</v>
      </c>
      <c r="F207">
        <v>147</v>
      </c>
      <c r="G207">
        <v>102</v>
      </c>
      <c r="H207">
        <v>2681</v>
      </c>
      <c r="I207">
        <v>0.66821747552802402</v>
      </c>
      <c r="J207">
        <v>0.94372487166899099</v>
      </c>
      <c r="K207">
        <v>0.89402427637721804</v>
      </c>
      <c r="L207" t="s">
        <v>871</v>
      </c>
      <c r="M207" t="str">
        <f>HYPERLINK("../../3.KEGG_map/SCI_II-vs-NC-Up/rno05225.html","rno05225")</f>
        <v>rno05225</v>
      </c>
    </row>
    <row r="208" spans="1:13" x14ac:dyDescent="0.25">
      <c r="A208" t="s">
        <v>611</v>
      </c>
      <c r="B208" t="s">
        <v>612</v>
      </c>
      <c r="C208" t="s">
        <v>115</v>
      </c>
      <c r="D208" t="s">
        <v>583</v>
      </c>
      <c r="E208">
        <v>2</v>
      </c>
      <c r="F208">
        <v>147</v>
      </c>
      <c r="G208">
        <v>76</v>
      </c>
      <c r="H208">
        <v>2681</v>
      </c>
      <c r="I208">
        <v>0.92835220705938803</v>
      </c>
      <c r="J208">
        <v>0.958921374898559</v>
      </c>
      <c r="K208">
        <v>0.47994987468671702</v>
      </c>
      <c r="L208" t="s">
        <v>855</v>
      </c>
      <c r="M208" t="str">
        <f>HYPERLINK("../../3.KEGG_map/SCI_II-vs-NC-Up/rno05226.html","rno05226")</f>
        <v>rno05226</v>
      </c>
    </row>
    <row r="209" spans="1:13" x14ac:dyDescent="0.25">
      <c r="A209" t="s">
        <v>614</v>
      </c>
      <c r="B209" t="s">
        <v>615</v>
      </c>
      <c r="C209" t="s">
        <v>115</v>
      </c>
      <c r="D209" t="s">
        <v>566</v>
      </c>
      <c r="E209">
        <v>3</v>
      </c>
      <c r="F209">
        <v>147</v>
      </c>
      <c r="G209">
        <v>34</v>
      </c>
      <c r="H209">
        <v>2681</v>
      </c>
      <c r="I209">
        <v>0.28516940131998397</v>
      </c>
      <c r="J209">
        <v>0.94372487166899099</v>
      </c>
      <c r="K209">
        <v>1.6092436974789901</v>
      </c>
      <c r="L209" t="s">
        <v>872</v>
      </c>
      <c r="M209" t="str">
        <f>HYPERLINK("../../3.KEGG_map/SCI_II-vs-NC-Up/rno05230.html","rno05230")</f>
        <v>rno05230</v>
      </c>
    </row>
    <row r="210" spans="1:13" x14ac:dyDescent="0.25">
      <c r="A210" t="s">
        <v>617</v>
      </c>
      <c r="B210" t="s">
        <v>618</v>
      </c>
      <c r="C210" t="s">
        <v>115</v>
      </c>
      <c r="D210" t="s">
        <v>566</v>
      </c>
      <c r="E210">
        <v>1</v>
      </c>
      <c r="F210">
        <v>147</v>
      </c>
      <c r="G210">
        <v>61</v>
      </c>
      <c r="H210">
        <v>2681</v>
      </c>
      <c r="I210">
        <v>0.96919439211793801</v>
      </c>
      <c r="J210">
        <v>0.97856421954998796</v>
      </c>
      <c r="K210">
        <v>0.29898516783762702</v>
      </c>
      <c r="L210" t="s">
        <v>719</v>
      </c>
      <c r="M210" t="str">
        <f>HYPERLINK("../../3.KEGG_map/SCI_II-vs-NC-Up/rno05231.html","rno05231")</f>
        <v>rno05231</v>
      </c>
    </row>
    <row r="211" spans="1:13" x14ac:dyDescent="0.25">
      <c r="A211" t="s">
        <v>619</v>
      </c>
      <c r="B211" t="s">
        <v>620</v>
      </c>
      <c r="C211" t="s">
        <v>115</v>
      </c>
      <c r="D211" t="s">
        <v>621</v>
      </c>
      <c r="E211">
        <v>1</v>
      </c>
      <c r="F211">
        <v>147</v>
      </c>
      <c r="G211">
        <v>11</v>
      </c>
      <c r="H211">
        <v>2681</v>
      </c>
      <c r="I211">
        <v>0.462857490672896</v>
      </c>
      <c r="J211">
        <v>0.94372487166899099</v>
      </c>
      <c r="K211">
        <v>1.6580086580086599</v>
      </c>
      <c r="L211" t="s">
        <v>873</v>
      </c>
      <c r="M211" t="str">
        <f>HYPERLINK("../../3.KEGG_map/SCI_II-vs-NC-Up/rno05320.html","rno05320")</f>
        <v>rno05320</v>
      </c>
    </row>
    <row r="212" spans="1:13" x14ac:dyDescent="0.25">
      <c r="A212" t="s">
        <v>622</v>
      </c>
      <c r="B212" t="s">
        <v>623</v>
      </c>
      <c r="C212" t="s">
        <v>115</v>
      </c>
      <c r="D212" t="s">
        <v>621</v>
      </c>
      <c r="E212">
        <v>1</v>
      </c>
      <c r="F212">
        <v>147</v>
      </c>
      <c r="G212">
        <v>14</v>
      </c>
      <c r="H212">
        <v>2681</v>
      </c>
      <c r="I212">
        <v>0.54681133204965804</v>
      </c>
      <c r="J212">
        <v>0.94372487166899099</v>
      </c>
      <c r="K212">
        <v>1.3027210884353699</v>
      </c>
      <c r="L212" t="s">
        <v>208</v>
      </c>
      <c r="M212" t="str">
        <f>HYPERLINK("../../3.KEGG_map/SCI_II-vs-NC-Up/rno05321.html","rno05321")</f>
        <v>rno05321</v>
      </c>
    </row>
    <row r="213" spans="1:13" x14ac:dyDescent="0.25">
      <c r="A213" t="s">
        <v>627</v>
      </c>
      <c r="B213" t="s">
        <v>628</v>
      </c>
      <c r="C213" t="s">
        <v>115</v>
      </c>
      <c r="D213" t="s">
        <v>621</v>
      </c>
      <c r="E213">
        <v>1</v>
      </c>
      <c r="F213">
        <v>147</v>
      </c>
      <c r="G213">
        <v>17</v>
      </c>
      <c r="H213">
        <v>2681</v>
      </c>
      <c r="I213">
        <v>0.61771865824745498</v>
      </c>
      <c r="J213">
        <v>0.94372487166899099</v>
      </c>
      <c r="K213">
        <v>1.0728291316526599</v>
      </c>
      <c r="L213" t="s">
        <v>652</v>
      </c>
      <c r="M213" t="str">
        <f>HYPERLINK("../../3.KEGG_map/SCI_II-vs-NC-Up/rno05323.html","rno05323")</f>
        <v>rno05323</v>
      </c>
    </row>
    <row r="214" spans="1:13" x14ac:dyDescent="0.25">
      <c r="A214" t="s">
        <v>629</v>
      </c>
      <c r="B214" t="s">
        <v>630</v>
      </c>
      <c r="C214" t="s">
        <v>115</v>
      </c>
      <c r="D214" t="s">
        <v>621</v>
      </c>
      <c r="E214">
        <v>1</v>
      </c>
      <c r="F214">
        <v>147</v>
      </c>
      <c r="G214">
        <v>11</v>
      </c>
      <c r="H214">
        <v>2681</v>
      </c>
      <c r="I214">
        <v>0.462857490672896</v>
      </c>
      <c r="J214">
        <v>0.94372487166899099</v>
      </c>
      <c r="K214">
        <v>1.6580086580086599</v>
      </c>
      <c r="L214" t="s">
        <v>873</v>
      </c>
      <c r="M214" t="str">
        <f>HYPERLINK("../../3.KEGG_map/SCI_II-vs-NC-Up/rno05330.html","rno05330")</f>
        <v>rno05330</v>
      </c>
    </row>
    <row r="215" spans="1:13" x14ac:dyDescent="0.25">
      <c r="A215" t="s">
        <v>631</v>
      </c>
      <c r="B215" t="s">
        <v>632</v>
      </c>
      <c r="C215" t="s">
        <v>115</v>
      </c>
      <c r="D215" t="s">
        <v>621</v>
      </c>
      <c r="E215">
        <v>1</v>
      </c>
      <c r="F215">
        <v>147</v>
      </c>
      <c r="G215">
        <v>11</v>
      </c>
      <c r="H215">
        <v>2681</v>
      </c>
      <c r="I215">
        <v>0.462857490672896</v>
      </c>
      <c r="J215">
        <v>0.94372487166899099</v>
      </c>
      <c r="K215">
        <v>1.6580086580086599</v>
      </c>
      <c r="L215" t="s">
        <v>873</v>
      </c>
      <c r="M215" t="str">
        <f>HYPERLINK("../../3.KEGG_map/SCI_II-vs-NC-Up/rno05332.html","rno05332")</f>
        <v>rno05332</v>
      </c>
    </row>
    <row r="216" spans="1:13" x14ac:dyDescent="0.25">
      <c r="A216" t="s">
        <v>633</v>
      </c>
      <c r="B216" t="s">
        <v>634</v>
      </c>
      <c r="C216" t="s">
        <v>115</v>
      </c>
      <c r="D216" t="s">
        <v>635</v>
      </c>
      <c r="E216">
        <v>3</v>
      </c>
      <c r="F216">
        <v>147</v>
      </c>
      <c r="G216">
        <v>60</v>
      </c>
      <c r="H216">
        <v>2681</v>
      </c>
      <c r="I216">
        <v>0.64875232469039701</v>
      </c>
      <c r="J216">
        <v>0.94372487166899099</v>
      </c>
      <c r="K216">
        <v>0.911904761904762</v>
      </c>
      <c r="L216" t="s">
        <v>739</v>
      </c>
      <c r="M216" t="str">
        <f>HYPERLINK("../../3.KEGG_map/SCI_II-vs-NC-Up/rno05410.html","rno05410")</f>
        <v>rno05410</v>
      </c>
    </row>
    <row r="217" spans="1:13" x14ac:dyDescent="0.25">
      <c r="A217" t="s">
        <v>637</v>
      </c>
      <c r="B217" t="s">
        <v>638</v>
      </c>
      <c r="C217" t="s">
        <v>115</v>
      </c>
      <c r="D217" t="s">
        <v>635</v>
      </c>
      <c r="E217">
        <v>2</v>
      </c>
      <c r="F217">
        <v>147</v>
      </c>
      <c r="G217">
        <v>59</v>
      </c>
      <c r="H217">
        <v>2681</v>
      </c>
      <c r="I217">
        <v>0.84431747458273798</v>
      </c>
      <c r="J217">
        <v>0.94372487166899099</v>
      </c>
      <c r="K217">
        <v>0.61824051654560097</v>
      </c>
      <c r="L217" t="s">
        <v>874</v>
      </c>
      <c r="M217" t="str">
        <f>HYPERLINK("../../3.KEGG_map/SCI_II-vs-NC-Up/rno05412.html","rno05412")</f>
        <v>rno05412</v>
      </c>
    </row>
    <row r="218" spans="1:13" x14ac:dyDescent="0.25">
      <c r="A218" t="s">
        <v>640</v>
      </c>
      <c r="B218" t="s">
        <v>641</v>
      </c>
      <c r="C218" t="s">
        <v>115</v>
      </c>
      <c r="D218" t="s">
        <v>635</v>
      </c>
      <c r="E218">
        <v>3</v>
      </c>
      <c r="F218">
        <v>147</v>
      </c>
      <c r="G218">
        <v>69</v>
      </c>
      <c r="H218">
        <v>2681</v>
      </c>
      <c r="I218">
        <v>0.74028432104546105</v>
      </c>
      <c r="J218">
        <v>0.94372487166899099</v>
      </c>
      <c r="K218">
        <v>0.79296066252588004</v>
      </c>
      <c r="L218" t="s">
        <v>739</v>
      </c>
      <c r="M218" t="str">
        <f>HYPERLINK("../../3.KEGG_map/SCI_II-vs-NC-Up/rno05414.html","rno05414")</f>
        <v>rno05414</v>
      </c>
    </row>
    <row r="219" spans="1:13" x14ac:dyDescent="0.25">
      <c r="A219" t="s">
        <v>642</v>
      </c>
      <c r="B219" t="s">
        <v>643</v>
      </c>
      <c r="C219" t="s">
        <v>115</v>
      </c>
      <c r="D219" t="s">
        <v>635</v>
      </c>
      <c r="E219">
        <v>2</v>
      </c>
      <c r="F219">
        <v>147</v>
      </c>
      <c r="G219">
        <v>22</v>
      </c>
      <c r="H219">
        <v>2681</v>
      </c>
      <c r="I219">
        <v>0.34191579897302299</v>
      </c>
      <c r="J219">
        <v>0.94372487166899099</v>
      </c>
      <c r="K219">
        <v>1.6580086580086599</v>
      </c>
      <c r="L219" t="s">
        <v>875</v>
      </c>
      <c r="M219" t="str">
        <f>HYPERLINK("../../3.KEGG_map/SCI_II-vs-NC-Up/rno05416.html","rno05416")</f>
        <v>rno05416</v>
      </c>
    </row>
    <row r="220" spans="1:13" x14ac:dyDescent="0.25">
      <c r="A220" t="s">
        <v>645</v>
      </c>
      <c r="B220" t="s">
        <v>646</v>
      </c>
      <c r="C220" t="s">
        <v>115</v>
      </c>
      <c r="D220" t="s">
        <v>635</v>
      </c>
      <c r="E220">
        <v>6</v>
      </c>
      <c r="F220">
        <v>147</v>
      </c>
      <c r="G220">
        <v>81</v>
      </c>
      <c r="H220">
        <v>2681</v>
      </c>
      <c r="I220">
        <v>0.28264970969194297</v>
      </c>
      <c r="J220">
        <v>0.94372487166899099</v>
      </c>
      <c r="K220">
        <v>1.3509700176366799</v>
      </c>
      <c r="L220" t="s">
        <v>876</v>
      </c>
      <c r="M220" t="str">
        <f>HYPERLINK("../../3.KEGG_map/SCI_II-vs-NC-Up/rno05418.html","rno05418")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4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1</v>
      </c>
      <c r="F2">
        <v>201</v>
      </c>
      <c r="G2">
        <v>5</v>
      </c>
      <c r="H2">
        <v>2681</v>
      </c>
      <c r="I2">
        <v>0.32291547012908201</v>
      </c>
      <c r="J2">
        <v>0.98558586947165205</v>
      </c>
      <c r="K2">
        <v>2.6676616915422899</v>
      </c>
      <c r="L2" t="s">
        <v>17</v>
      </c>
      <c r="M2" t="str">
        <f>HYPERLINK("../../3.KEGG_map/SCI_III-vs-NC-Up/rno00010.html","rno00010")</f>
        <v>rno00010</v>
      </c>
    </row>
    <row r="3" spans="1:13" x14ac:dyDescent="0.25">
      <c r="A3" t="s">
        <v>877</v>
      </c>
      <c r="B3" t="s">
        <v>878</v>
      </c>
      <c r="C3" t="s">
        <v>15</v>
      </c>
      <c r="D3" t="s">
        <v>16</v>
      </c>
      <c r="E3">
        <v>2</v>
      </c>
      <c r="F3">
        <v>201</v>
      </c>
      <c r="G3">
        <v>16</v>
      </c>
      <c r="H3">
        <v>2681</v>
      </c>
      <c r="I3">
        <v>0.340060828388623</v>
      </c>
      <c r="J3">
        <v>0.98558586947165205</v>
      </c>
      <c r="K3">
        <v>1.66728855721393</v>
      </c>
      <c r="L3" t="s">
        <v>879</v>
      </c>
      <c r="M3" t="str">
        <f>HYPERLINK("../../3.KEGG_map/SCI_III-vs-NC-Up/rno00020.html","rno00020")</f>
        <v>rno00020</v>
      </c>
    </row>
    <row r="4" spans="1:13" x14ac:dyDescent="0.25">
      <c r="A4" t="s">
        <v>31</v>
      </c>
      <c r="B4" t="s">
        <v>32</v>
      </c>
      <c r="C4" t="s">
        <v>15</v>
      </c>
      <c r="D4" t="s">
        <v>33</v>
      </c>
      <c r="E4">
        <v>2</v>
      </c>
      <c r="F4">
        <v>201</v>
      </c>
      <c r="G4">
        <v>57</v>
      </c>
      <c r="H4">
        <v>2681</v>
      </c>
      <c r="I4">
        <v>0.93581253820999399</v>
      </c>
      <c r="J4">
        <v>0.99495526333406203</v>
      </c>
      <c r="K4">
        <v>0.46801082307759501</v>
      </c>
      <c r="L4" t="s">
        <v>880</v>
      </c>
      <c r="M4" t="str">
        <f>HYPERLINK("../../3.KEGG_map/SCI_III-vs-NC-Up/rno00230.html","rno00230")</f>
        <v>rno00230</v>
      </c>
    </row>
    <row r="5" spans="1:13" x14ac:dyDescent="0.25">
      <c r="A5" t="s">
        <v>35</v>
      </c>
      <c r="B5" t="s">
        <v>36</v>
      </c>
      <c r="C5" t="s">
        <v>15</v>
      </c>
      <c r="D5" t="s">
        <v>33</v>
      </c>
      <c r="E5">
        <v>2</v>
      </c>
      <c r="F5">
        <v>201</v>
      </c>
      <c r="G5">
        <v>19</v>
      </c>
      <c r="H5">
        <v>2681</v>
      </c>
      <c r="I5">
        <v>0.42266571339186199</v>
      </c>
      <c r="J5">
        <v>0.98558586947165205</v>
      </c>
      <c r="K5">
        <v>1.4040324692327799</v>
      </c>
      <c r="L5" t="s">
        <v>881</v>
      </c>
      <c r="M5" t="str">
        <f>HYPERLINK("../../3.KEGG_map/SCI_III-vs-NC-Up/rno00240.html","rno00240")</f>
        <v>rno00240</v>
      </c>
    </row>
    <row r="6" spans="1:13" x14ac:dyDescent="0.25">
      <c r="A6" t="s">
        <v>655</v>
      </c>
      <c r="B6" t="s">
        <v>656</v>
      </c>
      <c r="C6" t="s">
        <v>15</v>
      </c>
      <c r="D6" t="s">
        <v>29</v>
      </c>
      <c r="E6">
        <v>1</v>
      </c>
      <c r="F6">
        <v>201</v>
      </c>
      <c r="G6">
        <v>35</v>
      </c>
      <c r="H6">
        <v>2681</v>
      </c>
      <c r="I6">
        <v>0.93579953991541198</v>
      </c>
      <c r="J6">
        <v>0.99495526333406203</v>
      </c>
      <c r="K6">
        <v>0.381094527363184</v>
      </c>
      <c r="L6" t="s">
        <v>882</v>
      </c>
      <c r="M6" t="str">
        <f>HYPERLINK("../../3.KEGG_map/SCI_III-vs-NC-Up/rno00280.html","rno00280")</f>
        <v>rno00280</v>
      </c>
    </row>
    <row r="7" spans="1:13" x14ac:dyDescent="0.25">
      <c r="A7" t="s">
        <v>42</v>
      </c>
      <c r="B7" t="s">
        <v>43</v>
      </c>
      <c r="C7" t="s">
        <v>15</v>
      </c>
      <c r="D7" t="s">
        <v>29</v>
      </c>
      <c r="E7">
        <v>9</v>
      </c>
      <c r="F7">
        <v>201</v>
      </c>
      <c r="G7">
        <v>83</v>
      </c>
      <c r="H7">
        <v>2681</v>
      </c>
      <c r="I7">
        <v>0.16550339408311601</v>
      </c>
      <c r="J7">
        <v>0.98558586947165205</v>
      </c>
      <c r="K7">
        <v>1.44632260384823</v>
      </c>
      <c r="L7" t="s">
        <v>883</v>
      </c>
      <c r="M7" t="str">
        <f>HYPERLINK("../../3.KEGG_map/SCI_III-vs-NC-Up/rno00310.html","rno00310")</f>
        <v>rno00310</v>
      </c>
    </row>
    <row r="8" spans="1:13" x14ac:dyDescent="0.25">
      <c r="A8" t="s">
        <v>45</v>
      </c>
      <c r="B8" t="s">
        <v>46</v>
      </c>
      <c r="C8" t="s">
        <v>15</v>
      </c>
      <c r="D8" t="s">
        <v>47</v>
      </c>
      <c r="E8">
        <v>2</v>
      </c>
      <c r="F8">
        <v>201</v>
      </c>
      <c r="G8">
        <v>15</v>
      </c>
      <c r="H8">
        <v>2681</v>
      </c>
      <c r="I8">
        <v>0.31165526823744499</v>
      </c>
      <c r="J8">
        <v>0.98558586947165205</v>
      </c>
      <c r="K8">
        <v>1.77844112769486</v>
      </c>
      <c r="L8" t="s">
        <v>884</v>
      </c>
      <c r="M8" t="str">
        <f>HYPERLINK("../../3.KEGG_map/SCI_III-vs-NC-Up/rno00480.html","rno00480")</f>
        <v>rno00480</v>
      </c>
    </row>
    <row r="9" spans="1:13" x14ac:dyDescent="0.25">
      <c r="A9" t="s">
        <v>885</v>
      </c>
      <c r="B9" t="s">
        <v>886</v>
      </c>
      <c r="C9" t="s">
        <v>15</v>
      </c>
      <c r="D9" t="s">
        <v>51</v>
      </c>
      <c r="E9">
        <v>1</v>
      </c>
      <c r="F9">
        <v>201</v>
      </c>
      <c r="G9">
        <v>21</v>
      </c>
      <c r="H9">
        <v>2681</v>
      </c>
      <c r="I9">
        <v>0.80658934292596196</v>
      </c>
      <c r="J9">
        <v>0.98558586947165205</v>
      </c>
      <c r="K9">
        <v>0.63515754560530702</v>
      </c>
      <c r="L9" t="s">
        <v>887</v>
      </c>
      <c r="M9" t="str">
        <f>HYPERLINK("../../3.KEGG_map/SCI_III-vs-NC-Up/rno00510.html","rno00510")</f>
        <v>rno00510</v>
      </c>
    </row>
    <row r="10" spans="1:13" x14ac:dyDescent="0.25">
      <c r="A10" t="s">
        <v>888</v>
      </c>
      <c r="B10" t="s">
        <v>889</v>
      </c>
      <c r="C10" t="s">
        <v>15</v>
      </c>
      <c r="D10" t="s">
        <v>51</v>
      </c>
      <c r="E10">
        <v>1</v>
      </c>
      <c r="F10">
        <v>201</v>
      </c>
      <c r="G10">
        <v>10</v>
      </c>
      <c r="H10">
        <v>2681</v>
      </c>
      <c r="I10">
        <v>0.54190409781585402</v>
      </c>
      <c r="J10">
        <v>0.98558586947165205</v>
      </c>
      <c r="K10">
        <v>1.3338308457711401</v>
      </c>
      <c r="L10" t="s">
        <v>890</v>
      </c>
      <c r="M10" t="str">
        <f>HYPERLINK("../../3.KEGG_map/SCI_III-vs-NC-Up/rno00512.html","rno00512")</f>
        <v>rno00512</v>
      </c>
    </row>
    <row r="11" spans="1:13" x14ac:dyDescent="0.25">
      <c r="A11" t="s">
        <v>666</v>
      </c>
      <c r="B11" t="s">
        <v>667</v>
      </c>
      <c r="C11" t="s">
        <v>15</v>
      </c>
      <c r="D11" t="s">
        <v>51</v>
      </c>
      <c r="E11">
        <v>2</v>
      </c>
      <c r="F11">
        <v>201</v>
      </c>
      <c r="G11">
        <v>14</v>
      </c>
      <c r="H11">
        <v>2681</v>
      </c>
      <c r="I11">
        <v>0.28300483918508601</v>
      </c>
      <c r="J11">
        <v>0.98558586947165205</v>
      </c>
      <c r="K11">
        <v>1.9054726368159201</v>
      </c>
      <c r="L11" t="s">
        <v>891</v>
      </c>
      <c r="M11" t="str">
        <f>HYPERLINK("../../3.KEGG_map/SCI_III-vs-NC-Up/rno00515.html","rno00515")</f>
        <v>rno00515</v>
      </c>
    </row>
    <row r="12" spans="1:13" x14ac:dyDescent="0.25">
      <c r="A12" t="s">
        <v>53</v>
      </c>
      <c r="B12" t="s">
        <v>54</v>
      </c>
      <c r="C12" t="s">
        <v>15</v>
      </c>
      <c r="D12" t="s">
        <v>16</v>
      </c>
      <c r="E12">
        <v>1</v>
      </c>
      <c r="F12">
        <v>201</v>
      </c>
      <c r="G12">
        <v>22</v>
      </c>
      <c r="H12">
        <v>2681</v>
      </c>
      <c r="I12">
        <v>0.82120420836651897</v>
      </c>
      <c r="J12">
        <v>0.98558586947165205</v>
      </c>
      <c r="K12">
        <v>0.60628674807779304</v>
      </c>
      <c r="L12" t="s">
        <v>669</v>
      </c>
      <c r="M12" t="str">
        <f>HYPERLINK("../../3.KEGG_map/SCI_III-vs-NC-Up/rno00520.html","rno00520")</f>
        <v>rno00520</v>
      </c>
    </row>
    <row r="13" spans="1:13" x14ac:dyDescent="0.25">
      <c r="A13" t="s">
        <v>62</v>
      </c>
      <c r="B13" t="s">
        <v>63</v>
      </c>
      <c r="C13" t="s">
        <v>15</v>
      </c>
      <c r="D13" t="s">
        <v>16</v>
      </c>
      <c r="E13">
        <v>10</v>
      </c>
      <c r="F13">
        <v>201</v>
      </c>
      <c r="G13">
        <v>77</v>
      </c>
      <c r="H13">
        <v>2681</v>
      </c>
      <c r="I13">
        <v>5.8794616269851101E-2</v>
      </c>
      <c r="J13">
        <v>0.98558586947165205</v>
      </c>
      <c r="K13">
        <v>1.7322478516508399</v>
      </c>
      <c r="L13" t="s">
        <v>892</v>
      </c>
      <c r="M13" t="str">
        <f>HYPERLINK("../../3.KEGG_map/SCI_III-vs-NC-Up/rno00562.html","rno00562")</f>
        <v>rno00562</v>
      </c>
    </row>
    <row r="14" spans="1:13" x14ac:dyDescent="0.25">
      <c r="A14" t="s">
        <v>65</v>
      </c>
      <c r="B14" t="s">
        <v>66</v>
      </c>
      <c r="C14" t="s">
        <v>15</v>
      </c>
      <c r="D14" t="s">
        <v>51</v>
      </c>
      <c r="E14">
        <v>1</v>
      </c>
      <c r="F14">
        <v>201</v>
      </c>
      <c r="G14">
        <v>7</v>
      </c>
      <c r="H14">
        <v>2681</v>
      </c>
      <c r="I14">
        <v>0.42082755136287803</v>
      </c>
      <c r="J14">
        <v>0.98558586947165205</v>
      </c>
      <c r="K14">
        <v>1.9054726368159201</v>
      </c>
      <c r="L14" t="s">
        <v>893</v>
      </c>
      <c r="M14" t="str">
        <f>HYPERLINK("../../3.KEGG_map/SCI_III-vs-NC-Up/rno00563.html","rno00563")</f>
        <v>rno00563</v>
      </c>
    </row>
    <row r="15" spans="1:13" x14ac:dyDescent="0.25">
      <c r="A15" t="s">
        <v>68</v>
      </c>
      <c r="B15" t="s">
        <v>69</v>
      </c>
      <c r="C15" t="s">
        <v>15</v>
      </c>
      <c r="D15" t="s">
        <v>25</v>
      </c>
      <c r="E15">
        <v>5</v>
      </c>
      <c r="F15">
        <v>201</v>
      </c>
      <c r="G15">
        <v>42</v>
      </c>
      <c r="H15">
        <v>2681</v>
      </c>
      <c r="I15">
        <v>0.20297620834121699</v>
      </c>
      <c r="J15">
        <v>0.98558586947165205</v>
      </c>
      <c r="K15">
        <v>1.58789386401327</v>
      </c>
      <c r="L15" t="s">
        <v>894</v>
      </c>
      <c r="M15" t="str">
        <f>HYPERLINK("../../3.KEGG_map/SCI_III-vs-NC-Up/rno00564.html","rno00564")</f>
        <v>rno00564</v>
      </c>
    </row>
    <row r="16" spans="1:13" x14ac:dyDescent="0.25">
      <c r="A16" t="s">
        <v>71</v>
      </c>
      <c r="B16" t="s">
        <v>72</v>
      </c>
      <c r="C16" t="s">
        <v>15</v>
      </c>
      <c r="D16" t="s">
        <v>25</v>
      </c>
      <c r="E16">
        <v>5</v>
      </c>
      <c r="F16">
        <v>201</v>
      </c>
      <c r="G16">
        <v>28</v>
      </c>
      <c r="H16">
        <v>2681</v>
      </c>
      <c r="I16">
        <v>5.37209048793829E-2</v>
      </c>
      <c r="J16">
        <v>0.98558586947165205</v>
      </c>
      <c r="K16">
        <v>2.3818407960199002</v>
      </c>
      <c r="L16" t="s">
        <v>895</v>
      </c>
      <c r="M16" t="str">
        <f>HYPERLINK("../../3.KEGG_map/SCI_III-vs-NC-Up/rno00565.html","rno00565")</f>
        <v>rno00565</v>
      </c>
    </row>
    <row r="17" spans="1:13" x14ac:dyDescent="0.25">
      <c r="A17" t="s">
        <v>74</v>
      </c>
      <c r="B17" t="s">
        <v>75</v>
      </c>
      <c r="C17" t="s">
        <v>15</v>
      </c>
      <c r="D17" t="s">
        <v>25</v>
      </c>
      <c r="E17">
        <v>1</v>
      </c>
      <c r="F17">
        <v>201</v>
      </c>
      <c r="G17">
        <v>10</v>
      </c>
      <c r="H17">
        <v>2681</v>
      </c>
      <c r="I17">
        <v>0.54190409781585402</v>
      </c>
      <c r="J17">
        <v>0.98558586947165205</v>
      </c>
      <c r="K17">
        <v>1.3338308457711401</v>
      </c>
      <c r="L17" t="s">
        <v>484</v>
      </c>
      <c r="M17" t="str">
        <f>HYPERLINK("../../3.KEGG_map/SCI_III-vs-NC-Up/rno00590.html","rno00590")</f>
        <v>rno00590</v>
      </c>
    </row>
    <row r="18" spans="1:13" x14ac:dyDescent="0.25">
      <c r="A18" t="s">
        <v>77</v>
      </c>
      <c r="B18" t="s">
        <v>78</v>
      </c>
      <c r="C18" t="s">
        <v>15</v>
      </c>
      <c r="D18" t="s">
        <v>25</v>
      </c>
      <c r="E18">
        <v>1</v>
      </c>
      <c r="F18">
        <v>201</v>
      </c>
      <c r="G18">
        <v>6</v>
      </c>
      <c r="H18">
        <v>2681</v>
      </c>
      <c r="I18">
        <v>0.37377271620683</v>
      </c>
      <c r="J18">
        <v>0.98558586947165205</v>
      </c>
      <c r="K18">
        <v>2.2230514096185701</v>
      </c>
      <c r="L18" t="s">
        <v>484</v>
      </c>
      <c r="M18" t="str">
        <f>HYPERLINK("../../3.KEGG_map/SCI_III-vs-NC-Up/rno00591.html","rno00591")</f>
        <v>rno00591</v>
      </c>
    </row>
    <row r="19" spans="1:13" x14ac:dyDescent="0.25">
      <c r="A19" t="s">
        <v>79</v>
      </c>
      <c r="B19" t="s">
        <v>80</v>
      </c>
      <c r="C19" t="s">
        <v>15</v>
      </c>
      <c r="D19" t="s">
        <v>25</v>
      </c>
      <c r="E19">
        <v>1</v>
      </c>
      <c r="F19">
        <v>201</v>
      </c>
      <c r="G19">
        <v>10</v>
      </c>
      <c r="H19">
        <v>2681</v>
      </c>
      <c r="I19">
        <v>0.54190409781585402</v>
      </c>
      <c r="J19">
        <v>0.98558586947165205</v>
      </c>
      <c r="K19">
        <v>1.3338308457711401</v>
      </c>
      <c r="L19" t="s">
        <v>484</v>
      </c>
      <c r="M19" t="str">
        <f>HYPERLINK("../../3.KEGG_map/SCI_III-vs-NC-Up/rno00592.html","rno00592")</f>
        <v>rno00592</v>
      </c>
    </row>
    <row r="20" spans="1:13" x14ac:dyDescent="0.25">
      <c r="A20" t="s">
        <v>82</v>
      </c>
      <c r="B20" t="s">
        <v>83</v>
      </c>
      <c r="C20" t="s">
        <v>15</v>
      </c>
      <c r="D20" t="s">
        <v>25</v>
      </c>
      <c r="E20">
        <v>2</v>
      </c>
      <c r="F20">
        <v>201</v>
      </c>
      <c r="G20">
        <v>26</v>
      </c>
      <c r="H20">
        <v>2681</v>
      </c>
      <c r="I20">
        <v>0.59158891975882999</v>
      </c>
      <c r="J20">
        <v>0.98558586947165205</v>
      </c>
      <c r="K20">
        <v>1.02602372751626</v>
      </c>
      <c r="L20" t="s">
        <v>896</v>
      </c>
      <c r="M20" t="str">
        <f>HYPERLINK("../../3.KEGG_map/SCI_III-vs-NC-Up/rno00600.html","rno00600")</f>
        <v>rno00600</v>
      </c>
    </row>
    <row r="21" spans="1:13" x14ac:dyDescent="0.25">
      <c r="A21" t="s">
        <v>85</v>
      </c>
      <c r="B21" t="s">
        <v>86</v>
      </c>
      <c r="C21" t="s">
        <v>15</v>
      </c>
      <c r="D21" t="s">
        <v>51</v>
      </c>
      <c r="E21">
        <v>1</v>
      </c>
      <c r="F21">
        <v>201</v>
      </c>
      <c r="G21">
        <v>5</v>
      </c>
      <c r="H21">
        <v>2681</v>
      </c>
      <c r="I21">
        <v>0.32291547012908201</v>
      </c>
      <c r="J21">
        <v>0.98558586947165205</v>
      </c>
      <c r="K21">
        <v>2.6676616915422899</v>
      </c>
      <c r="L21" t="s">
        <v>668</v>
      </c>
      <c r="M21" t="str">
        <f>HYPERLINK("../../3.KEGG_map/SCI_III-vs-NC-Up/rno00601.html","rno00601")</f>
        <v>rno00601</v>
      </c>
    </row>
    <row r="22" spans="1:13" x14ac:dyDescent="0.25">
      <c r="A22" t="s">
        <v>88</v>
      </c>
      <c r="B22" t="s">
        <v>89</v>
      </c>
      <c r="C22" t="s">
        <v>15</v>
      </c>
      <c r="D22" t="s">
        <v>51</v>
      </c>
      <c r="E22">
        <v>2</v>
      </c>
      <c r="F22">
        <v>201</v>
      </c>
      <c r="G22">
        <v>9</v>
      </c>
      <c r="H22">
        <v>2681</v>
      </c>
      <c r="I22">
        <v>0.142139094241931</v>
      </c>
      <c r="J22">
        <v>0.98558586947165205</v>
      </c>
      <c r="K22">
        <v>2.9640685461580998</v>
      </c>
      <c r="L22" t="s">
        <v>897</v>
      </c>
      <c r="M22" t="str">
        <f>HYPERLINK("../../3.KEGG_map/SCI_III-vs-NC-Up/rno00604.html","rno00604")</f>
        <v>rno00604</v>
      </c>
    </row>
    <row r="23" spans="1:13" x14ac:dyDescent="0.25">
      <c r="A23" t="s">
        <v>898</v>
      </c>
      <c r="B23" t="s">
        <v>899</v>
      </c>
      <c r="C23" t="s">
        <v>15</v>
      </c>
      <c r="D23" t="s">
        <v>16</v>
      </c>
      <c r="E23">
        <v>1</v>
      </c>
      <c r="F23">
        <v>201</v>
      </c>
      <c r="G23">
        <v>10</v>
      </c>
      <c r="H23">
        <v>2681</v>
      </c>
      <c r="I23">
        <v>0.54190409781585402</v>
      </c>
      <c r="J23">
        <v>0.98558586947165205</v>
      </c>
      <c r="K23">
        <v>1.3338308457711401</v>
      </c>
      <c r="L23" t="s">
        <v>900</v>
      </c>
      <c r="M23" t="str">
        <f>HYPERLINK("../../3.KEGG_map/SCI_III-vs-NC-Up/rno00630.html","rno00630")</f>
        <v>rno00630</v>
      </c>
    </row>
    <row r="24" spans="1:13" x14ac:dyDescent="0.25">
      <c r="A24" t="s">
        <v>679</v>
      </c>
      <c r="B24" t="s">
        <v>680</v>
      </c>
      <c r="C24" t="s">
        <v>15</v>
      </c>
      <c r="D24" t="s">
        <v>96</v>
      </c>
      <c r="E24">
        <v>1</v>
      </c>
      <c r="F24">
        <v>201</v>
      </c>
      <c r="G24">
        <v>12</v>
      </c>
      <c r="H24">
        <v>2681</v>
      </c>
      <c r="I24">
        <v>0.60826777375011898</v>
      </c>
      <c r="J24">
        <v>0.98558586947165205</v>
      </c>
      <c r="K24">
        <v>1.1115257048092899</v>
      </c>
      <c r="L24" t="s">
        <v>901</v>
      </c>
      <c r="M24" t="str">
        <f>HYPERLINK("../../3.KEGG_map/SCI_III-vs-NC-Up/rno00770.html","rno00770")</f>
        <v>rno00770</v>
      </c>
    </row>
    <row r="25" spans="1:13" x14ac:dyDescent="0.25">
      <c r="A25" t="s">
        <v>101</v>
      </c>
      <c r="B25" t="s">
        <v>102</v>
      </c>
      <c r="C25" t="s">
        <v>15</v>
      </c>
      <c r="D25" t="s">
        <v>103</v>
      </c>
      <c r="E25">
        <v>1</v>
      </c>
      <c r="F25">
        <v>201</v>
      </c>
      <c r="G25">
        <v>14</v>
      </c>
      <c r="H25">
        <v>2681</v>
      </c>
      <c r="I25">
        <v>0.66505831059829701</v>
      </c>
      <c r="J25">
        <v>0.98558586947165205</v>
      </c>
      <c r="K25">
        <v>0.95273631840796003</v>
      </c>
      <c r="L25" t="s">
        <v>902</v>
      </c>
      <c r="M25" t="str">
        <f>HYPERLINK("../../3.KEGG_map/SCI_III-vs-NC-Up/rno00980.html","rno00980")</f>
        <v>rno00980</v>
      </c>
    </row>
    <row r="26" spans="1:13" x14ac:dyDescent="0.25">
      <c r="A26" t="s">
        <v>105</v>
      </c>
      <c r="B26" t="s">
        <v>106</v>
      </c>
      <c r="C26" t="s">
        <v>15</v>
      </c>
      <c r="D26" t="s">
        <v>103</v>
      </c>
      <c r="E26">
        <v>1</v>
      </c>
      <c r="F26">
        <v>201</v>
      </c>
      <c r="G26">
        <v>15</v>
      </c>
      <c r="H26">
        <v>2681</v>
      </c>
      <c r="I26">
        <v>0.69030138505264405</v>
      </c>
      <c r="J26">
        <v>0.98558586947165205</v>
      </c>
      <c r="K26">
        <v>0.88922056384742898</v>
      </c>
      <c r="L26" t="s">
        <v>902</v>
      </c>
      <c r="M26" t="str">
        <f>HYPERLINK("../../3.KEGG_map/SCI_III-vs-NC-Up/rno00982.html","rno00982")</f>
        <v>rno00982</v>
      </c>
    </row>
    <row r="27" spans="1:13" x14ac:dyDescent="0.25">
      <c r="A27" t="s">
        <v>107</v>
      </c>
      <c r="B27" t="s">
        <v>108</v>
      </c>
      <c r="C27" t="s">
        <v>15</v>
      </c>
      <c r="D27" t="s">
        <v>103</v>
      </c>
      <c r="E27">
        <v>2</v>
      </c>
      <c r="F27">
        <v>201</v>
      </c>
      <c r="G27">
        <v>21</v>
      </c>
      <c r="H27">
        <v>2681</v>
      </c>
      <c r="I27">
        <v>0.47472495938551001</v>
      </c>
      <c r="J27">
        <v>0.98558586947165205</v>
      </c>
      <c r="K27">
        <v>1.27031509121061</v>
      </c>
      <c r="L27" t="s">
        <v>903</v>
      </c>
      <c r="M27" t="str">
        <f>HYPERLINK("../../3.KEGG_map/SCI_III-vs-NC-Up/rno00983.html","rno00983")</f>
        <v>rno00983</v>
      </c>
    </row>
    <row r="28" spans="1:13" x14ac:dyDescent="0.25">
      <c r="A28" t="s">
        <v>113</v>
      </c>
      <c r="B28" t="s">
        <v>114</v>
      </c>
      <c r="C28" t="s">
        <v>115</v>
      </c>
      <c r="D28" t="s">
        <v>116</v>
      </c>
      <c r="E28">
        <v>7</v>
      </c>
      <c r="F28">
        <v>201</v>
      </c>
      <c r="G28">
        <v>65</v>
      </c>
      <c r="H28">
        <v>2681</v>
      </c>
      <c r="I28">
        <v>0.21092679983280399</v>
      </c>
      <c r="J28">
        <v>0.98558586947165205</v>
      </c>
      <c r="K28">
        <v>1.43643321852277</v>
      </c>
      <c r="L28" t="s">
        <v>904</v>
      </c>
      <c r="M28" t="str">
        <f>HYPERLINK("../../3.KEGG_map/SCI_III-vs-NC-Up/rno01521.html","rno01521")</f>
        <v>rno01521</v>
      </c>
    </row>
    <row r="29" spans="1:13" x14ac:dyDescent="0.25">
      <c r="A29" t="s">
        <v>683</v>
      </c>
      <c r="B29" t="s">
        <v>684</v>
      </c>
      <c r="C29" t="s">
        <v>115</v>
      </c>
      <c r="D29" t="s">
        <v>116</v>
      </c>
      <c r="E29">
        <v>3</v>
      </c>
      <c r="F29">
        <v>201</v>
      </c>
      <c r="G29">
        <v>66</v>
      </c>
      <c r="H29">
        <v>2681</v>
      </c>
      <c r="I29">
        <v>0.88375328964263999</v>
      </c>
      <c r="J29">
        <v>0.98558586947165205</v>
      </c>
      <c r="K29">
        <v>0.60628674807779304</v>
      </c>
      <c r="L29" t="s">
        <v>905</v>
      </c>
      <c r="M29" t="str">
        <f>HYPERLINK("../../3.KEGG_map/SCI_III-vs-NC-Up/rno01522.html","rno01522")</f>
        <v>rno01522</v>
      </c>
    </row>
    <row r="30" spans="1:13" x14ac:dyDescent="0.25">
      <c r="A30" t="s">
        <v>118</v>
      </c>
      <c r="B30" t="s">
        <v>119</v>
      </c>
      <c r="C30" t="s">
        <v>115</v>
      </c>
      <c r="D30" t="s">
        <v>116</v>
      </c>
      <c r="E30">
        <v>6</v>
      </c>
      <c r="F30">
        <v>201</v>
      </c>
      <c r="G30">
        <v>45</v>
      </c>
      <c r="H30">
        <v>2681</v>
      </c>
      <c r="I30">
        <v>0.116326137941163</v>
      </c>
      <c r="J30">
        <v>0.98558586947165205</v>
      </c>
      <c r="K30">
        <v>1.77844112769486</v>
      </c>
      <c r="L30" t="s">
        <v>906</v>
      </c>
      <c r="M30" t="str">
        <f>HYPERLINK("../../3.KEGG_map/SCI_III-vs-NC-Up/rno01524.html","rno01524")</f>
        <v>rno01524</v>
      </c>
    </row>
    <row r="31" spans="1:13" x14ac:dyDescent="0.25">
      <c r="A31" t="s">
        <v>121</v>
      </c>
      <c r="B31" t="s">
        <v>122</v>
      </c>
      <c r="C31" t="s">
        <v>123</v>
      </c>
      <c r="D31" t="s">
        <v>124</v>
      </c>
      <c r="E31">
        <v>1</v>
      </c>
      <c r="F31">
        <v>201</v>
      </c>
      <c r="G31">
        <v>25</v>
      </c>
      <c r="H31">
        <v>2681</v>
      </c>
      <c r="I31">
        <v>0.85877622326252501</v>
      </c>
      <c r="J31">
        <v>0.98558586947165205</v>
      </c>
      <c r="K31">
        <v>0.53353233830845803</v>
      </c>
      <c r="L31" t="s">
        <v>907</v>
      </c>
      <c r="M31" t="str">
        <f>HYPERLINK("../../3.KEGG_map/SCI_III-vs-NC-Up/rno02010.html","rno02010")</f>
        <v>rno02010</v>
      </c>
    </row>
    <row r="32" spans="1:13" x14ac:dyDescent="0.25">
      <c r="A32" t="s">
        <v>126</v>
      </c>
      <c r="B32" t="s">
        <v>127</v>
      </c>
      <c r="C32" t="s">
        <v>128</v>
      </c>
      <c r="D32" t="s">
        <v>129</v>
      </c>
      <c r="E32">
        <v>3</v>
      </c>
      <c r="F32">
        <v>201</v>
      </c>
      <c r="G32">
        <v>26</v>
      </c>
      <c r="H32">
        <v>2681</v>
      </c>
      <c r="I32">
        <v>0.30873591116371202</v>
      </c>
      <c r="J32">
        <v>0.98558586947165205</v>
      </c>
      <c r="K32">
        <v>1.5390355912744</v>
      </c>
      <c r="L32" t="s">
        <v>908</v>
      </c>
      <c r="M32" t="str">
        <f>HYPERLINK("../../3.KEGG_map/SCI_III-vs-NC-Up/rno03008.html","rno03008")</f>
        <v>rno03008</v>
      </c>
    </row>
    <row r="33" spans="1:13" x14ac:dyDescent="0.25">
      <c r="A33" t="s">
        <v>131</v>
      </c>
      <c r="B33" t="s">
        <v>132</v>
      </c>
      <c r="C33" t="s">
        <v>128</v>
      </c>
      <c r="D33" t="s">
        <v>129</v>
      </c>
      <c r="E33">
        <v>6</v>
      </c>
      <c r="F33">
        <v>201</v>
      </c>
      <c r="G33">
        <v>58</v>
      </c>
      <c r="H33">
        <v>2681</v>
      </c>
      <c r="I33">
        <v>0.26559669017218102</v>
      </c>
      <c r="J33">
        <v>0.98558586947165205</v>
      </c>
      <c r="K33">
        <v>1.3798250128667</v>
      </c>
      <c r="L33" t="s">
        <v>909</v>
      </c>
      <c r="M33" t="str">
        <f>HYPERLINK("../../3.KEGG_map/SCI_III-vs-NC-Up/rno03013.html","rno03013")</f>
        <v>rno03013</v>
      </c>
    </row>
    <row r="34" spans="1:13" x14ac:dyDescent="0.25">
      <c r="A34" t="s">
        <v>134</v>
      </c>
      <c r="B34" t="s">
        <v>135</v>
      </c>
      <c r="C34" t="s">
        <v>128</v>
      </c>
      <c r="D34" t="s">
        <v>129</v>
      </c>
      <c r="E34">
        <v>3</v>
      </c>
      <c r="F34">
        <v>201</v>
      </c>
      <c r="G34">
        <v>47</v>
      </c>
      <c r="H34">
        <v>2681</v>
      </c>
      <c r="I34">
        <v>0.69678489481275296</v>
      </c>
      <c r="J34">
        <v>0.98558586947165205</v>
      </c>
      <c r="K34">
        <v>0.851381390917752</v>
      </c>
      <c r="L34" t="s">
        <v>910</v>
      </c>
      <c r="M34" t="str">
        <f>HYPERLINK("../../3.KEGG_map/SCI_III-vs-NC-Up/rno03015.html","rno03015")</f>
        <v>rno03015</v>
      </c>
    </row>
    <row r="35" spans="1:13" x14ac:dyDescent="0.25">
      <c r="A35" t="s">
        <v>137</v>
      </c>
      <c r="B35" t="s">
        <v>138</v>
      </c>
      <c r="C35" t="s">
        <v>128</v>
      </c>
      <c r="D35" t="s">
        <v>139</v>
      </c>
      <c r="E35">
        <v>3</v>
      </c>
      <c r="F35">
        <v>201</v>
      </c>
      <c r="G35">
        <v>53</v>
      </c>
      <c r="H35">
        <v>2681</v>
      </c>
      <c r="I35">
        <v>0.77219974759694998</v>
      </c>
      <c r="J35">
        <v>0.98558586947165205</v>
      </c>
      <c r="K35">
        <v>0.754998591945931</v>
      </c>
      <c r="L35" t="s">
        <v>911</v>
      </c>
      <c r="M35" t="str">
        <f>HYPERLINK("../../3.KEGG_map/SCI_III-vs-NC-Up/rno03018.html","rno03018")</f>
        <v>rno03018</v>
      </c>
    </row>
    <row r="36" spans="1:13" x14ac:dyDescent="0.25">
      <c r="A36" t="s">
        <v>694</v>
      </c>
      <c r="B36" t="s">
        <v>695</v>
      </c>
      <c r="C36" t="s">
        <v>128</v>
      </c>
      <c r="D36" t="s">
        <v>143</v>
      </c>
      <c r="E36">
        <v>2</v>
      </c>
      <c r="F36">
        <v>201</v>
      </c>
      <c r="G36">
        <v>21</v>
      </c>
      <c r="H36">
        <v>2681</v>
      </c>
      <c r="I36">
        <v>0.47472495938551001</v>
      </c>
      <c r="J36">
        <v>0.98558586947165205</v>
      </c>
      <c r="K36">
        <v>1.27031509121061</v>
      </c>
      <c r="L36" t="s">
        <v>912</v>
      </c>
      <c r="M36" t="str">
        <f>HYPERLINK("../../3.KEGG_map/SCI_III-vs-NC-Up/rno03022.html","rno03022")</f>
        <v>rno03022</v>
      </c>
    </row>
    <row r="37" spans="1:13" x14ac:dyDescent="0.25">
      <c r="A37" t="s">
        <v>141</v>
      </c>
      <c r="B37" t="s">
        <v>142</v>
      </c>
      <c r="C37" t="s">
        <v>128</v>
      </c>
      <c r="D37" t="s">
        <v>143</v>
      </c>
      <c r="E37">
        <v>3</v>
      </c>
      <c r="F37">
        <v>201</v>
      </c>
      <c r="G37">
        <v>30</v>
      </c>
      <c r="H37">
        <v>2681</v>
      </c>
      <c r="I37">
        <v>0.393226740468407</v>
      </c>
      <c r="J37">
        <v>0.98558586947165205</v>
      </c>
      <c r="K37">
        <v>1.3338308457711401</v>
      </c>
      <c r="L37" t="s">
        <v>913</v>
      </c>
      <c r="M37" t="str">
        <f>HYPERLINK("../../3.KEGG_map/SCI_III-vs-NC-Up/rno03040.html","rno03040")</f>
        <v>rno03040</v>
      </c>
    </row>
    <row r="38" spans="1:13" x14ac:dyDescent="0.25">
      <c r="A38" t="s">
        <v>145</v>
      </c>
      <c r="B38" t="s">
        <v>146</v>
      </c>
      <c r="C38" t="s">
        <v>128</v>
      </c>
      <c r="D38" t="s">
        <v>139</v>
      </c>
      <c r="E38">
        <v>1</v>
      </c>
      <c r="F38">
        <v>201</v>
      </c>
      <c r="G38">
        <v>7</v>
      </c>
      <c r="H38">
        <v>2681</v>
      </c>
      <c r="I38">
        <v>0.42082755136287803</v>
      </c>
      <c r="J38">
        <v>0.98558586947165205</v>
      </c>
      <c r="K38">
        <v>1.9054726368159201</v>
      </c>
      <c r="L38" t="s">
        <v>914</v>
      </c>
      <c r="M38" t="str">
        <f>HYPERLINK("../../3.KEGG_map/SCI_III-vs-NC-Up/rno03060.html","rno03060")</f>
        <v>rno03060</v>
      </c>
    </row>
    <row r="39" spans="1:13" x14ac:dyDescent="0.25">
      <c r="A39" t="s">
        <v>148</v>
      </c>
      <c r="B39" t="s">
        <v>149</v>
      </c>
      <c r="C39" t="s">
        <v>150</v>
      </c>
      <c r="D39" t="s">
        <v>151</v>
      </c>
      <c r="E39">
        <v>7</v>
      </c>
      <c r="F39">
        <v>201</v>
      </c>
      <c r="G39">
        <v>54</v>
      </c>
      <c r="H39">
        <v>2681</v>
      </c>
      <c r="I39">
        <v>0.105401697004503</v>
      </c>
      <c r="J39">
        <v>0.98558586947165205</v>
      </c>
      <c r="K39">
        <v>1.72903998525889</v>
      </c>
      <c r="L39" t="s">
        <v>915</v>
      </c>
      <c r="M39" t="str">
        <f>HYPERLINK("../../3.KEGG_map/SCI_III-vs-NC-Up/rno03320.html","rno03320")</f>
        <v>rno03320</v>
      </c>
    </row>
    <row r="40" spans="1:13" x14ac:dyDescent="0.25">
      <c r="A40" t="s">
        <v>700</v>
      </c>
      <c r="B40" t="s">
        <v>701</v>
      </c>
      <c r="C40" t="s">
        <v>128</v>
      </c>
      <c r="D40" t="s">
        <v>155</v>
      </c>
      <c r="E40">
        <v>1</v>
      </c>
      <c r="F40">
        <v>201</v>
      </c>
      <c r="G40">
        <v>9</v>
      </c>
      <c r="H40">
        <v>2681</v>
      </c>
      <c r="I40">
        <v>0.50464093458679105</v>
      </c>
      <c r="J40">
        <v>0.98558586947165205</v>
      </c>
      <c r="K40">
        <v>1.4820342730790499</v>
      </c>
      <c r="L40" t="s">
        <v>916</v>
      </c>
      <c r="M40" t="str">
        <f>HYPERLINK("../../3.KEGG_map/SCI_III-vs-NC-Up/rno03450.html","rno03450")</f>
        <v>rno03450</v>
      </c>
    </row>
    <row r="41" spans="1:13" x14ac:dyDescent="0.25">
      <c r="A41" t="s">
        <v>917</v>
      </c>
      <c r="B41" t="s">
        <v>918</v>
      </c>
      <c r="C41" t="s">
        <v>128</v>
      </c>
      <c r="D41" t="s">
        <v>155</v>
      </c>
      <c r="E41">
        <v>1</v>
      </c>
      <c r="F41">
        <v>201</v>
      </c>
      <c r="G41">
        <v>14</v>
      </c>
      <c r="H41">
        <v>2681</v>
      </c>
      <c r="I41">
        <v>0.66505831059829701</v>
      </c>
      <c r="J41">
        <v>0.98558586947165205</v>
      </c>
      <c r="K41">
        <v>0.95273631840796003</v>
      </c>
      <c r="L41" t="s">
        <v>919</v>
      </c>
      <c r="M41" t="str">
        <f>HYPERLINK("../../3.KEGG_map/SCI_III-vs-NC-Up/rno03460.html","rno03460")</f>
        <v>rno03460</v>
      </c>
    </row>
    <row r="42" spans="1:13" x14ac:dyDescent="0.25">
      <c r="A42" t="s">
        <v>160</v>
      </c>
      <c r="B42" t="s">
        <v>161</v>
      </c>
      <c r="C42" t="s">
        <v>123</v>
      </c>
      <c r="D42" t="s">
        <v>162</v>
      </c>
      <c r="E42">
        <v>20</v>
      </c>
      <c r="F42">
        <v>201</v>
      </c>
      <c r="G42">
        <v>213</v>
      </c>
      <c r="H42">
        <v>2681</v>
      </c>
      <c r="I42">
        <v>0.16815455093439899</v>
      </c>
      <c r="J42">
        <v>0.98558586947165205</v>
      </c>
      <c r="K42">
        <v>1.2524233293625799</v>
      </c>
      <c r="L42" t="s">
        <v>920</v>
      </c>
      <c r="M42" t="str">
        <f>HYPERLINK("../../3.KEGG_map/SCI_III-vs-NC-Up/rno04010.html","rno04010")</f>
        <v>rno04010</v>
      </c>
    </row>
    <row r="43" spans="1:13" x14ac:dyDescent="0.25">
      <c r="A43" t="s">
        <v>164</v>
      </c>
      <c r="B43" t="s">
        <v>165</v>
      </c>
      <c r="C43" t="s">
        <v>123</v>
      </c>
      <c r="D43" t="s">
        <v>162</v>
      </c>
      <c r="E43">
        <v>6</v>
      </c>
      <c r="F43">
        <v>201</v>
      </c>
      <c r="G43">
        <v>71</v>
      </c>
      <c r="H43">
        <v>2681</v>
      </c>
      <c r="I43">
        <v>0.44327022956984102</v>
      </c>
      <c r="J43">
        <v>0.98558586947165205</v>
      </c>
      <c r="K43">
        <v>1.12718099642632</v>
      </c>
      <c r="L43" t="s">
        <v>921</v>
      </c>
      <c r="M43" t="str">
        <f>HYPERLINK("../../3.KEGG_map/SCI_III-vs-NC-Up/rno04012.html","rno04012")</f>
        <v>rno04012</v>
      </c>
    </row>
    <row r="44" spans="1:13" x14ac:dyDescent="0.25">
      <c r="A44" t="s">
        <v>167</v>
      </c>
      <c r="B44" t="s">
        <v>168</v>
      </c>
      <c r="C44" t="s">
        <v>123</v>
      </c>
      <c r="D44" t="s">
        <v>162</v>
      </c>
      <c r="E44">
        <v>13</v>
      </c>
      <c r="F44">
        <v>201</v>
      </c>
      <c r="G44">
        <v>131</v>
      </c>
      <c r="H44">
        <v>2681</v>
      </c>
      <c r="I44">
        <v>0.17866941622143501</v>
      </c>
      <c r="J44">
        <v>0.98558586947165205</v>
      </c>
      <c r="K44">
        <v>1.32364893091793</v>
      </c>
      <c r="L44" t="s">
        <v>922</v>
      </c>
      <c r="M44" t="str">
        <f>HYPERLINK("../../3.KEGG_map/SCI_III-vs-NC-Up/rno04014.html","rno04014")</f>
        <v>rno04014</v>
      </c>
    </row>
    <row r="45" spans="1:13" x14ac:dyDescent="0.25">
      <c r="A45" t="s">
        <v>170</v>
      </c>
      <c r="B45" t="s">
        <v>171</v>
      </c>
      <c r="C45" t="s">
        <v>123</v>
      </c>
      <c r="D45" t="s">
        <v>162</v>
      </c>
      <c r="E45">
        <v>11</v>
      </c>
      <c r="F45">
        <v>201</v>
      </c>
      <c r="G45">
        <v>139</v>
      </c>
      <c r="H45">
        <v>2681</v>
      </c>
      <c r="I45">
        <v>0.47268739432482099</v>
      </c>
      <c r="J45">
        <v>0.98558586947165205</v>
      </c>
      <c r="K45">
        <v>1.0555495901786001</v>
      </c>
      <c r="L45" t="s">
        <v>923</v>
      </c>
      <c r="M45" t="str">
        <f>HYPERLINK("../../3.KEGG_map/SCI_III-vs-NC-Up/rno04015.html","rno04015")</f>
        <v>rno04015</v>
      </c>
    </row>
    <row r="46" spans="1:13" x14ac:dyDescent="0.25">
      <c r="A46" t="s">
        <v>173</v>
      </c>
      <c r="B46" t="s">
        <v>174</v>
      </c>
      <c r="C46" t="s">
        <v>123</v>
      </c>
      <c r="D46" t="s">
        <v>162</v>
      </c>
      <c r="E46">
        <v>12</v>
      </c>
      <c r="F46">
        <v>201</v>
      </c>
      <c r="G46">
        <v>116</v>
      </c>
      <c r="H46">
        <v>2681</v>
      </c>
      <c r="I46">
        <v>0.15559127496070499</v>
      </c>
      <c r="J46">
        <v>0.98558586947165205</v>
      </c>
      <c r="K46">
        <v>1.3798250128667</v>
      </c>
      <c r="L46" t="s">
        <v>924</v>
      </c>
      <c r="M46" t="str">
        <f>HYPERLINK("../../3.KEGG_map/SCI_III-vs-NC-Up/rno04020.html","rno04020")</f>
        <v>rno04020</v>
      </c>
    </row>
    <row r="47" spans="1:13" x14ac:dyDescent="0.25">
      <c r="A47" t="s">
        <v>176</v>
      </c>
      <c r="B47" t="s">
        <v>177</v>
      </c>
      <c r="C47" t="s">
        <v>123</v>
      </c>
      <c r="D47" t="s">
        <v>162</v>
      </c>
      <c r="E47">
        <v>13</v>
      </c>
      <c r="F47">
        <v>201</v>
      </c>
      <c r="G47">
        <v>156</v>
      </c>
      <c r="H47">
        <v>2681</v>
      </c>
      <c r="I47">
        <v>0.38643777262821399</v>
      </c>
      <c r="J47">
        <v>0.98558586947165205</v>
      </c>
      <c r="K47">
        <v>1.1115257048092899</v>
      </c>
      <c r="L47" t="s">
        <v>925</v>
      </c>
      <c r="M47" t="str">
        <f>HYPERLINK("../../3.KEGG_map/SCI_III-vs-NC-Up/rno04022.html","rno04022")</f>
        <v>rno04022</v>
      </c>
    </row>
    <row r="48" spans="1:13" x14ac:dyDescent="0.25">
      <c r="A48" t="s">
        <v>179</v>
      </c>
      <c r="B48" t="s">
        <v>180</v>
      </c>
      <c r="C48" t="s">
        <v>123</v>
      </c>
      <c r="D48" t="s">
        <v>162</v>
      </c>
      <c r="E48">
        <v>12</v>
      </c>
      <c r="F48">
        <v>201</v>
      </c>
      <c r="G48">
        <v>130</v>
      </c>
      <c r="H48">
        <v>2681</v>
      </c>
      <c r="I48">
        <v>0.26540894576146901</v>
      </c>
      <c r="J48">
        <v>0.98558586947165205</v>
      </c>
      <c r="K48">
        <v>1.23122847301952</v>
      </c>
      <c r="L48" t="s">
        <v>926</v>
      </c>
      <c r="M48" t="str">
        <f>HYPERLINK("../../3.KEGG_map/SCI_III-vs-NC-Up/rno04024.html","rno04024")</f>
        <v>rno04024</v>
      </c>
    </row>
    <row r="49" spans="1:13" x14ac:dyDescent="0.25">
      <c r="A49" t="s">
        <v>182</v>
      </c>
      <c r="B49" t="s">
        <v>183</v>
      </c>
      <c r="C49" t="s">
        <v>123</v>
      </c>
      <c r="D49" t="s">
        <v>184</v>
      </c>
      <c r="E49">
        <v>2</v>
      </c>
      <c r="F49">
        <v>201</v>
      </c>
      <c r="G49">
        <v>32</v>
      </c>
      <c r="H49">
        <v>2681</v>
      </c>
      <c r="I49">
        <v>0.70497197623627395</v>
      </c>
      <c r="J49">
        <v>0.98558586947165205</v>
      </c>
      <c r="K49">
        <v>0.83364427860696499</v>
      </c>
      <c r="L49" t="s">
        <v>927</v>
      </c>
      <c r="M49" t="str">
        <f>HYPERLINK("../../3.KEGG_map/SCI_III-vs-NC-Up/rno04060.html","rno04060")</f>
        <v>rno04060</v>
      </c>
    </row>
    <row r="50" spans="1:13" x14ac:dyDescent="0.25">
      <c r="A50" t="s">
        <v>186</v>
      </c>
      <c r="B50" t="s">
        <v>187</v>
      </c>
      <c r="C50" t="s">
        <v>150</v>
      </c>
      <c r="D50" t="s">
        <v>188</v>
      </c>
      <c r="E50">
        <v>6</v>
      </c>
      <c r="F50">
        <v>201</v>
      </c>
      <c r="G50">
        <v>98</v>
      </c>
      <c r="H50">
        <v>2681</v>
      </c>
      <c r="I50">
        <v>0.75690146536512903</v>
      </c>
      <c r="J50">
        <v>0.98558586947165205</v>
      </c>
      <c r="K50">
        <v>0.81663113006396604</v>
      </c>
      <c r="L50" t="s">
        <v>928</v>
      </c>
      <c r="M50" t="str">
        <f>HYPERLINK("../../3.KEGG_map/SCI_III-vs-NC-Up/rno04062.html","rno04062")</f>
        <v>rno04062</v>
      </c>
    </row>
    <row r="51" spans="1:13" x14ac:dyDescent="0.25">
      <c r="A51" t="s">
        <v>712</v>
      </c>
      <c r="B51" t="s">
        <v>713</v>
      </c>
      <c r="C51" t="s">
        <v>123</v>
      </c>
      <c r="D51" t="s">
        <v>162</v>
      </c>
      <c r="E51">
        <v>1</v>
      </c>
      <c r="F51">
        <v>201</v>
      </c>
      <c r="G51">
        <v>30</v>
      </c>
      <c r="H51">
        <v>2681</v>
      </c>
      <c r="I51">
        <v>0.90474431215717399</v>
      </c>
      <c r="J51">
        <v>0.98848560368400695</v>
      </c>
      <c r="K51">
        <v>0.44461028192371499</v>
      </c>
      <c r="L51" t="s">
        <v>929</v>
      </c>
      <c r="M51" t="str">
        <f>HYPERLINK("../../3.KEGG_map/SCI_III-vs-NC-Up/rno04064.html","rno04064")</f>
        <v>rno04064</v>
      </c>
    </row>
    <row r="52" spans="1:13" x14ac:dyDescent="0.25">
      <c r="A52" t="s">
        <v>190</v>
      </c>
      <c r="B52" t="s">
        <v>191</v>
      </c>
      <c r="C52" t="s">
        <v>123</v>
      </c>
      <c r="D52" t="s">
        <v>162</v>
      </c>
      <c r="E52">
        <v>3</v>
      </c>
      <c r="F52">
        <v>201</v>
      </c>
      <c r="G52">
        <v>51</v>
      </c>
      <c r="H52">
        <v>2681</v>
      </c>
      <c r="I52">
        <v>0.74892924182187404</v>
      </c>
      <c r="J52">
        <v>0.98558586947165205</v>
      </c>
      <c r="K52">
        <v>0.78460637986537896</v>
      </c>
      <c r="L52" t="s">
        <v>930</v>
      </c>
      <c r="M52" t="str">
        <f>HYPERLINK("../../3.KEGG_map/SCI_III-vs-NC-Up/rno04066.html","rno04066")</f>
        <v>rno04066</v>
      </c>
    </row>
    <row r="53" spans="1:13" x14ac:dyDescent="0.25">
      <c r="A53" t="s">
        <v>192</v>
      </c>
      <c r="B53" t="s">
        <v>193</v>
      </c>
      <c r="C53" t="s">
        <v>123</v>
      </c>
      <c r="D53" t="s">
        <v>162</v>
      </c>
      <c r="E53">
        <v>6</v>
      </c>
      <c r="F53">
        <v>201</v>
      </c>
      <c r="G53">
        <v>87</v>
      </c>
      <c r="H53">
        <v>2681</v>
      </c>
      <c r="I53">
        <v>0.64642924624211495</v>
      </c>
      <c r="J53">
        <v>0.98558586947165205</v>
      </c>
      <c r="K53">
        <v>0.91988334191113397</v>
      </c>
      <c r="L53" t="s">
        <v>931</v>
      </c>
      <c r="M53" t="str">
        <f>HYPERLINK("../../3.KEGG_map/SCI_III-vs-NC-Up/rno04068.html","rno04068")</f>
        <v>rno04068</v>
      </c>
    </row>
    <row r="54" spans="1:13" x14ac:dyDescent="0.25">
      <c r="A54" t="s">
        <v>195</v>
      </c>
      <c r="B54" t="s">
        <v>196</v>
      </c>
      <c r="C54" t="s">
        <v>123</v>
      </c>
      <c r="D54" t="s">
        <v>162</v>
      </c>
      <c r="E54">
        <v>11</v>
      </c>
      <c r="F54">
        <v>201</v>
      </c>
      <c r="G54">
        <v>102</v>
      </c>
      <c r="H54">
        <v>2681</v>
      </c>
      <c r="I54">
        <v>0.13808782942433601</v>
      </c>
      <c r="J54">
        <v>0.98558586947165205</v>
      </c>
      <c r="K54">
        <v>1.4384450297531901</v>
      </c>
      <c r="L54" t="s">
        <v>932</v>
      </c>
      <c r="M54" t="str">
        <f>HYPERLINK("../../3.KEGG_map/SCI_III-vs-NC-Up/rno04070.html","rno04070")</f>
        <v>rno04070</v>
      </c>
    </row>
    <row r="55" spans="1:13" x14ac:dyDescent="0.25">
      <c r="A55" t="s">
        <v>198</v>
      </c>
      <c r="B55" t="s">
        <v>199</v>
      </c>
      <c r="C55" t="s">
        <v>123</v>
      </c>
      <c r="D55" t="s">
        <v>162</v>
      </c>
      <c r="E55">
        <v>10</v>
      </c>
      <c r="F55">
        <v>201</v>
      </c>
      <c r="G55">
        <v>88</v>
      </c>
      <c r="H55">
        <v>2681</v>
      </c>
      <c r="I55">
        <v>0.11906556371004599</v>
      </c>
      <c r="J55">
        <v>0.98558586947165205</v>
      </c>
      <c r="K55">
        <v>1.5157168701944801</v>
      </c>
      <c r="L55" t="s">
        <v>933</v>
      </c>
      <c r="M55" t="str">
        <f>HYPERLINK("../../3.KEGG_map/SCI_III-vs-NC-Up/rno04071.html","rno04071")</f>
        <v>rno04071</v>
      </c>
    </row>
    <row r="56" spans="1:13" x14ac:dyDescent="0.25">
      <c r="A56" t="s">
        <v>201</v>
      </c>
      <c r="B56" t="s">
        <v>202</v>
      </c>
      <c r="C56" t="s">
        <v>123</v>
      </c>
      <c r="D56" t="s">
        <v>162</v>
      </c>
      <c r="E56">
        <v>5</v>
      </c>
      <c r="F56">
        <v>201</v>
      </c>
      <c r="G56">
        <v>89</v>
      </c>
      <c r="H56">
        <v>2681</v>
      </c>
      <c r="I56">
        <v>0.81041047625326901</v>
      </c>
      <c r="J56">
        <v>0.98558586947165205</v>
      </c>
      <c r="K56">
        <v>0.74934317178154197</v>
      </c>
      <c r="L56" t="s">
        <v>934</v>
      </c>
      <c r="M56" t="str">
        <f>HYPERLINK("../../3.KEGG_map/SCI_III-vs-NC-Up/rno04072.html","rno04072")</f>
        <v>rno04072</v>
      </c>
    </row>
    <row r="57" spans="1:13" x14ac:dyDescent="0.25">
      <c r="A57" t="s">
        <v>204</v>
      </c>
      <c r="B57" t="s">
        <v>205</v>
      </c>
      <c r="C57" t="s">
        <v>206</v>
      </c>
      <c r="D57" t="s">
        <v>207</v>
      </c>
      <c r="E57">
        <v>4</v>
      </c>
      <c r="F57">
        <v>201</v>
      </c>
      <c r="G57">
        <v>72</v>
      </c>
      <c r="H57">
        <v>2681</v>
      </c>
      <c r="I57">
        <v>0.80126715472076304</v>
      </c>
      <c r="J57">
        <v>0.98558586947165205</v>
      </c>
      <c r="K57">
        <v>0.74101713653952495</v>
      </c>
      <c r="L57" t="s">
        <v>935</v>
      </c>
      <c r="M57" t="str">
        <f>HYPERLINK("../../3.KEGG_map/SCI_III-vs-NC-Up/rno04110.html","rno04110")</f>
        <v>rno04110</v>
      </c>
    </row>
    <row r="58" spans="1:13" x14ac:dyDescent="0.25">
      <c r="A58" t="s">
        <v>209</v>
      </c>
      <c r="B58" t="s">
        <v>210</v>
      </c>
      <c r="C58" t="s">
        <v>206</v>
      </c>
      <c r="D58" t="s">
        <v>207</v>
      </c>
      <c r="E58">
        <v>4</v>
      </c>
      <c r="F58">
        <v>201</v>
      </c>
      <c r="G58">
        <v>70</v>
      </c>
      <c r="H58">
        <v>2681</v>
      </c>
      <c r="I58">
        <v>0.78281303354267395</v>
      </c>
      <c r="J58">
        <v>0.98558586947165205</v>
      </c>
      <c r="K58">
        <v>0.762189054726368</v>
      </c>
      <c r="L58" t="s">
        <v>936</v>
      </c>
      <c r="M58" t="str">
        <f>HYPERLINK("../../3.KEGG_map/SCI_III-vs-NC-Up/rno04114.html","rno04114")</f>
        <v>rno04114</v>
      </c>
    </row>
    <row r="59" spans="1:13" x14ac:dyDescent="0.25">
      <c r="A59" t="s">
        <v>212</v>
      </c>
      <c r="B59" t="s">
        <v>213</v>
      </c>
      <c r="C59" t="s">
        <v>206</v>
      </c>
      <c r="D59" t="s">
        <v>207</v>
      </c>
      <c r="E59">
        <v>3</v>
      </c>
      <c r="F59">
        <v>201</v>
      </c>
      <c r="G59">
        <v>19</v>
      </c>
      <c r="H59">
        <v>2681</v>
      </c>
      <c r="I59">
        <v>0.166124993979609</v>
      </c>
      <c r="J59">
        <v>0.98558586947165205</v>
      </c>
      <c r="K59">
        <v>2.1060487038491802</v>
      </c>
      <c r="L59" t="s">
        <v>937</v>
      </c>
      <c r="M59" t="str">
        <f>HYPERLINK("../../3.KEGG_map/SCI_III-vs-NC-Up/rno04115.html","rno04115")</f>
        <v>rno04115</v>
      </c>
    </row>
    <row r="60" spans="1:13" x14ac:dyDescent="0.25">
      <c r="A60" t="s">
        <v>215</v>
      </c>
      <c r="B60" t="s">
        <v>216</v>
      </c>
      <c r="C60" t="s">
        <v>128</v>
      </c>
      <c r="D60" t="s">
        <v>139</v>
      </c>
      <c r="E60">
        <v>7</v>
      </c>
      <c r="F60">
        <v>201</v>
      </c>
      <c r="G60">
        <v>120</v>
      </c>
      <c r="H60">
        <v>2681</v>
      </c>
      <c r="I60">
        <v>0.80965962156569804</v>
      </c>
      <c r="J60">
        <v>0.98558586947165205</v>
      </c>
      <c r="K60">
        <v>0.77806799336650101</v>
      </c>
      <c r="L60" t="s">
        <v>938</v>
      </c>
      <c r="M60" t="str">
        <f>HYPERLINK("../../3.KEGG_map/SCI_III-vs-NC-Up/rno04120.html","rno04120")</f>
        <v>rno04120</v>
      </c>
    </row>
    <row r="61" spans="1:13" x14ac:dyDescent="0.25">
      <c r="A61" t="s">
        <v>939</v>
      </c>
      <c r="B61" t="s">
        <v>940</v>
      </c>
      <c r="C61" t="s">
        <v>206</v>
      </c>
      <c r="D61" t="s">
        <v>220</v>
      </c>
      <c r="E61">
        <v>4</v>
      </c>
      <c r="F61">
        <v>201</v>
      </c>
      <c r="G61">
        <v>33</v>
      </c>
      <c r="H61">
        <v>2681</v>
      </c>
      <c r="I61">
        <v>0.23150961513712301</v>
      </c>
      <c r="J61">
        <v>0.98558586947165205</v>
      </c>
      <c r="K61">
        <v>1.61676466154078</v>
      </c>
      <c r="L61" t="s">
        <v>941</v>
      </c>
      <c r="M61" t="str">
        <f>HYPERLINK("../../3.KEGG_map/SCI_III-vs-NC-Up/rno04137.html","rno04137")</f>
        <v>rno04137</v>
      </c>
    </row>
    <row r="62" spans="1:13" x14ac:dyDescent="0.25">
      <c r="A62" t="s">
        <v>218</v>
      </c>
      <c r="B62" t="s">
        <v>219</v>
      </c>
      <c r="C62" t="s">
        <v>206</v>
      </c>
      <c r="D62" t="s">
        <v>220</v>
      </c>
      <c r="E62">
        <v>2</v>
      </c>
      <c r="F62">
        <v>201</v>
      </c>
      <c r="G62">
        <v>77</v>
      </c>
      <c r="H62">
        <v>2681</v>
      </c>
      <c r="I62">
        <v>0.983165939715266</v>
      </c>
      <c r="J62">
        <v>0.99495526333406203</v>
      </c>
      <c r="K62">
        <v>0.34644957033016699</v>
      </c>
      <c r="L62" t="s">
        <v>942</v>
      </c>
      <c r="M62" t="str">
        <f>HYPERLINK("../../3.KEGG_map/SCI_III-vs-NC-Up/rno04140.html","rno04140")</f>
        <v>rno04140</v>
      </c>
    </row>
    <row r="63" spans="1:13" x14ac:dyDescent="0.25">
      <c r="A63" t="s">
        <v>221</v>
      </c>
      <c r="B63" t="s">
        <v>222</v>
      </c>
      <c r="C63" t="s">
        <v>128</v>
      </c>
      <c r="D63" t="s">
        <v>139</v>
      </c>
      <c r="E63">
        <v>7</v>
      </c>
      <c r="F63">
        <v>201</v>
      </c>
      <c r="G63">
        <v>86</v>
      </c>
      <c r="H63">
        <v>2681</v>
      </c>
      <c r="I63">
        <v>0.46893768159879001</v>
      </c>
      <c r="J63">
        <v>0.98558586947165205</v>
      </c>
      <c r="K63">
        <v>1.0856762698137199</v>
      </c>
      <c r="L63" t="s">
        <v>943</v>
      </c>
      <c r="M63" t="str">
        <f>HYPERLINK("../../3.KEGG_map/SCI_III-vs-NC-Up/rno04141.html","rno04141")</f>
        <v>rno04141</v>
      </c>
    </row>
    <row r="64" spans="1:13" x14ac:dyDescent="0.25">
      <c r="A64" t="s">
        <v>224</v>
      </c>
      <c r="B64" t="s">
        <v>225</v>
      </c>
      <c r="C64" t="s">
        <v>206</v>
      </c>
      <c r="D64" t="s">
        <v>220</v>
      </c>
      <c r="E64">
        <v>2</v>
      </c>
      <c r="F64">
        <v>201</v>
      </c>
      <c r="G64">
        <v>50</v>
      </c>
      <c r="H64">
        <v>2681</v>
      </c>
      <c r="I64">
        <v>0.899557912117813</v>
      </c>
      <c r="J64">
        <v>0.98848560368400695</v>
      </c>
      <c r="K64">
        <v>0.53353233830845803</v>
      </c>
      <c r="L64" t="s">
        <v>944</v>
      </c>
      <c r="M64" t="str">
        <f>HYPERLINK("../../3.KEGG_map/SCI_III-vs-NC-Up/rno04142.html","rno04142")</f>
        <v>rno04142</v>
      </c>
    </row>
    <row r="65" spans="1:13" x14ac:dyDescent="0.25">
      <c r="A65" t="s">
        <v>227</v>
      </c>
      <c r="B65" t="s">
        <v>228</v>
      </c>
      <c r="C65" t="s">
        <v>206</v>
      </c>
      <c r="D65" t="s">
        <v>220</v>
      </c>
      <c r="E65">
        <v>18</v>
      </c>
      <c r="F65">
        <v>201</v>
      </c>
      <c r="G65">
        <v>193</v>
      </c>
      <c r="H65">
        <v>2681</v>
      </c>
      <c r="I65">
        <v>0.192246683894152</v>
      </c>
      <c r="J65">
        <v>0.98558586947165205</v>
      </c>
      <c r="K65">
        <v>1.24398731729951</v>
      </c>
      <c r="L65" t="s">
        <v>945</v>
      </c>
      <c r="M65" t="str">
        <f>HYPERLINK("../../3.KEGG_map/SCI_III-vs-NC-Up/rno04144.html","rno04144")</f>
        <v>rno04144</v>
      </c>
    </row>
    <row r="66" spans="1:13" x14ac:dyDescent="0.25">
      <c r="A66" t="s">
        <v>230</v>
      </c>
      <c r="B66" t="s">
        <v>231</v>
      </c>
      <c r="C66" t="s">
        <v>206</v>
      </c>
      <c r="D66" t="s">
        <v>220</v>
      </c>
      <c r="E66">
        <v>4</v>
      </c>
      <c r="F66">
        <v>201</v>
      </c>
      <c r="G66">
        <v>61</v>
      </c>
      <c r="H66">
        <v>2681</v>
      </c>
      <c r="I66">
        <v>0.68294861025020204</v>
      </c>
      <c r="J66">
        <v>0.98558586947165205</v>
      </c>
      <c r="K66">
        <v>0.87464317755484899</v>
      </c>
      <c r="L66" t="s">
        <v>946</v>
      </c>
      <c r="M66" t="str">
        <f>HYPERLINK("../../3.KEGG_map/SCI_III-vs-NC-Up/rno04145.html","rno04145")</f>
        <v>rno04145</v>
      </c>
    </row>
    <row r="67" spans="1:13" x14ac:dyDescent="0.25">
      <c r="A67" t="s">
        <v>233</v>
      </c>
      <c r="B67" t="s">
        <v>234</v>
      </c>
      <c r="C67" t="s">
        <v>206</v>
      </c>
      <c r="D67" t="s">
        <v>220</v>
      </c>
      <c r="E67">
        <v>3</v>
      </c>
      <c r="F67">
        <v>201</v>
      </c>
      <c r="G67">
        <v>22</v>
      </c>
      <c r="H67">
        <v>2681</v>
      </c>
      <c r="I67">
        <v>0.22520286649795099</v>
      </c>
      <c r="J67">
        <v>0.98558586947165205</v>
      </c>
      <c r="K67">
        <v>1.8188602442333801</v>
      </c>
      <c r="L67" t="s">
        <v>947</v>
      </c>
      <c r="M67" t="str">
        <f>HYPERLINK("../../3.KEGG_map/SCI_III-vs-NC-Up/rno04146.html","rno04146")</f>
        <v>rno04146</v>
      </c>
    </row>
    <row r="68" spans="1:13" x14ac:dyDescent="0.25">
      <c r="A68" t="s">
        <v>236</v>
      </c>
      <c r="B68" t="s">
        <v>237</v>
      </c>
      <c r="C68" t="s">
        <v>123</v>
      </c>
      <c r="D68" t="s">
        <v>162</v>
      </c>
      <c r="E68">
        <v>7</v>
      </c>
      <c r="F68">
        <v>201</v>
      </c>
      <c r="G68">
        <v>89</v>
      </c>
      <c r="H68">
        <v>2681</v>
      </c>
      <c r="I68">
        <v>0.50614036195424705</v>
      </c>
      <c r="J68">
        <v>0.98558586947165205</v>
      </c>
      <c r="K68">
        <v>1.04908044049416</v>
      </c>
      <c r="L68" t="s">
        <v>948</v>
      </c>
      <c r="M68" t="str">
        <f>HYPERLINK("../../3.KEGG_map/SCI_III-vs-NC-Up/rno04150.html","rno04150")</f>
        <v>rno04150</v>
      </c>
    </row>
    <row r="69" spans="1:13" x14ac:dyDescent="0.25">
      <c r="A69" t="s">
        <v>239</v>
      </c>
      <c r="B69" t="s">
        <v>240</v>
      </c>
      <c r="C69" t="s">
        <v>123</v>
      </c>
      <c r="D69" t="s">
        <v>162</v>
      </c>
      <c r="E69">
        <v>10</v>
      </c>
      <c r="F69">
        <v>201</v>
      </c>
      <c r="G69">
        <v>161</v>
      </c>
      <c r="H69">
        <v>2681</v>
      </c>
      <c r="I69">
        <v>0.782070221184894</v>
      </c>
      <c r="J69">
        <v>0.98558586947165205</v>
      </c>
      <c r="K69">
        <v>0.82846636383300898</v>
      </c>
      <c r="L69" t="s">
        <v>949</v>
      </c>
      <c r="M69" t="str">
        <f>HYPERLINK("../../3.KEGG_map/SCI_III-vs-NC-Up/rno04151.html","rno04151")</f>
        <v>rno04151</v>
      </c>
    </row>
    <row r="70" spans="1:13" x14ac:dyDescent="0.25">
      <c r="A70" t="s">
        <v>242</v>
      </c>
      <c r="B70" t="s">
        <v>243</v>
      </c>
      <c r="C70" t="s">
        <v>123</v>
      </c>
      <c r="D70" t="s">
        <v>162</v>
      </c>
      <c r="E70">
        <v>3</v>
      </c>
      <c r="F70">
        <v>201</v>
      </c>
      <c r="G70">
        <v>63</v>
      </c>
      <c r="H70">
        <v>2681</v>
      </c>
      <c r="I70">
        <v>0.863457755003045</v>
      </c>
      <c r="J70">
        <v>0.98558586947165205</v>
      </c>
      <c r="K70">
        <v>0.63515754560530702</v>
      </c>
      <c r="L70" t="s">
        <v>950</v>
      </c>
      <c r="M70" t="str">
        <f>HYPERLINK("../../3.KEGG_map/SCI_III-vs-NC-Up/rno04152.html","rno04152")</f>
        <v>rno04152</v>
      </c>
    </row>
    <row r="71" spans="1:13" x14ac:dyDescent="0.25">
      <c r="A71" t="s">
        <v>245</v>
      </c>
      <c r="B71" t="s">
        <v>246</v>
      </c>
      <c r="C71" t="s">
        <v>206</v>
      </c>
      <c r="D71" t="s">
        <v>207</v>
      </c>
      <c r="E71">
        <v>6</v>
      </c>
      <c r="F71">
        <v>201</v>
      </c>
      <c r="G71">
        <v>62</v>
      </c>
      <c r="H71">
        <v>2681</v>
      </c>
      <c r="I71">
        <v>0.319161451034986</v>
      </c>
      <c r="J71">
        <v>0.98558586947165205</v>
      </c>
      <c r="K71">
        <v>1.29080404429466</v>
      </c>
      <c r="L71" t="s">
        <v>951</v>
      </c>
      <c r="M71" t="str">
        <f>HYPERLINK("../../3.KEGG_map/SCI_III-vs-NC-Up/rno04210.html","rno04210")</f>
        <v>rno04210</v>
      </c>
    </row>
    <row r="72" spans="1:13" x14ac:dyDescent="0.25">
      <c r="A72" t="s">
        <v>248</v>
      </c>
      <c r="B72" t="s">
        <v>249</v>
      </c>
      <c r="C72" t="s">
        <v>150</v>
      </c>
      <c r="D72" t="s">
        <v>250</v>
      </c>
      <c r="E72">
        <v>3</v>
      </c>
      <c r="F72">
        <v>201</v>
      </c>
      <c r="G72">
        <v>64</v>
      </c>
      <c r="H72">
        <v>2681</v>
      </c>
      <c r="I72">
        <v>0.87054394647989797</v>
      </c>
      <c r="J72">
        <v>0.98558586947165205</v>
      </c>
      <c r="K72">
        <v>0.62523320895522405</v>
      </c>
      <c r="L72" t="s">
        <v>950</v>
      </c>
      <c r="M72" t="str">
        <f>HYPERLINK("../../3.KEGG_map/SCI_III-vs-NC-Up/rno04211.html","rno04211")</f>
        <v>rno04211</v>
      </c>
    </row>
    <row r="73" spans="1:13" x14ac:dyDescent="0.25">
      <c r="A73" t="s">
        <v>255</v>
      </c>
      <c r="B73" t="s">
        <v>256</v>
      </c>
      <c r="C73" t="s">
        <v>206</v>
      </c>
      <c r="D73" t="s">
        <v>207</v>
      </c>
      <c r="E73">
        <v>7</v>
      </c>
      <c r="F73">
        <v>201</v>
      </c>
      <c r="G73">
        <v>44</v>
      </c>
      <c r="H73">
        <v>2681</v>
      </c>
      <c r="I73">
        <v>4.26196247600324E-2</v>
      </c>
      <c r="J73">
        <v>0.98558586947165205</v>
      </c>
      <c r="K73">
        <v>2.1220036182722799</v>
      </c>
      <c r="L73" t="s">
        <v>952</v>
      </c>
      <c r="M73" t="str">
        <f>HYPERLINK("../../3.KEGG_map/SCI_III-vs-NC-Up/rno04217.html","rno04217")</f>
        <v>rno04217</v>
      </c>
    </row>
    <row r="74" spans="1:13" x14ac:dyDescent="0.25">
      <c r="A74" t="s">
        <v>258</v>
      </c>
      <c r="B74" t="s">
        <v>259</v>
      </c>
      <c r="C74" t="s">
        <v>206</v>
      </c>
      <c r="D74" t="s">
        <v>207</v>
      </c>
      <c r="E74">
        <v>11</v>
      </c>
      <c r="F74">
        <v>201</v>
      </c>
      <c r="G74">
        <v>111</v>
      </c>
      <c r="H74">
        <v>2681</v>
      </c>
      <c r="I74">
        <v>0.20608694600058999</v>
      </c>
      <c r="J74">
        <v>0.98558586947165205</v>
      </c>
      <c r="K74">
        <v>1.3218143516651</v>
      </c>
      <c r="L74" t="s">
        <v>953</v>
      </c>
      <c r="M74" t="str">
        <f>HYPERLINK("../../3.KEGG_map/SCI_III-vs-NC-Up/rno04218.html","rno04218")</f>
        <v>rno04218</v>
      </c>
    </row>
    <row r="75" spans="1:13" x14ac:dyDescent="0.25">
      <c r="A75" t="s">
        <v>261</v>
      </c>
      <c r="B75" t="s">
        <v>262</v>
      </c>
      <c r="C75" t="s">
        <v>150</v>
      </c>
      <c r="D75" t="s">
        <v>263</v>
      </c>
      <c r="E75">
        <v>2</v>
      </c>
      <c r="F75">
        <v>201</v>
      </c>
      <c r="G75">
        <v>39</v>
      </c>
      <c r="H75">
        <v>2681</v>
      </c>
      <c r="I75">
        <v>0.80298336307766205</v>
      </c>
      <c r="J75">
        <v>0.98558586947165205</v>
      </c>
      <c r="K75">
        <v>0.68401581834417702</v>
      </c>
      <c r="L75" t="s">
        <v>954</v>
      </c>
      <c r="M75" t="str">
        <f>HYPERLINK("../../3.KEGG_map/SCI_III-vs-NC-Up/rno04260.html","rno04260")</f>
        <v>rno04260</v>
      </c>
    </row>
    <row r="76" spans="1:13" x14ac:dyDescent="0.25">
      <c r="A76" t="s">
        <v>265</v>
      </c>
      <c r="B76" t="s">
        <v>266</v>
      </c>
      <c r="C76" t="s">
        <v>150</v>
      </c>
      <c r="D76" t="s">
        <v>263</v>
      </c>
      <c r="E76">
        <v>9</v>
      </c>
      <c r="F76">
        <v>201</v>
      </c>
      <c r="G76">
        <v>102</v>
      </c>
      <c r="H76">
        <v>2681</v>
      </c>
      <c r="I76">
        <v>0.35509572776494303</v>
      </c>
      <c r="J76">
        <v>0.98558586947165205</v>
      </c>
      <c r="K76">
        <v>1.17690956979807</v>
      </c>
      <c r="L76" t="s">
        <v>955</v>
      </c>
      <c r="M76" t="str">
        <f>HYPERLINK("../../3.KEGG_map/SCI_III-vs-NC-Up/rno04261.html","rno04261")</f>
        <v>rno04261</v>
      </c>
    </row>
    <row r="77" spans="1:13" x14ac:dyDescent="0.25">
      <c r="A77" t="s">
        <v>268</v>
      </c>
      <c r="B77" t="s">
        <v>269</v>
      </c>
      <c r="C77" t="s">
        <v>150</v>
      </c>
      <c r="D77" t="s">
        <v>263</v>
      </c>
      <c r="E77">
        <v>11</v>
      </c>
      <c r="F77">
        <v>201</v>
      </c>
      <c r="G77">
        <v>132</v>
      </c>
      <c r="H77">
        <v>2681</v>
      </c>
      <c r="I77">
        <v>0.40279321384623301</v>
      </c>
      <c r="J77">
        <v>0.98558586947165205</v>
      </c>
      <c r="K77">
        <v>1.1115257048092899</v>
      </c>
      <c r="L77" t="s">
        <v>956</v>
      </c>
      <c r="M77" t="str">
        <f>HYPERLINK("../../3.KEGG_map/SCI_III-vs-NC-Up/rno04270.html","rno04270")</f>
        <v>rno04270</v>
      </c>
    </row>
    <row r="78" spans="1:13" x14ac:dyDescent="0.25">
      <c r="A78" t="s">
        <v>271</v>
      </c>
      <c r="B78" t="s">
        <v>272</v>
      </c>
      <c r="C78" t="s">
        <v>123</v>
      </c>
      <c r="D78" t="s">
        <v>162</v>
      </c>
      <c r="E78">
        <v>8</v>
      </c>
      <c r="F78">
        <v>201</v>
      </c>
      <c r="G78">
        <v>88</v>
      </c>
      <c r="H78">
        <v>2681</v>
      </c>
      <c r="I78">
        <v>0.33788441872238301</v>
      </c>
      <c r="J78">
        <v>0.98558586947165205</v>
      </c>
      <c r="K78">
        <v>1.2125734961555901</v>
      </c>
      <c r="L78" t="s">
        <v>957</v>
      </c>
      <c r="M78" t="str">
        <f>HYPERLINK("../../3.KEGG_map/SCI_III-vs-NC-Up/rno04310.html","rno04310")</f>
        <v>rno04310</v>
      </c>
    </row>
    <row r="79" spans="1:13" x14ac:dyDescent="0.25">
      <c r="A79" t="s">
        <v>277</v>
      </c>
      <c r="B79" t="s">
        <v>278</v>
      </c>
      <c r="C79" t="s">
        <v>123</v>
      </c>
      <c r="D79" t="s">
        <v>162</v>
      </c>
      <c r="E79">
        <v>1</v>
      </c>
      <c r="F79">
        <v>201</v>
      </c>
      <c r="G79">
        <v>25</v>
      </c>
      <c r="H79">
        <v>2681</v>
      </c>
      <c r="I79">
        <v>0.85877622326252501</v>
      </c>
      <c r="J79">
        <v>0.98558586947165205</v>
      </c>
      <c r="K79">
        <v>0.53353233830845803</v>
      </c>
      <c r="L79" t="s">
        <v>860</v>
      </c>
      <c r="M79" t="str">
        <f>HYPERLINK("../../3.KEGG_map/SCI_III-vs-NC-Up/rno04340.html","rno04340")</f>
        <v>rno04340</v>
      </c>
    </row>
    <row r="80" spans="1:13" x14ac:dyDescent="0.25">
      <c r="A80" t="s">
        <v>280</v>
      </c>
      <c r="B80" t="s">
        <v>281</v>
      </c>
      <c r="C80" t="s">
        <v>123</v>
      </c>
      <c r="D80" t="s">
        <v>162</v>
      </c>
      <c r="E80">
        <v>2</v>
      </c>
      <c r="F80">
        <v>201</v>
      </c>
      <c r="G80">
        <v>62</v>
      </c>
      <c r="H80">
        <v>2681</v>
      </c>
      <c r="I80">
        <v>0.953722619521708</v>
      </c>
      <c r="J80">
        <v>0.99495526333406203</v>
      </c>
      <c r="K80">
        <v>0.43026801476488502</v>
      </c>
      <c r="L80" t="s">
        <v>958</v>
      </c>
      <c r="M80" t="str">
        <f>HYPERLINK("../../3.KEGG_map/SCI_III-vs-NC-Up/rno04350.html","rno04350")</f>
        <v>rno04350</v>
      </c>
    </row>
    <row r="81" spans="1:13" x14ac:dyDescent="0.25">
      <c r="A81" t="s">
        <v>283</v>
      </c>
      <c r="B81" t="s">
        <v>284</v>
      </c>
      <c r="C81" t="s">
        <v>150</v>
      </c>
      <c r="D81" t="s">
        <v>285</v>
      </c>
      <c r="E81">
        <v>12</v>
      </c>
      <c r="F81">
        <v>201</v>
      </c>
      <c r="G81">
        <v>115</v>
      </c>
      <c r="H81">
        <v>2681</v>
      </c>
      <c r="I81">
        <v>0.148818782311994</v>
      </c>
      <c r="J81">
        <v>0.98558586947165205</v>
      </c>
      <c r="K81">
        <v>1.39182349123945</v>
      </c>
      <c r="L81" t="s">
        <v>959</v>
      </c>
      <c r="M81" t="str">
        <f>HYPERLINK("../../3.KEGG_map/SCI_III-vs-NC-Up/rno04360.html","rno04360")</f>
        <v>rno04360</v>
      </c>
    </row>
    <row r="82" spans="1:13" x14ac:dyDescent="0.25">
      <c r="A82" t="s">
        <v>747</v>
      </c>
      <c r="B82" t="s">
        <v>748</v>
      </c>
      <c r="C82" t="s">
        <v>123</v>
      </c>
      <c r="D82" t="s">
        <v>162</v>
      </c>
      <c r="E82">
        <v>2</v>
      </c>
      <c r="F82">
        <v>201</v>
      </c>
      <c r="G82">
        <v>60</v>
      </c>
      <c r="H82">
        <v>2681</v>
      </c>
      <c r="I82">
        <v>0.94721708614984401</v>
      </c>
      <c r="J82">
        <v>0.99495526333406203</v>
      </c>
      <c r="K82">
        <v>0.44461028192371499</v>
      </c>
      <c r="L82" t="s">
        <v>960</v>
      </c>
      <c r="M82" t="str">
        <f>HYPERLINK("../../3.KEGG_map/SCI_III-vs-NC-Up/rno04370.html","rno04370")</f>
        <v>rno04370</v>
      </c>
    </row>
    <row r="83" spans="1:13" x14ac:dyDescent="0.25">
      <c r="A83" t="s">
        <v>287</v>
      </c>
      <c r="B83" t="s">
        <v>288</v>
      </c>
      <c r="C83" t="s">
        <v>123</v>
      </c>
      <c r="D83" t="s">
        <v>162</v>
      </c>
      <c r="E83">
        <v>9</v>
      </c>
      <c r="F83">
        <v>201</v>
      </c>
      <c r="G83">
        <v>111</v>
      </c>
      <c r="H83">
        <v>2681</v>
      </c>
      <c r="I83">
        <v>0.45473966094857599</v>
      </c>
      <c r="J83">
        <v>0.98558586947165205</v>
      </c>
      <c r="K83">
        <v>1.0814844695441701</v>
      </c>
      <c r="L83" t="s">
        <v>961</v>
      </c>
      <c r="M83" t="str">
        <f>HYPERLINK("../../3.KEGG_map/SCI_III-vs-NC-Up/rno04371.html","rno04371")</f>
        <v>rno04371</v>
      </c>
    </row>
    <row r="84" spans="1:13" x14ac:dyDescent="0.25">
      <c r="A84" t="s">
        <v>290</v>
      </c>
      <c r="B84" t="s">
        <v>291</v>
      </c>
      <c r="C84" t="s">
        <v>150</v>
      </c>
      <c r="D84" t="s">
        <v>285</v>
      </c>
      <c r="E84">
        <v>4</v>
      </c>
      <c r="F84">
        <v>201</v>
      </c>
      <c r="G84">
        <v>64</v>
      </c>
      <c r="H84">
        <v>2681</v>
      </c>
      <c r="I84">
        <v>0.71937186164036604</v>
      </c>
      <c r="J84">
        <v>0.98558586947165205</v>
      </c>
      <c r="K84">
        <v>0.83364427860696499</v>
      </c>
      <c r="L84" t="s">
        <v>962</v>
      </c>
      <c r="M84" t="str">
        <f>HYPERLINK("../../3.KEGG_map/SCI_III-vs-NC-Up/rno04380.html","rno04380")</f>
        <v>rno04380</v>
      </c>
    </row>
    <row r="85" spans="1:13" x14ac:dyDescent="0.25">
      <c r="A85" t="s">
        <v>293</v>
      </c>
      <c r="B85" t="s">
        <v>294</v>
      </c>
      <c r="C85" t="s">
        <v>123</v>
      </c>
      <c r="D85" t="s">
        <v>162</v>
      </c>
      <c r="E85">
        <v>7</v>
      </c>
      <c r="F85">
        <v>201</v>
      </c>
      <c r="G85">
        <v>84</v>
      </c>
      <c r="H85">
        <v>2681</v>
      </c>
      <c r="I85">
        <v>0.44378206271442799</v>
      </c>
      <c r="J85">
        <v>0.98558586947165205</v>
      </c>
      <c r="K85">
        <v>1.1115257048092899</v>
      </c>
      <c r="L85" t="s">
        <v>963</v>
      </c>
      <c r="M85" t="str">
        <f>HYPERLINK("../../3.KEGG_map/SCI_III-vs-NC-Up/rno04390.html","rno04390")</f>
        <v>rno04390</v>
      </c>
    </row>
    <row r="86" spans="1:13" x14ac:dyDescent="0.25">
      <c r="A86" t="s">
        <v>296</v>
      </c>
      <c r="B86" t="s">
        <v>297</v>
      </c>
      <c r="C86" t="s">
        <v>123</v>
      </c>
      <c r="D86" t="s">
        <v>162</v>
      </c>
      <c r="E86">
        <v>1</v>
      </c>
      <c r="F86">
        <v>201</v>
      </c>
      <c r="G86">
        <v>26</v>
      </c>
      <c r="H86">
        <v>2681</v>
      </c>
      <c r="I86">
        <v>0.86946371540267198</v>
      </c>
      <c r="J86">
        <v>0.98558586947165205</v>
      </c>
      <c r="K86">
        <v>0.51301186375813201</v>
      </c>
      <c r="L86" t="s">
        <v>964</v>
      </c>
      <c r="M86" t="str">
        <f>HYPERLINK("../../3.KEGG_map/SCI_III-vs-NC-Up/rno04392.html","rno04392")</f>
        <v>rno04392</v>
      </c>
    </row>
    <row r="87" spans="1:13" x14ac:dyDescent="0.25">
      <c r="A87" t="s">
        <v>299</v>
      </c>
      <c r="B87" t="s">
        <v>300</v>
      </c>
      <c r="C87" t="s">
        <v>206</v>
      </c>
      <c r="D87" t="s">
        <v>301</v>
      </c>
      <c r="E87">
        <v>12</v>
      </c>
      <c r="F87">
        <v>201</v>
      </c>
      <c r="G87">
        <v>192</v>
      </c>
      <c r="H87">
        <v>2681</v>
      </c>
      <c r="I87">
        <v>0.79170378948936604</v>
      </c>
      <c r="J87">
        <v>0.98558586947165205</v>
      </c>
      <c r="K87">
        <v>0.83364427860696499</v>
      </c>
      <c r="L87" t="s">
        <v>965</v>
      </c>
      <c r="M87" t="str">
        <f>HYPERLINK("../../3.KEGG_map/SCI_III-vs-NC-Up/rno04510.html","rno04510")</f>
        <v>rno04510</v>
      </c>
    </row>
    <row r="88" spans="1:13" x14ac:dyDescent="0.25">
      <c r="A88" t="s">
        <v>303</v>
      </c>
      <c r="B88" t="s">
        <v>304</v>
      </c>
      <c r="C88" t="s">
        <v>123</v>
      </c>
      <c r="D88" t="s">
        <v>184</v>
      </c>
      <c r="E88">
        <v>2</v>
      </c>
      <c r="F88">
        <v>201</v>
      </c>
      <c r="G88">
        <v>70</v>
      </c>
      <c r="H88">
        <v>2681</v>
      </c>
      <c r="I88">
        <v>0.97287695026760201</v>
      </c>
      <c r="J88">
        <v>0.99495526333406203</v>
      </c>
      <c r="K88">
        <v>0.381094527363184</v>
      </c>
      <c r="L88" t="s">
        <v>966</v>
      </c>
      <c r="M88" t="str">
        <f>HYPERLINK("../../3.KEGG_map/SCI_III-vs-NC-Up/rno04512.html","rno04512")</f>
        <v>rno04512</v>
      </c>
    </row>
    <row r="89" spans="1:13" x14ac:dyDescent="0.25">
      <c r="A89" t="s">
        <v>306</v>
      </c>
      <c r="B89" t="s">
        <v>307</v>
      </c>
      <c r="C89" t="s">
        <v>123</v>
      </c>
      <c r="D89" t="s">
        <v>184</v>
      </c>
      <c r="E89">
        <v>1</v>
      </c>
      <c r="F89">
        <v>201</v>
      </c>
      <c r="G89">
        <v>51</v>
      </c>
      <c r="H89">
        <v>2681</v>
      </c>
      <c r="I89">
        <v>0.98193089119912003</v>
      </c>
      <c r="J89">
        <v>0.99495526333406203</v>
      </c>
      <c r="K89">
        <v>0.261535459955126</v>
      </c>
      <c r="L89" t="s">
        <v>967</v>
      </c>
      <c r="M89" t="str">
        <f>HYPERLINK("../../3.KEGG_map/SCI_III-vs-NC-Up/rno04514.html","rno04514")</f>
        <v>rno04514</v>
      </c>
    </row>
    <row r="90" spans="1:13" x14ac:dyDescent="0.25">
      <c r="A90" t="s">
        <v>309</v>
      </c>
      <c r="B90" t="s">
        <v>310</v>
      </c>
      <c r="C90" t="s">
        <v>206</v>
      </c>
      <c r="D90" t="s">
        <v>301</v>
      </c>
      <c r="E90">
        <v>8</v>
      </c>
      <c r="F90">
        <v>201</v>
      </c>
      <c r="G90">
        <v>112</v>
      </c>
      <c r="H90">
        <v>2681</v>
      </c>
      <c r="I90">
        <v>0.61201724020401005</v>
      </c>
      <c r="J90">
        <v>0.98558586947165205</v>
      </c>
      <c r="K90">
        <v>0.95273631840796003</v>
      </c>
      <c r="L90" t="s">
        <v>968</v>
      </c>
      <c r="M90" t="str">
        <f>HYPERLINK("../../3.KEGG_map/SCI_III-vs-NC-Up/rno04520.html","rno04520")</f>
        <v>rno04520</v>
      </c>
    </row>
    <row r="91" spans="1:13" x14ac:dyDescent="0.25">
      <c r="A91" t="s">
        <v>312</v>
      </c>
      <c r="B91" t="s">
        <v>313</v>
      </c>
      <c r="C91" t="s">
        <v>206</v>
      </c>
      <c r="D91" t="s">
        <v>301</v>
      </c>
      <c r="E91">
        <v>13</v>
      </c>
      <c r="F91">
        <v>201</v>
      </c>
      <c r="G91">
        <v>118</v>
      </c>
      <c r="H91">
        <v>2681</v>
      </c>
      <c r="I91">
        <v>9.9928855390046603E-2</v>
      </c>
      <c r="J91">
        <v>0.98558586947165205</v>
      </c>
      <c r="K91">
        <v>1.4694746605953299</v>
      </c>
      <c r="L91" t="s">
        <v>969</v>
      </c>
      <c r="M91" t="str">
        <f>HYPERLINK("../../3.KEGG_map/SCI_III-vs-NC-Up/rno04530.html","rno04530")</f>
        <v>rno04530</v>
      </c>
    </row>
    <row r="92" spans="1:13" x14ac:dyDescent="0.25">
      <c r="A92" t="s">
        <v>315</v>
      </c>
      <c r="B92" t="s">
        <v>316</v>
      </c>
      <c r="C92" t="s">
        <v>206</v>
      </c>
      <c r="D92" t="s">
        <v>301</v>
      </c>
      <c r="E92">
        <v>6</v>
      </c>
      <c r="F92">
        <v>201</v>
      </c>
      <c r="G92">
        <v>65</v>
      </c>
      <c r="H92">
        <v>2681</v>
      </c>
      <c r="I92">
        <v>0.36036389201210201</v>
      </c>
      <c r="J92">
        <v>0.98558586947165205</v>
      </c>
      <c r="K92">
        <v>1.23122847301952</v>
      </c>
      <c r="L92" t="s">
        <v>970</v>
      </c>
      <c r="M92" t="str">
        <f>HYPERLINK("../../3.KEGG_map/SCI_III-vs-NC-Up/rno04540.html","rno04540")</f>
        <v>rno04540</v>
      </c>
    </row>
    <row r="93" spans="1:13" x14ac:dyDescent="0.25">
      <c r="A93" t="s">
        <v>318</v>
      </c>
      <c r="B93" t="s">
        <v>319</v>
      </c>
      <c r="C93" t="s">
        <v>206</v>
      </c>
      <c r="D93" t="s">
        <v>301</v>
      </c>
      <c r="E93">
        <v>4</v>
      </c>
      <c r="F93">
        <v>201</v>
      </c>
      <c r="G93">
        <v>60</v>
      </c>
      <c r="H93">
        <v>2681</v>
      </c>
      <c r="I93">
        <v>0.67010389269132997</v>
      </c>
      <c r="J93">
        <v>0.98558586947165205</v>
      </c>
      <c r="K93">
        <v>0.88922056384742898</v>
      </c>
      <c r="L93" t="s">
        <v>971</v>
      </c>
      <c r="M93" t="str">
        <f>HYPERLINK("../../3.KEGG_map/SCI_III-vs-NC-Up/rno04550.html","rno04550")</f>
        <v>rno04550</v>
      </c>
    </row>
    <row r="94" spans="1:13" x14ac:dyDescent="0.25">
      <c r="A94" t="s">
        <v>321</v>
      </c>
      <c r="B94" t="s">
        <v>322</v>
      </c>
      <c r="C94" t="s">
        <v>150</v>
      </c>
      <c r="D94" t="s">
        <v>188</v>
      </c>
      <c r="E94">
        <v>9</v>
      </c>
      <c r="F94">
        <v>201</v>
      </c>
      <c r="G94">
        <v>122</v>
      </c>
      <c r="H94">
        <v>2681</v>
      </c>
      <c r="I94">
        <v>0.57268977688654099</v>
      </c>
      <c r="J94">
        <v>0.98558586947165205</v>
      </c>
      <c r="K94">
        <v>0.98397357474920499</v>
      </c>
      <c r="L94" t="s">
        <v>972</v>
      </c>
      <c r="M94" t="str">
        <f>HYPERLINK("../../3.KEGG_map/SCI_III-vs-NC-Up/rno04611.html","rno04611")</f>
        <v>rno04611</v>
      </c>
    </row>
    <row r="95" spans="1:13" x14ac:dyDescent="0.25">
      <c r="A95" t="s">
        <v>327</v>
      </c>
      <c r="B95" t="s">
        <v>328</v>
      </c>
      <c r="C95" t="s">
        <v>150</v>
      </c>
      <c r="D95" t="s">
        <v>188</v>
      </c>
      <c r="E95">
        <v>5</v>
      </c>
      <c r="F95">
        <v>201</v>
      </c>
      <c r="G95">
        <v>64</v>
      </c>
      <c r="H95">
        <v>2681</v>
      </c>
      <c r="I95">
        <v>0.53075032851104198</v>
      </c>
      <c r="J95">
        <v>0.98558586947165205</v>
      </c>
      <c r="K95">
        <v>1.04205534825871</v>
      </c>
      <c r="L95" t="s">
        <v>973</v>
      </c>
      <c r="M95" t="str">
        <f>HYPERLINK("../../3.KEGG_map/SCI_III-vs-NC-Up/rno04621.html","rno04621")</f>
        <v>rno04621</v>
      </c>
    </row>
    <row r="96" spans="1:13" x14ac:dyDescent="0.25">
      <c r="A96" t="s">
        <v>330</v>
      </c>
      <c r="B96" t="s">
        <v>331</v>
      </c>
      <c r="C96" t="s">
        <v>150</v>
      </c>
      <c r="D96" t="s">
        <v>188</v>
      </c>
      <c r="E96">
        <v>5</v>
      </c>
      <c r="F96">
        <v>201</v>
      </c>
      <c r="G96">
        <v>69</v>
      </c>
      <c r="H96">
        <v>2681</v>
      </c>
      <c r="I96">
        <v>0.59961227258371597</v>
      </c>
      <c r="J96">
        <v>0.98558586947165205</v>
      </c>
      <c r="K96">
        <v>0.96654409113851003</v>
      </c>
      <c r="L96" t="s">
        <v>974</v>
      </c>
      <c r="M96" t="str">
        <f>HYPERLINK("../../3.KEGG_map/SCI_III-vs-NC-Up/rno04625.html","rno04625")</f>
        <v>rno04625</v>
      </c>
    </row>
    <row r="97" spans="1:13" x14ac:dyDescent="0.25">
      <c r="A97" t="s">
        <v>333</v>
      </c>
      <c r="B97" t="s">
        <v>334</v>
      </c>
      <c r="C97" t="s">
        <v>123</v>
      </c>
      <c r="D97" t="s">
        <v>162</v>
      </c>
      <c r="E97">
        <v>2</v>
      </c>
      <c r="F97">
        <v>201</v>
      </c>
      <c r="G97">
        <v>52</v>
      </c>
      <c r="H97">
        <v>2681</v>
      </c>
      <c r="I97">
        <v>0.911502589177137</v>
      </c>
      <c r="J97">
        <v>0.98949211552384397</v>
      </c>
      <c r="K97">
        <v>0.51301186375813201</v>
      </c>
      <c r="L97" t="s">
        <v>975</v>
      </c>
      <c r="M97" t="str">
        <f>HYPERLINK("../../3.KEGG_map/SCI_III-vs-NC-Up/rno04630.html","rno04630")</f>
        <v>rno04630</v>
      </c>
    </row>
    <row r="98" spans="1:13" x14ac:dyDescent="0.25">
      <c r="A98" t="s">
        <v>335</v>
      </c>
      <c r="B98" t="s">
        <v>336</v>
      </c>
      <c r="C98" t="s">
        <v>150</v>
      </c>
      <c r="D98" t="s">
        <v>188</v>
      </c>
      <c r="E98">
        <v>1</v>
      </c>
      <c r="F98">
        <v>201</v>
      </c>
      <c r="G98">
        <v>18</v>
      </c>
      <c r="H98">
        <v>2681</v>
      </c>
      <c r="I98">
        <v>0.75522349860890503</v>
      </c>
      <c r="J98">
        <v>0.98558586947165205</v>
      </c>
      <c r="K98">
        <v>0.74101713653952495</v>
      </c>
      <c r="L98" t="s">
        <v>976</v>
      </c>
      <c r="M98" t="str">
        <f>HYPERLINK("../../3.KEGG_map/SCI_III-vs-NC-Up/rno04640.html","rno04640")</f>
        <v>rno04640</v>
      </c>
    </row>
    <row r="99" spans="1:13" x14ac:dyDescent="0.25">
      <c r="A99" t="s">
        <v>772</v>
      </c>
      <c r="B99" t="s">
        <v>773</v>
      </c>
      <c r="C99" t="s">
        <v>150</v>
      </c>
      <c r="D99" t="s">
        <v>188</v>
      </c>
      <c r="E99">
        <v>4</v>
      </c>
      <c r="F99">
        <v>201</v>
      </c>
      <c r="G99">
        <v>60</v>
      </c>
      <c r="H99">
        <v>2681</v>
      </c>
      <c r="I99">
        <v>0.67010389269132997</v>
      </c>
      <c r="J99">
        <v>0.98558586947165205</v>
      </c>
      <c r="K99">
        <v>0.88922056384742898</v>
      </c>
      <c r="L99" t="s">
        <v>977</v>
      </c>
      <c r="M99" t="str">
        <f>HYPERLINK("../../3.KEGG_map/SCI_III-vs-NC-Up/rno04650.html","rno04650")</f>
        <v>rno04650</v>
      </c>
    </row>
    <row r="100" spans="1:13" x14ac:dyDescent="0.25">
      <c r="A100" t="s">
        <v>775</v>
      </c>
      <c r="B100" t="s">
        <v>776</v>
      </c>
      <c r="C100" t="s">
        <v>150</v>
      </c>
      <c r="D100" t="s">
        <v>188</v>
      </c>
      <c r="E100">
        <v>1</v>
      </c>
      <c r="F100">
        <v>201</v>
      </c>
      <c r="G100">
        <v>24</v>
      </c>
      <c r="H100">
        <v>2681</v>
      </c>
      <c r="I100">
        <v>0.84721841417285304</v>
      </c>
      <c r="J100">
        <v>0.98558586947165205</v>
      </c>
      <c r="K100">
        <v>0.55576285240464396</v>
      </c>
      <c r="L100" t="s">
        <v>978</v>
      </c>
      <c r="M100" t="str">
        <f>HYPERLINK("../../3.KEGG_map/SCI_III-vs-NC-Up/rno04657.html","rno04657")</f>
        <v>rno04657</v>
      </c>
    </row>
    <row r="101" spans="1:13" x14ac:dyDescent="0.25">
      <c r="A101" t="s">
        <v>338</v>
      </c>
      <c r="B101" t="s">
        <v>339</v>
      </c>
      <c r="C101" t="s">
        <v>150</v>
      </c>
      <c r="D101" t="s">
        <v>188</v>
      </c>
      <c r="E101">
        <v>3</v>
      </c>
      <c r="F101">
        <v>201</v>
      </c>
      <c r="G101">
        <v>43</v>
      </c>
      <c r="H101">
        <v>2681</v>
      </c>
      <c r="I101">
        <v>0.63690833372112898</v>
      </c>
      <c r="J101">
        <v>0.98558586947165205</v>
      </c>
      <c r="K101">
        <v>0.93057965984033297</v>
      </c>
      <c r="L101" t="s">
        <v>979</v>
      </c>
      <c r="M101" t="str">
        <f>HYPERLINK("../../3.KEGG_map/SCI_III-vs-NC-Up/rno04658.html","rno04658")</f>
        <v>rno04658</v>
      </c>
    </row>
    <row r="102" spans="1:13" x14ac:dyDescent="0.25">
      <c r="A102" t="s">
        <v>341</v>
      </c>
      <c r="B102" t="s">
        <v>342</v>
      </c>
      <c r="C102" t="s">
        <v>150</v>
      </c>
      <c r="D102" t="s">
        <v>188</v>
      </c>
      <c r="E102">
        <v>4</v>
      </c>
      <c r="F102">
        <v>201</v>
      </c>
      <c r="G102">
        <v>61</v>
      </c>
      <c r="H102">
        <v>2681</v>
      </c>
      <c r="I102">
        <v>0.68294861025020204</v>
      </c>
      <c r="J102">
        <v>0.98558586947165205</v>
      </c>
      <c r="K102">
        <v>0.87464317755484899</v>
      </c>
      <c r="L102" t="s">
        <v>980</v>
      </c>
      <c r="M102" t="str">
        <f>HYPERLINK("../../3.KEGG_map/SCI_III-vs-NC-Up/rno04659.html","rno04659")</f>
        <v>rno04659</v>
      </c>
    </row>
    <row r="103" spans="1:13" x14ac:dyDescent="0.25">
      <c r="A103" t="s">
        <v>344</v>
      </c>
      <c r="B103" t="s">
        <v>345</v>
      </c>
      <c r="C103" t="s">
        <v>150</v>
      </c>
      <c r="D103" t="s">
        <v>188</v>
      </c>
      <c r="E103">
        <v>7</v>
      </c>
      <c r="F103">
        <v>201</v>
      </c>
      <c r="G103">
        <v>80</v>
      </c>
      <c r="H103">
        <v>2681</v>
      </c>
      <c r="I103">
        <v>0.39303451942442302</v>
      </c>
      <c r="J103">
        <v>0.98558586947165205</v>
      </c>
      <c r="K103">
        <v>1.1671019900497499</v>
      </c>
      <c r="L103" t="s">
        <v>981</v>
      </c>
      <c r="M103" t="str">
        <f>HYPERLINK("../../3.KEGG_map/SCI_III-vs-NC-Up/rno04660.html","rno04660")</f>
        <v>rno04660</v>
      </c>
    </row>
    <row r="104" spans="1:13" x14ac:dyDescent="0.25">
      <c r="A104" t="s">
        <v>346</v>
      </c>
      <c r="B104" t="s">
        <v>347</v>
      </c>
      <c r="C104" t="s">
        <v>150</v>
      </c>
      <c r="D104" t="s">
        <v>188</v>
      </c>
      <c r="E104">
        <v>4</v>
      </c>
      <c r="F104">
        <v>201</v>
      </c>
      <c r="G104">
        <v>58</v>
      </c>
      <c r="H104">
        <v>2681</v>
      </c>
      <c r="I104">
        <v>0.643369057141708</v>
      </c>
      <c r="J104">
        <v>0.98558586947165205</v>
      </c>
      <c r="K104">
        <v>0.91988334191113397</v>
      </c>
      <c r="L104" t="s">
        <v>982</v>
      </c>
      <c r="M104" t="str">
        <f>HYPERLINK("../../3.KEGG_map/SCI_III-vs-NC-Up/rno04662.html","rno04662")</f>
        <v>rno04662</v>
      </c>
    </row>
    <row r="105" spans="1:13" x14ac:dyDescent="0.25">
      <c r="A105" t="s">
        <v>780</v>
      </c>
      <c r="B105" t="s">
        <v>781</v>
      </c>
      <c r="C105" t="s">
        <v>150</v>
      </c>
      <c r="D105" t="s">
        <v>188</v>
      </c>
      <c r="E105">
        <v>1</v>
      </c>
      <c r="F105">
        <v>201</v>
      </c>
      <c r="G105">
        <v>40</v>
      </c>
      <c r="H105">
        <v>2681</v>
      </c>
      <c r="I105">
        <v>0.95676373520293301</v>
      </c>
      <c r="J105">
        <v>0.99495526333406203</v>
      </c>
      <c r="K105">
        <v>0.33345771144278602</v>
      </c>
      <c r="L105" t="s">
        <v>983</v>
      </c>
      <c r="M105" t="str">
        <f>HYPERLINK("../../3.KEGG_map/SCI_III-vs-NC-Up/rno04664.html","rno04664")</f>
        <v>rno04664</v>
      </c>
    </row>
    <row r="106" spans="1:13" x14ac:dyDescent="0.25">
      <c r="A106" t="s">
        <v>348</v>
      </c>
      <c r="B106" t="s">
        <v>349</v>
      </c>
      <c r="C106" t="s">
        <v>150</v>
      </c>
      <c r="D106" t="s">
        <v>188</v>
      </c>
      <c r="E106">
        <v>2</v>
      </c>
      <c r="F106">
        <v>201</v>
      </c>
      <c r="G106">
        <v>51</v>
      </c>
      <c r="H106">
        <v>2681</v>
      </c>
      <c r="I106">
        <v>0.90570602110948395</v>
      </c>
      <c r="J106">
        <v>0.98848560368400695</v>
      </c>
      <c r="K106">
        <v>0.52307091991025301</v>
      </c>
      <c r="L106" t="s">
        <v>984</v>
      </c>
      <c r="M106" t="str">
        <f>HYPERLINK("../../3.KEGG_map/SCI_III-vs-NC-Up/rno04666.html","rno04666")</f>
        <v>rno04666</v>
      </c>
    </row>
    <row r="107" spans="1:13" x14ac:dyDescent="0.25">
      <c r="A107" t="s">
        <v>350</v>
      </c>
      <c r="B107" t="s">
        <v>351</v>
      </c>
      <c r="C107" t="s">
        <v>123</v>
      </c>
      <c r="D107" t="s">
        <v>162</v>
      </c>
      <c r="E107">
        <v>4</v>
      </c>
      <c r="F107">
        <v>201</v>
      </c>
      <c r="G107">
        <v>65</v>
      </c>
      <c r="H107">
        <v>2681</v>
      </c>
      <c r="I107">
        <v>0.73080941334010896</v>
      </c>
      <c r="J107">
        <v>0.98558586947165205</v>
      </c>
      <c r="K107">
        <v>0.82081898201301196</v>
      </c>
      <c r="L107" t="s">
        <v>985</v>
      </c>
      <c r="M107" t="str">
        <f>HYPERLINK("../../3.KEGG_map/SCI_III-vs-NC-Up/rno04668.html","rno04668")</f>
        <v>rno04668</v>
      </c>
    </row>
    <row r="108" spans="1:13" x14ac:dyDescent="0.25">
      <c r="A108" t="s">
        <v>353</v>
      </c>
      <c r="B108" t="s">
        <v>354</v>
      </c>
      <c r="C108" t="s">
        <v>150</v>
      </c>
      <c r="D108" t="s">
        <v>188</v>
      </c>
      <c r="E108">
        <v>4</v>
      </c>
      <c r="F108">
        <v>201</v>
      </c>
      <c r="G108">
        <v>63</v>
      </c>
      <c r="H108">
        <v>2681</v>
      </c>
      <c r="I108">
        <v>0.707583015819783</v>
      </c>
      <c r="J108">
        <v>0.98558586947165205</v>
      </c>
      <c r="K108">
        <v>0.84687672747374199</v>
      </c>
      <c r="L108" t="s">
        <v>986</v>
      </c>
      <c r="M108" t="str">
        <f>HYPERLINK("../../3.KEGG_map/SCI_III-vs-NC-Up/rno04670.html","rno04670")</f>
        <v>rno04670</v>
      </c>
    </row>
    <row r="109" spans="1:13" x14ac:dyDescent="0.25">
      <c r="A109" t="s">
        <v>359</v>
      </c>
      <c r="B109" t="s">
        <v>360</v>
      </c>
      <c r="C109" t="s">
        <v>150</v>
      </c>
      <c r="D109" t="s">
        <v>358</v>
      </c>
      <c r="E109">
        <v>8</v>
      </c>
      <c r="F109">
        <v>201</v>
      </c>
      <c r="G109">
        <v>77</v>
      </c>
      <c r="H109">
        <v>2681</v>
      </c>
      <c r="I109">
        <v>0.216320729499199</v>
      </c>
      <c r="J109">
        <v>0.98558586947165205</v>
      </c>
      <c r="K109">
        <v>1.38579828132067</v>
      </c>
      <c r="L109" t="s">
        <v>987</v>
      </c>
      <c r="M109" t="str">
        <f>HYPERLINK("../../3.KEGG_map/SCI_III-vs-NC-Up/rno04713.html","rno04713")</f>
        <v>rno04713</v>
      </c>
    </row>
    <row r="110" spans="1:13" x14ac:dyDescent="0.25">
      <c r="A110" t="s">
        <v>362</v>
      </c>
      <c r="B110" t="s">
        <v>363</v>
      </c>
      <c r="C110" t="s">
        <v>150</v>
      </c>
      <c r="D110" t="s">
        <v>358</v>
      </c>
      <c r="E110">
        <v>9</v>
      </c>
      <c r="F110">
        <v>201</v>
      </c>
      <c r="G110">
        <v>74</v>
      </c>
      <c r="H110">
        <v>2681</v>
      </c>
      <c r="I110">
        <v>9.8404442264042602E-2</v>
      </c>
      <c r="J110">
        <v>0.98558586947165205</v>
      </c>
      <c r="K110">
        <v>1.6222267043162599</v>
      </c>
      <c r="L110" t="s">
        <v>988</v>
      </c>
      <c r="M110" t="str">
        <f>HYPERLINK("../../3.KEGG_map/SCI_III-vs-NC-Up/rno04714.html","rno04714")</f>
        <v>rno04714</v>
      </c>
    </row>
    <row r="111" spans="1:13" x14ac:dyDescent="0.25">
      <c r="A111" t="s">
        <v>365</v>
      </c>
      <c r="B111" t="s">
        <v>366</v>
      </c>
      <c r="C111" t="s">
        <v>150</v>
      </c>
      <c r="D111" t="s">
        <v>367</v>
      </c>
      <c r="E111">
        <v>8</v>
      </c>
      <c r="F111">
        <v>201</v>
      </c>
      <c r="G111">
        <v>77</v>
      </c>
      <c r="H111">
        <v>2681</v>
      </c>
      <c r="I111">
        <v>0.216320729499199</v>
      </c>
      <c r="J111">
        <v>0.98558586947165205</v>
      </c>
      <c r="K111">
        <v>1.38579828132067</v>
      </c>
      <c r="L111" t="s">
        <v>989</v>
      </c>
      <c r="M111" t="str">
        <f>HYPERLINK("../../3.KEGG_map/SCI_III-vs-NC-Up/rno04720.html","rno04720")</f>
        <v>rno04720</v>
      </c>
    </row>
    <row r="112" spans="1:13" x14ac:dyDescent="0.25">
      <c r="A112" t="s">
        <v>789</v>
      </c>
      <c r="B112" t="s">
        <v>790</v>
      </c>
      <c r="C112" t="s">
        <v>150</v>
      </c>
      <c r="D112" t="s">
        <v>367</v>
      </c>
      <c r="E112">
        <v>1</v>
      </c>
      <c r="F112">
        <v>201</v>
      </c>
      <c r="G112">
        <v>27</v>
      </c>
      <c r="H112">
        <v>2681</v>
      </c>
      <c r="I112">
        <v>0.87934612338913698</v>
      </c>
      <c r="J112">
        <v>0.98558586947165205</v>
      </c>
      <c r="K112">
        <v>0.49401142435968298</v>
      </c>
      <c r="L112" t="s">
        <v>990</v>
      </c>
      <c r="M112" t="str">
        <f>HYPERLINK("../../3.KEGG_map/SCI_III-vs-NC-Up/rno04721.html","rno04721")</f>
        <v>rno04721</v>
      </c>
    </row>
    <row r="113" spans="1:13" x14ac:dyDescent="0.25">
      <c r="A113" t="s">
        <v>369</v>
      </c>
      <c r="B113" t="s">
        <v>370</v>
      </c>
      <c r="C113" t="s">
        <v>150</v>
      </c>
      <c r="D113" t="s">
        <v>367</v>
      </c>
      <c r="E113">
        <v>11</v>
      </c>
      <c r="F113">
        <v>201</v>
      </c>
      <c r="G113">
        <v>90</v>
      </c>
      <c r="H113">
        <v>2681</v>
      </c>
      <c r="I113">
        <v>7.0150440137199094E-2</v>
      </c>
      <c r="J113">
        <v>0.98558586947165205</v>
      </c>
      <c r="K113">
        <v>1.6302377003869499</v>
      </c>
      <c r="L113" t="s">
        <v>991</v>
      </c>
      <c r="M113" t="str">
        <f>HYPERLINK("../../3.KEGG_map/SCI_III-vs-NC-Up/rno04722.html","rno04722")</f>
        <v>rno04722</v>
      </c>
    </row>
    <row r="114" spans="1:13" x14ac:dyDescent="0.25">
      <c r="A114" t="s">
        <v>372</v>
      </c>
      <c r="B114" t="s">
        <v>373</v>
      </c>
      <c r="C114" t="s">
        <v>150</v>
      </c>
      <c r="D114" t="s">
        <v>367</v>
      </c>
      <c r="E114">
        <v>6</v>
      </c>
      <c r="F114">
        <v>201</v>
      </c>
      <c r="G114">
        <v>54</v>
      </c>
      <c r="H114">
        <v>2681</v>
      </c>
      <c r="I114">
        <v>0.21473528203540501</v>
      </c>
      <c r="J114">
        <v>0.98558586947165205</v>
      </c>
      <c r="K114">
        <v>1.4820342730790499</v>
      </c>
      <c r="L114" t="s">
        <v>992</v>
      </c>
      <c r="M114" t="str">
        <f>HYPERLINK("../../3.KEGG_map/SCI_III-vs-NC-Up/rno04723.html","rno04723")</f>
        <v>rno04723</v>
      </c>
    </row>
    <row r="115" spans="1:13" x14ac:dyDescent="0.25">
      <c r="A115" t="s">
        <v>375</v>
      </c>
      <c r="B115" t="s">
        <v>376</v>
      </c>
      <c r="C115" t="s">
        <v>150</v>
      </c>
      <c r="D115" t="s">
        <v>367</v>
      </c>
      <c r="E115">
        <v>11</v>
      </c>
      <c r="F115">
        <v>201</v>
      </c>
      <c r="G115">
        <v>77</v>
      </c>
      <c r="H115">
        <v>2681</v>
      </c>
      <c r="I115">
        <v>2.6388004022461699E-2</v>
      </c>
      <c r="J115">
        <v>0.98558586947165205</v>
      </c>
      <c r="K115">
        <v>1.9054726368159201</v>
      </c>
      <c r="L115" t="s">
        <v>993</v>
      </c>
      <c r="M115" t="str">
        <f>HYPERLINK("../../3.KEGG_map/SCI_III-vs-NC-Up/rno04724.html","rno04724")</f>
        <v>rno04724</v>
      </c>
    </row>
    <row r="116" spans="1:13" x14ac:dyDescent="0.25">
      <c r="A116" t="s">
        <v>378</v>
      </c>
      <c r="B116" t="s">
        <v>379</v>
      </c>
      <c r="C116" t="s">
        <v>150</v>
      </c>
      <c r="D116" t="s">
        <v>367</v>
      </c>
      <c r="E116">
        <v>7</v>
      </c>
      <c r="F116">
        <v>201</v>
      </c>
      <c r="G116">
        <v>61</v>
      </c>
      <c r="H116">
        <v>2681</v>
      </c>
      <c r="I116">
        <v>0.168681639921857</v>
      </c>
      <c r="J116">
        <v>0.98558586947165205</v>
      </c>
      <c r="K116">
        <v>1.53062556072099</v>
      </c>
      <c r="L116" t="s">
        <v>994</v>
      </c>
      <c r="M116" t="str">
        <f>HYPERLINK("../../3.KEGG_map/SCI_III-vs-NC-Up/rno04725.html","rno04725")</f>
        <v>rno04725</v>
      </c>
    </row>
    <row r="117" spans="1:13" x14ac:dyDescent="0.25">
      <c r="A117" t="s">
        <v>381</v>
      </c>
      <c r="B117" t="s">
        <v>382</v>
      </c>
      <c r="C117" t="s">
        <v>150</v>
      </c>
      <c r="D117" t="s">
        <v>367</v>
      </c>
      <c r="E117">
        <v>7</v>
      </c>
      <c r="F117">
        <v>201</v>
      </c>
      <c r="G117">
        <v>59</v>
      </c>
      <c r="H117">
        <v>2681</v>
      </c>
      <c r="I117">
        <v>0.14911643131903499</v>
      </c>
      <c r="J117">
        <v>0.98558586947165205</v>
      </c>
      <c r="K117">
        <v>1.5825111729488199</v>
      </c>
      <c r="L117" t="s">
        <v>995</v>
      </c>
      <c r="M117" t="str">
        <f>HYPERLINK("../../3.KEGG_map/SCI_III-vs-NC-Up/rno04726.html","rno04726")</f>
        <v>rno04726</v>
      </c>
    </row>
    <row r="118" spans="1:13" x14ac:dyDescent="0.25">
      <c r="A118" t="s">
        <v>384</v>
      </c>
      <c r="B118" t="s">
        <v>385</v>
      </c>
      <c r="C118" t="s">
        <v>150</v>
      </c>
      <c r="D118" t="s">
        <v>367</v>
      </c>
      <c r="E118">
        <v>2</v>
      </c>
      <c r="F118">
        <v>201</v>
      </c>
      <c r="G118">
        <v>35</v>
      </c>
      <c r="H118">
        <v>2681</v>
      </c>
      <c r="I118">
        <v>0.75115103758708901</v>
      </c>
      <c r="J118">
        <v>0.98558586947165205</v>
      </c>
      <c r="K118">
        <v>0.762189054726368</v>
      </c>
      <c r="L118" t="s">
        <v>996</v>
      </c>
      <c r="M118" t="str">
        <f>HYPERLINK("../../3.KEGG_map/SCI_III-vs-NC-Up/rno04727.html","rno04727")</f>
        <v>rno04727</v>
      </c>
    </row>
    <row r="119" spans="1:13" x14ac:dyDescent="0.25">
      <c r="A119" t="s">
        <v>387</v>
      </c>
      <c r="B119" t="s">
        <v>388</v>
      </c>
      <c r="C119" t="s">
        <v>150</v>
      </c>
      <c r="D119" t="s">
        <v>367</v>
      </c>
      <c r="E119">
        <v>9</v>
      </c>
      <c r="F119">
        <v>201</v>
      </c>
      <c r="G119">
        <v>85</v>
      </c>
      <c r="H119">
        <v>2681</v>
      </c>
      <c r="I119">
        <v>0.182827345350314</v>
      </c>
      <c r="J119">
        <v>0.98558586947165205</v>
      </c>
      <c r="K119">
        <v>1.4122914837576801</v>
      </c>
      <c r="L119" t="s">
        <v>997</v>
      </c>
      <c r="M119" t="str">
        <f>HYPERLINK("../../3.KEGG_map/SCI_III-vs-NC-Up/rno04728.html","rno04728")</f>
        <v>rno04728</v>
      </c>
    </row>
    <row r="120" spans="1:13" x14ac:dyDescent="0.25">
      <c r="A120" t="s">
        <v>390</v>
      </c>
      <c r="B120" t="s">
        <v>391</v>
      </c>
      <c r="C120" t="s">
        <v>150</v>
      </c>
      <c r="D120" t="s">
        <v>367</v>
      </c>
      <c r="E120">
        <v>5</v>
      </c>
      <c r="F120">
        <v>201</v>
      </c>
      <c r="G120">
        <v>48</v>
      </c>
      <c r="H120">
        <v>2681</v>
      </c>
      <c r="I120">
        <v>0.28928988862251398</v>
      </c>
      <c r="J120">
        <v>0.98558586947165205</v>
      </c>
      <c r="K120">
        <v>1.3894071310116101</v>
      </c>
      <c r="L120" t="s">
        <v>998</v>
      </c>
      <c r="M120" t="str">
        <f>HYPERLINK("../../3.KEGG_map/SCI_III-vs-NC-Up/rno04730.html","rno04730")</f>
        <v>rno04730</v>
      </c>
    </row>
    <row r="121" spans="1:13" x14ac:dyDescent="0.25">
      <c r="A121" t="s">
        <v>999</v>
      </c>
      <c r="B121" t="s">
        <v>1000</v>
      </c>
      <c r="C121" t="s">
        <v>150</v>
      </c>
      <c r="D121" t="s">
        <v>395</v>
      </c>
      <c r="E121">
        <v>4</v>
      </c>
      <c r="F121">
        <v>201</v>
      </c>
      <c r="G121">
        <v>20</v>
      </c>
      <c r="H121">
        <v>2681</v>
      </c>
      <c r="I121">
        <v>5.74501562921991E-2</v>
      </c>
      <c r="J121">
        <v>0.98558586947165205</v>
      </c>
      <c r="K121">
        <v>2.6676616915422899</v>
      </c>
      <c r="L121" t="s">
        <v>1001</v>
      </c>
      <c r="M121" t="str">
        <f>HYPERLINK("../../3.KEGG_map/SCI_III-vs-NC-Up/rno04740.html","rno04740")</f>
        <v>rno04740</v>
      </c>
    </row>
    <row r="122" spans="1:13" x14ac:dyDescent="0.25">
      <c r="A122" t="s">
        <v>396</v>
      </c>
      <c r="B122" t="s">
        <v>397</v>
      </c>
      <c r="C122" t="s">
        <v>150</v>
      </c>
      <c r="D122" t="s">
        <v>395</v>
      </c>
      <c r="E122">
        <v>5</v>
      </c>
      <c r="F122">
        <v>201</v>
      </c>
      <c r="G122">
        <v>52</v>
      </c>
      <c r="H122">
        <v>2681</v>
      </c>
      <c r="I122">
        <v>0.35010535079890398</v>
      </c>
      <c r="J122">
        <v>0.98558586947165205</v>
      </c>
      <c r="K122">
        <v>1.2825296593953299</v>
      </c>
      <c r="L122" t="s">
        <v>1002</v>
      </c>
      <c r="M122" t="str">
        <f>HYPERLINK("../../3.KEGG_map/SCI_III-vs-NC-Up/rno04750.html","rno04750")</f>
        <v>rno04750</v>
      </c>
    </row>
    <row r="123" spans="1:13" x14ac:dyDescent="0.25">
      <c r="A123" t="s">
        <v>399</v>
      </c>
      <c r="B123" t="s">
        <v>400</v>
      </c>
      <c r="C123" t="s">
        <v>206</v>
      </c>
      <c r="D123" t="s">
        <v>401</v>
      </c>
      <c r="E123">
        <v>19</v>
      </c>
      <c r="F123">
        <v>201</v>
      </c>
      <c r="G123">
        <v>174</v>
      </c>
      <c r="H123">
        <v>2681</v>
      </c>
      <c r="I123">
        <v>5.75730061486543E-2</v>
      </c>
      <c r="J123">
        <v>0.98558586947165205</v>
      </c>
      <c r="K123">
        <v>1.45648195802596</v>
      </c>
      <c r="L123" t="s">
        <v>1003</v>
      </c>
      <c r="M123" t="str">
        <f>HYPERLINK("../../3.KEGG_map/SCI_III-vs-NC-Up/rno04810.html","rno04810")</f>
        <v>rno04810</v>
      </c>
    </row>
    <row r="124" spans="1:13" x14ac:dyDescent="0.25">
      <c r="A124" t="s">
        <v>403</v>
      </c>
      <c r="B124" t="s">
        <v>404</v>
      </c>
      <c r="C124" t="s">
        <v>150</v>
      </c>
      <c r="D124" t="s">
        <v>151</v>
      </c>
      <c r="E124">
        <v>8</v>
      </c>
      <c r="F124">
        <v>201</v>
      </c>
      <c r="G124">
        <v>100</v>
      </c>
      <c r="H124">
        <v>2681</v>
      </c>
      <c r="I124">
        <v>0.47899446713860899</v>
      </c>
      <c r="J124">
        <v>0.98558586947165205</v>
      </c>
      <c r="K124">
        <v>1.0670646766169201</v>
      </c>
      <c r="L124" t="s">
        <v>1004</v>
      </c>
      <c r="M124" t="str">
        <f>HYPERLINK("../../3.KEGG_map/SCI_III-vs-NC-Up/rno04910.html","rno04910")</f>
        <v>rno04910</v>
      </c>
    </row>
    <row r="125" spans="1:13" x14ac:dyDescent="0.25">
      <c r="A125" t="s">
        <v>406</v>
      </c>
      <c r="B125" t="s">
        <v>407</v>
      </c>
      <c r="C125" t="s">
        <v>150</v>
      </c>
      <c r="D125" t="s">
        <v>151</v>
      </c>
      <c r="E125">
        <v>6</v>
      </c>
      <c r="F125">
        <v>201</v>
      </c>
      <c r="G125">
        <v>56</v>
      </c>
      <c r="H125">
        <v>2681</v>
      </c>
      <c r="I125">
        <v>0.23975034491886801</v>
      </c>
      <c r="J125">
        <v>0.98558586947165205</v>
      </c>
      <c r="K125">
        <v>1.4291044776119399</v>
      </c>
      <c r="L125" t="s">
        <v>1005</v>
      </c>
      <c r="M125" t="str">
        <f>HYPERLINK("../../3.KEGG_map/SCI_III-vs-NC-Up/rno04911.html","rno04911")</f>
        <v>rno04911</v>
      </c>
    </row>
    <row r="126" spans="1:13" x14ac:dyDescent="0.25">
      <c r="A126" t="s">
        <v>409</v>
      </c>
      <c r="B126" t="s">
        <v>410</v>
      </c>
      <c r="C126" t="s">
        <v>150</v>
      </c>
      <c r="D126" t="s">
        <v>151</v>
      </c>
      <c r="E126">
        <v>9</v>
      </c>
      <c r="F126">
        <v>201</v>
      </c>
      <c r="G126">
        <v>83</v>
      </c>
      <c r="H126">
        <v>2681</v>
      </c>
      <c r="I126">
        <v>0.16550339408311601</v>
      </c>
      <c r="J126">
        <v>0.98558586947165205</v>
      </c>
      <c r="K126">
        <v>1.44632260384823</v>
      </c>
      <c r="L126" t="s">
        <v>1006</v>
      </c>
      <c r="M126" t="str">
        <f>HYPERLINK("../../3.KEGG_map/SCI_III-vs-NC-Up/rno04912.html","rno04912")</f>
        <v>rno04912</v>
      </c>
    </row>
    <row r="127" spans="1:13" x14ac:dyDescent="0.25">
      <c r="A127" t="s">
        <v>799</v>
      </c>
      <c r="B127" t="s">
        <v>800</v>
      </c>
      <c r="C127" t="s">
        <v>150</v>
      </c>
      <c r="D127" t="s">
        <v>151</v>
      </c>
      <c r="E127">
        <v>2</v>
      </c>
      <c r="F127">
        <v>201</v>
      </c>
      <c r="G127">
        <v>59</v>
      </c>
      <c r="H127">
        <v>2681</v>
      </c>
      <c r="I127">
        <v>0.94364765726382005</v>
      </c>
      <c r="J127">
        <v>0.99495526333406203</v>
      </c>
      <c r="K127">
        <v>0.45214604941394698</v>
      </c>
      <c r="L127" t="s">
        <v>1007</v>
      </c>
      <c r="M127" t="str">
        <f>HYPERLINK("../../3.KEGG_map/SCI_III-vs-NC-Up/rno04914.html","rno04914")</f>
        <v>rno04914</v>
      </c>
    </row>
    <row r="128" spans="1:13" x14ac:dyDescent="0.25">
      <c r="A128" t="s">
        <v>415</v>
      </c>
      <c r="B128" t="s">
        <v>416</v>
      </c>
      <c r="C128" t="s">
        <v>150</v>
      </c>
      <c r="D128" t="s">
        <v>151</v>
      </c>
      <c r="E128">
        <v>5</v>
      </c>
      <c r="F128">
        <v>201</v>
      </c>
      <c r="G128">
        <v>67</v>
      </c>
      <c r="H128">
        <v>2681</v>
      </c>
      <c r="I128">
        <v>0.57272815840098401</v>
      </c>
      <c r="J128">
        <v>0.98558586947165205</v>
      </c>
      <c r="K128">
        <v>0.995396153560555</v>
      </c>
      <c r="L128" t="s">
        <v>1008</v>
      </c>
      <c r="M128" t="str">
        <f>HYPERLINK("../../3.KEGG_map/SCI_III-vs-NC-Up/rno04915.html","rno04915")</f>
        <v>rno04915</v>
      </c>
    </row>
    <row r="129" spans="1:13" x14ac:dyDescent="0.25">
      <c r="A129" t="s">
        <v>418</v>
      </c>
      <c r="B129" t="s">
        <v>419</v>
      </c>
      <c r="C129" t="s">
        <v>150</v>
      </c>
      <c r="D129" t="s">
        <v>151</v>
      </c>
      <c r="E129">
        <v>5</v>
      </c>
      <c r="F129">
        <v>201</v>
      </c>
      <c r="G129">
        <v>48</v>
      </c>
      <c r="H129">
        <v>2681</v>
      </c>
      <c r="I129">
        <v>0.28928988862251398</v>
      </c>
      <c r="J129">
        <v>0.98558586947165205</v>
      </c>
      <c r="K129">
        <v>1.3894071310116101</v>
      </c>
      <c r="L129" t="s">
        <v>1002</v>
      </c>
      <c r="M129" t="str">
        <f>HYPERLINK("../../3.KEGG_map/SCI_III-vs-NC-Up/rno04916.html","rno04916")</f>
        <v>rno04916</v>
      </c>
    </row>
    <row r="130" spans="1:13" x14ac:dyDescent="0.25">
      <c r="A130" t="s">
        <v>803</v>
      </c>
      <c r="B130" t="s">
        <v>804</v>
      </c>
      <c r="C130" t="s">
        <v>150</v>
      </c>
      <c r="D130" t="s">
        <v>151</v>
      </c>
      <c r="E130">
        <v>1</v>
      </c>
      <c r="F130">
        <v>201</v>
      </c>
      <c r="G130">
        <v>33</v>
      </c>
      <c r="H130">
        <v>2681</v>
      </c>
      <c r="I130">
        <v>0.92481700187045301</v>
      </c>
      <c r="J130">
        <v>0.99495526333406203</v>
      </c>
      <c r="K130">
        <v>0.40419116538519501</v>
      </c>
      <c r="L130" t="s">
        <v>983</v>
      </c>
      <c r="M130" t="str">
        <f>HYPERLINK("../../3.KEGG_map/SCI_III-vs-NC-Up/rno04917.html","rno04917")</f>
        <v>rno04917</v>
      </c>
    </row>
    <row r="131" spans="1:13" x14ac:dyDescent="0.25">
      <c r="A131" t="s">
        <v>421</v>
      </c>
      <c r="B131" t="s">
        <v>422</v>
      </c>
      <c r="C131" t="s">
        <v>150</v>
      </c>
      <c r="D131" t="s">
        <v>151</v>
      </c>
      <c r="E131">
        <v>4</v>
      </c>
      <c r="F131">
        <v>201</v>
      </c>
      <c r="G131">
        <v>46</v>
      </c>
      <c r="H131">
        <v>2681</v>
      </c>
      <c r="I131">
        <v>0.45676374751673199</v>
      </c>
      <c r="J131">
        <v>0.98558586947165205</v>
      </c>
      <c r="K131">
        <v>1.15985290936621</v>
      </c>
      <c r="L131" t="s">
        <v>1009</v>
      </c>
      <c r="M131" t="str">
        <f>HYPERLINK("../../3.KEGG_map/SCI_III-vs-NC-Up/rno04918.html","rno04918")</f>
        <v>rno04918</v>
      </c>
    </row>
    <row r="132" spans="1:13" x14ac:dyDescent="0.25">
      <c r="A132" t="s">
        <v>424</v>
      </c>
      <c r="B132" t="s">
        <v>425</v>
      </c>
      <c r="C132" t="s">
        <v>150</v>
      </c>
      <c r="D132" t="s">
        <v>151</v>
      </c>
      <c r="E132">
        <v>6</v>
      </c>
      <c r="F132">
        <v>201</v>
      </c>
      <c r="G132">
        <v>88</v>
      </c>
      <c r="H132">
        <v>2681</v>
      </c>
      <c r="I132">
        <v>0.657595456538283</v>
      </c>
      <c r="J132">
        <v>0.98558586947165205</v>
      </c>
      <c r="K132">
        <v>0.90943012211668905</v>
      </c>
      <c r="L132" t="s">
        <v>1010</v>
      </c>
      <c r="M132" t="str">
        <f>HYPERLINK("../../3.KEGG_map/SCI_III-vs-NC-Up/rno04919.html","rno04919")</f>
        <v>rno04919</v>
      </c>
    </row>
    <row r="133" spans="1:13" x14ac:dyDescent="0.25">
      <c r="A133" t="s">
        <v>807</v>
      </c>
      <c r="B133" t="s">
        <v>808</v>
      </c>
      <c r="C133" t="s">
        <v>150</v>
      </c>
      <c r="D133" t="s">
        <v>151</v>
      </c>
      <c r="E133">
        <v>2</v>
      </c>
      <c r="F133">
        <v>201</v>
      </c>
      <c r="G133">
        <v>30</v>
      </c>
      <c r="H133">
        <v>2681</v>
      </c>
      <c r="I133">
        <v>0.67039433349856803</v>
      </c>
      <c r="J133">
        <v>0.98558586947165205</v>
      </c>
      <c r="K133">
        <v>0.88922056384742898</v>
      </c>
      <c r="L133" t="s">
        <v>1011</v>
      </c>
      <c r="M133" t="str">
        <f>HYPERLINK("../../3.KEGG_map/SCI_III-vs-NC-Up/rno04920.html","rno04920")</f>
        <v>rno04920</v>
      </c>
    </row>
    <row r="134" spans="1:13" x14ac:dyDescent="0.25">
      <c r="A134" t="s">
        <v>427</v>
      </c>
      <c r="B134" t="s">
        <v>428</v>
      </c>
      <c r="C134" t="s">
        <v>150</v>
      </c>
      <c r="D134" t="s">
        <v>151</v>
      </c>
      <c r="E134">
        <v>14</v>
      </c>
      <c r="F134">
        <v>201</v>
      </c>
      <c r="G134">
        <v>140</v>
      </c>
      <c r="H134">
        <v>2681</v>
      </c>
      <c r="I134">
        <v>0.160232105370059</v>
      </c>
      <c r="J134">
        <v>0.98558586947165205</v>
      </c>
      <c r="K134">
        <v>1.3338308457711401</v>
      </c>
      <c r="L134" t="s">
        <v>1012</v>
      </c>
      <c r="M134" t="str">
        <f>HYPERLINK("../../3.KEGG_map/SCI_III-vs-NC-Up/rno04921.html","rno04921")</f>
        <v>rno04921</v>
      </c>
    </row>
    <row r="135" spans="1:13" x14ac:dyDescent="0.25">
      <c r="A135" t="s">
        <v>430</v>
      </c>
      <c r="B135" t="s">
        <v>431</v>
      </c>
      <c r="C135" t="s">
        <v>150</v>
      </c>
      <c r="D135" t="s">
        <v>151</v>
      </c>
      <c r="E135">
        <v>12</v>
      </c>
      <c r="F135">
        <v>201</v>
      </c>
      <c r="G135">
        <v>88</v>
      </c>
      <c r="H135">
        <v>2681</v>
      </c>
      <c r="I135">
        <v>2.9024561356468598E-2</v>
      </c>
      <c r="J135">
        <v>0.98558586947165205</v>
      </c>
      <c r="K135">
        <v>1.8188602442333801</v>
      </c>
      <c r="L135" t="s">
        <v>1013</v>
      </c>
      <c r="M135" t="str">
        <f>HYPERLINK("../../3.KEGG_map/SCI_III-vs-NC-Up/rno04922.html","rno04922")</f>
        <v>rno04922</v>
      </c>
    </row>
    <row r="136" spans="1:13" x14ac:dyDescent="0.25">
      <c r="A136" t="s">
        <v>433</v>
      </c>
      <c r="B136" t="s">
        <v>434</v>
      </c>
      <c r="C136" t="s">
        <v>150</v>
      </c>
      <c r="D136" t="s">
        <v>151</v>
      </c>
      <c r="E136">
        <v>6</v>
      </c>
      <c r="F136">
        <v>201</v>
      </c>
      <c r="G136">
        <v>65</v>
      </c>
      <c r="H136">
        <v>2681</v>
      </c>
      <c r="I136">
        <v>0.36036389201210201</v>
      </c>
      <c r="J136">
        <v>0.98558586947165205</v>
      </c>
      <c r="K136">
        <v>1.23122847301952</v>
      </c>
      <c r="L136" t="s">
        <v>1014</v>
      </c>
      <c r="M136" t="str">
        <f>HYPERLINK("../../3.KEGG_map/SCI_III-vs-NC-Up/rno04924.html","rno04924")</f>
        <v>rno04924</v>
      </c>
    </row>
    <row r="137" spans="1:13" x14ac:dyDescent="0.25">
      <c r="A137" t="s">
        <v>435</v>
      </c>
      <c r="B137" t="s">
        <v>436</v>
      </c>
      <c r="C137" t="s">
        <v>150</v>
      </c>
      <c r="D137" t="s">
        <v>151</v>
      </c>
      <c r="E137">
        <v>6</v>
      </c>
      <c r="F137">
        <v>201</v>
      </c>
      <c r="G137">
        <v>62</v>
      </c>
      <c r="H137">
        <v>2681</v>
      </c>
      <c r="I137">
        <v>0.319161451034986</v>
      </c>
      <c r="J137">
        <v>0.98558586947165205</v>
      </c>
      <c r="K137">
        <v>1.29080404429466</v>
      </c>
      <c r="L137" t="s">
        <v>1015</v>
      </c>
      <c r="M137" t="str">
        <f>HYPERLINK("../../3.KEGG_map/SCI_III-vs-NC-Up/rno04925.html","rno04925")</f>
        <v>rno04925</v>
      </c>
    </row>
    <row r="138" spans="1:13" x14ac:dyDescent="0.25">
      <c r="A138" t="s">
        <v>438</v>
      </c>
      <c r="B138" t="s">
        <v>439</v>
      </c>
      <c r="C138" t="s">
        <v>150</v>
      </c>
      <c r="D138" t="s">
        <v>151</v>
      </c>
      <c r="E138">
        <v>6</v>
      </c>
      <c r="F138">
        <v>201</v>
      </c>
      <c r="G138">
        <v>104</v>
      </c>
      <c r="H138">
        <v>2681</v>
      </c>
      <c r="I138">
        <v>0.80552425501198999</v>
      </c>
      <c r="J138">
        <v>0.98558586947165205</v>
      </c>
      <c r="K138">
        <v>0.76951779563719902</v>
      </c>
      <c r="L138" t="s">
        <v>1016</v>
      </c>
      <c r="M138" t="str">
        <f>HYPERLINK("../../3.KEGG_map/SCI_III-vs-NC-Up/rno04926.html","rno04926")</f>
        <v>rno04926</v>
      </c>
    </row>
    <row r="139" spans="1:13" x14ac:dyDescent="0.25">
      <c r="A139" t="s">
        <v>441</v>
      </c>
      <c r="B139" t="s">
        <v>442</v>
      </c>
      <c r="C139" t="s">
        <v>150</v>
      </c>
      <c r="D139" t="s">
        <v>151</v>
      </c>
      <c r="E139">
        <v>4</v>
      </c>
      <c r="F139">
        <v>201</v>
      </c>
      <c r="G139">
        <v>49</v>
      </c>
      <c r="H139">
        <v>2681</v>
      </c>
      <c r="I139">
        <v>0.50704381320583403</v>
      </c>
      <c r="J139">
        <v>0.98558586947165205</v>
      </c>
      <c r="K139">
        <v>1.0888415067519499</v>
      </c>
      <c r="L139" t="s">
        <v>1009</v>
      </c>
      <c r="M139" t="str">
        <f>HYPERLINK("../../3.KEGG_map/SCI_III-vs-NC-Up/rno04927.html","rno04927")</f>
        <v>rno04927</v>
      </c>
    </row>
    <row r="140" spans="1:13" x14ac:dyDescent="0.25">
      <c r="A140" t="s">
        <v>447</v>
      </c>
      <c r="B140" t="s">
        <v>448</v>
      </c>
      <c r="C140" t="s">
        <v>115</v>
      </c>
      <c r="D140" t="s">
        <v>446</v>
      </c>
      <c r="E140">
        <v>3</v>
      </c>
      <c r="F140">
        <v>201</v>
      </c>
      <c r="G140">
        <v>51</v>
      </c>
      <c r="H140">
        <v>2681</v>
      </c>
      <c r="I140">
        <v>0.74892924182187404</v>
      </c>
      <c r="J140">
        <v>0.98558586947165205</v>
      </c>
      <c r="K140">
        <v>0.78460637986537896</v>
      </c>
      <c r="L140" t="s">
        <v>1017</v>
      </c>
      <c r="M140" t="str">
        <f>HYPERLINK("../../3.KEGG_map/SCI_III-vs-NC-Up/rno04931.html","rno04931")</f>
        <v>rno04931</v>
      </c>
    </row>
    <row r="141" spans="1:13" x14ac:dyDescent="0.25">
      <c r="A141" t="s">
        <v>450</v>
      </c>
      <c r="B141" t="s">
        <v>451</v>
      </c>
      <c r="C141" t="s">
        <v>115</v>
      </c>
      <c r="D141" t="s">
        <v>446</v>
      </c>
      <c r="E141">
        <v>5</v>
      </c>
      <c r="F141">
        <v>201</v>
      </c>
      <c r="G141">
        <v>59</v>
      </c>
      <c r="H141">
        <v>2681</v>
      </c>
      <c r="I141">
        <v>0.45718511234370701</v>
      </c>
      <c r="J141">
        <v>0.98558586947165205</v>
      </c>
      <c r="K141">
        <v>1.13036512353487</v>
      </c>
      <c r="L141" t="s">
        <v>1018</v>
      </c>
      <c r="M141" t="str">
        <f>HYPERLINK("../../3.KEGG_map/SCI_III-vs-NC-Up/rno04932.html","rno04932")</f>
        <v>rno04932</v>
      </c>
    </row>
    <row r="142" spans="1:13" x14ac:dyDescent="0.25">
      <c r="A142" t="s">
        <v>453</v>
      </c>
      <c r="B142" t="s">
        <v>454</v>
      </c>
      <c r="C142" t="s">
        <v>115</v>
      </c>
      <c r="D142" t="s">
        <v>446</v>
      </c>
      <c r="E142">
        <v>5</v>
      </c>
      <c r="F142">
        <v>201</v>
      </c>
      <c r="G142">
        <v>94</v>
      </c>
      <c r="H142">
        <v>2681</v>
      </c>
      <c r="I142">
        <v>0.84650592093236698</v>
      </c>
      <c r="J142">
        <v>0.98558586947165205</v>
      </c>
      <c r="K142">
        <v>0.70948449243145995</v>
      </c>
      <c r="L142" t="s">
        <v>1019</v>
      </c>
      <c r="M142" t="str">
        <f>HYPERLINK("../../3.KEGG_map/SCI_III-vs-NC-Up/rno04933.html","rno04933")</f>
        <v>rno04933</v>
      </c>
    </row>
    <row r="143" spans="1:13" x14ac:dyDescent="0.25">
      <c r="A143" t="s">
        <v>456</v>
      </c>
      <c r="B143" t="s">
        <v>457</v>
      </c>
      <c r="C143" t="s">
        <v>115</v>
      </c>
      <c r="D143" t="s">
        <v>446</v>
      </c>
      <c r="E143">
        <v>7</v>
      </c>
      <c r="F143">
        <v>201</v>
      </c>
      <c r="G143">
        <v>79</v>
      </c>
      <c r="H143">
        <v>2681</v>
      </c>
      <c r="I143">
        <v>0.38032949315175801</v>
      </c>
      <c r="J143">
        <v>0.98558586947165205</v>
      </c>
      <c r="K143">
        <v>1.18187543296177</v>
      </c>
      <c r="L143" t="s">
        <v>1020</v>
      </c>
      <c r="M143" t="str">
        <f>HYPERLINK("../../3.KEGG_map/SCI_III-vs-NC-Up/rno04934.html","rno04934")</f>
        <v>rno04934</v>
      </c>
    </row>
    <row r="144" spans="1:13" x14ac:dyDescent="0.25">
      <c r="A144" t="s">
        <v>822</v>
      </c>
      <c r="B144" t="s">
        <v>823</v>
      </c>
      <c r="C144" t="s">
        <v>150</v>
      </c>
      <c r="D144" t="s">
        <v>464</v>
      </c>
      <c r="E144">
        <v>1</v>
      </c>
      <c r="F144">
        <v>201</v>
      </c>
      <c r="G144">
        <v>23</v>
      </c>
      <c r="H144">
        <v>2681</v>
      </c>
      <c r="I144">
        <v>0.83471979848247602</v>
      </c>
      <c r="J144">
        <v>0.98558586947165205</v>
      </c>
      <c r="K144">
        <v>0.579926454683106</v>
      </c>
      <c r="L144" t="s">
        <v>1021</v>
      </c>
      <c r="M144" t="str">
        <f>HYPERLINK("../../3.KEGG_map/SCI_III-vs-NC-Up/rno04960.html","rno04960")</f>
        <v>rno04960</v>
      </c>
    </row>
    <row r="145" spans="1:13" x14ac:dyDescent="0.25">
      <c r="A145" t="s">
        <v>462</v>
      </c>
      <c r="B145" t="s">
        <v>463</v>
      </c>
      <c r="C145" t="s">
        <v>150</v>
      </c>
      <c r="D145" t="s">
        <v>464</v>
      </c>
      <c r="E145">
        <v>6</v>
      </c>
      <c r="F145">
        <v>201</v>
      </c>
      <c r="G145">
        <v>39</v>
      </c>
      <c r="H145">
        <v>2681</v>
      </c>
      <c r="I145">
        <v>6.7232309890227201E-2</v>
      </c>
      <c r="J145">
        <v>0.98558586947165205</v>
      </c>
      <c r="K145">
        <v>2.0520474550325298</v>
      </c>
      <c r="L145" t="s">
        <v>1022</v>
      </c>
      <c r="M145" t="str">
        <f>HYPERLINK("../../3.KEGG_map/SCI_III-vs-NC-Up/rno04961.html","rno04961")</f>
        <v>rno04961</v>
      </c>
    </row>
    <row r="146" spans="1:13" x14ac:dyDescent="0.25">
      <c r="A146" t="s">
        <v>466</v>
      </c>
      <c r="B146" t="s">
        <v>467</v>
      </c>
      <c r="C146" t="s">
        <v>150</v>
      </c>
      <c r="D146" t="s">
        <v>464</v>
      </c>
      <c r="E146">
        <v>1</v>
      </c>
      <c r="F146">
        <v>201</v>
      </c>
      <c r="G146">
        <v>13</v>
      </c>
      <c r="H146">
        <v>2681</v>
      </c>
      <c r="I146">
        <v>0.63776877692592504</v>
      </c>
      <c r="J146">
        <v>0.98558586947165205</v>
      </c>
      <c r="K146">
        <v>1.02602372751626</v>
      </c>
      <c r="L146" t="s">
        <v>1023</v>
      </c>
      <c r="M146" t="str">
        <f>HYPERLINK("../../3.KEGG_map/SCI_III-vs-NC-Up/rno04962.html","rno04962")</f>
        <v>rno04962</v>
      </c>
    </row>
    <row r="147" spans="1:13" x14ac:dyDescent="0.25">
      <c r="A147" t="s">
        <v>469</v>
      </c>
      <c r="B147" t="s">
        <v>470</v>
      </c>
      <c r="C147" t="s">
        <v>150</v>
      </c>
      <c r="D147" t="s">
        <v>471</v>
      </c>
      <c r="E147">
        <v>5</v>
      </c>
      <c r="F147">
        <v>201</v>
      </c>
      <c r="G147">
        <v>67</v>
      </c>
      <c r="H147">
        <v>2681</v>
      </c>
      <c r="I147">
        <v>0.57272815840098401</v>
      </c>
      <c r="J147">
        <v>0.98558586947165205</v>
      </c>
      <c r="K147">
        <v>0.995396153560555</v>
      </c>
      <c r="L147" t="s">
        <v>1024</v>
      </c>
      <c r="M147" t="str">
        <f>HYPERLINK("../../3.KEGG_map/SCI_III-vs-NC-Up/rno04970.html","rno04970")</f>
        <v>rno04970</v>
      </c>
    </row>
    <row r="148" spans="1:13" x14ac:dyDescent="0.25">
      <c r="A148" t="s">
        <v>473</v>
      </c>
      <c r="B148" t="s">
        <v>474</v>
      </c>
      <c r="C148" t="s">
        <v>150</v>
      </c>
      <c r="D148" t="s">
        <v>471</v>
      </c>
      <c r="E148">
        <v>6</v>
      </c>
      <c r="F148">
        <v>201</v>
      </c>
      <c r="G148">
        <v>49</v>
      </c>
      <c r="H148">
        <v>2681</v>
      </c>
      <c r="I148">
        <v>0.15681268639373599</v>
      </c>
      <c r="J148">
        <v>0.98558586947165205</v>
      </c>
      <c r="K148">
        <v>1.6332622601279301</v>
      </c>
      <c r="L148" t="s">
        <v>1025</v>
      </c>
      <c r="M148" t="str">
        <f>HYPERLINK("../../3.KEGG_map/SCI_III-vs-NC-Up/rno04971.html","rno04971")</f>
        <v>rno04971</v>
      </c>
    </row>
    <row r="149" spans="1:13" x14ac:dyDescent="0.25">
      <c r="A149" t="s">
        <v>476</v>
      </c>
      <c r="B149" t="s">
        <v>477</v>
      </c>
      <c r="C149" t="s">
        <v>150</v>
      </c>
      <c r="D149" t="s">
        <v>471</v>
      </c>
      <c r="E149">
        <v>5</v>
      </c>
      <c r="F149">
        <v>201</v>
      </c>
      <c r="G149">
        <v>55</v>
      </c>
      <c r="H149">
        <v>2681</v>
      </c>
      <c r="I149">
        <v>0.39622549668314599</v>
      </c>
      <c r="J149">
        <v>0.98558586947165205</v>
      </c>
      <c r="K149">
        <v>1.2125734961555901</v>
      </c>
      <c r="L149" t="s">
        <v>1024</v>
      </c>
      <c r="M149" t="str">
        <f>HYPERLINK("../../3.KEGG_map/SCI_III-vs-NC-Up/rno04972.html","rno04972")</f>
        <v>rno04972</v>
      </c>
    </row>
    <row r="150" spans="1:13" x14ac:dyDescent="0.25">
      <c r="A150" t="s">
        <v>482</v>
      </c>
      <c r="B150" t="s">
        <v>483</v>
      </c>
      <c r="C150" t="s">
        <v>150</v>
      </c>
      <c r="D150" t="s">
        <v>471</v>
      </c>
      <c r="E150">
        <v>1</v>
      </c>
      <c r="F150">
        <v>201</v>
      </c>
      <c r="G150">
        <v>8</v>
      </c>
      <c r="H150">
        <v>2681</v>
      </c>
      <c r="I150">
        <v>0.46436295232625102</v>
      </c>
      <c r="J150">
        <v>0.98558586947165205</v>
      </c>
      <c r="K150">
        <v>1.66728855721393</v>
      </c>
      <c r="L150" t="s">
        <v>484</v>
      </c>
      <c r="M150" t="str">
        <f>HYPERLINK("../../3.KEGG_map/SCI_III-vs-NC-Up/rno04977.html","rno04977")</f>
        <v>rno04977</v>
      </c>
    </row>
    <row r="151" spans="1:13" x14ac:dyDescent="0.25">
      <c r="A151" t="s">
        <v>485</v>
      </c>
      <c r="B151" t="s">
        <v>486</v>
      </c>
      <c r="C151" t="s">
        <v>150</v>
      </c>
      <c r="D151" t="s">
        <v>471</v>
      </c>
      <c r="E151">
        <v>2</v>
      </c>
      <c r="F151">
        <v>201</v>
      </c>
      <c r="G151">
        <v>11</v>
      </c>
      <c r="H151">
        <v>2681</v>
      </c>
      <c r="I151">
        <v>0.197174497145642</v>
      </c>
      <c r="J151">
        <v>0.98558586947165205</v>
      </c>
      <c r="K151">
        <v>2.4251469923111699</v>
      </c>
      <c r="L151" t="s">
        <v>1026</v>
      </c>
      <c r="M151" t="str">
        <f>HYPERLINK("../../3.KEGG_map/SCI_III-vs-NC-Up/rno04978.html","rno04978")</f>
        <v>rno04978</v>
      </c>
    </row>
    <row r="152" spans="1:13" x14ac:dyDescent="0.25">
      <c r="A152" t="s">
        <v>488</v>
      </c>
      <c r="B152" t="s">
        <v>489</v>
      </c>
      <c r="C152" t="s">
        <v>115</v>
      </c>
      <c r="D152" t="s">
        <v>490</v>
      </c>
      <c r="E152">
        <v>7</v>
      </c>
      <c r="F152">
        <v>201</v>
      </c>
      <c r="G152">
        <v>92</v>
      </c>
      <c r="H152">
        <v>2681</v>
      </c>
      <c r="I152">
        <v>0.54246278174071705</v>
      </c>
      <c r="J152">
        <v>0.98558586947165205</v>
      </c>
      <c r="K152">
        <v>1.01487129569544</v>
      </c>
      <c r="L152" t="s">
        <v>1027</v>
      </c>
      <c r="M152" t="str">
        <f>HYPERLINK("../../3.KEGG_map/SCI_III-vs-NC-Up/rno05010.html","rno05010")</f>
        <v>rno05010</v>
      </c>
    </row>
    <row r="153" spans="1:13" x14ac:dyDescent="0.25">
      <c r="A153" t="s">
        <v>491</v>
      </c>
      <c r="B153" t="s">
        <v>492</v>
      </c>
      <c r="C153" t="s">
        <v>115</v>
      </c>
      <c r="D153" t="s">
        <v>490</v>
      </c>
      <c r="E153">
        <v>5</v>
      </c>
      <c r="F153">
        <v>201</v>
      </c>
      <c r="G153">
        <v>30</v>
      </c>
      <c r="H153">
        <v>2681</v>
      </c>
      <c r="I153">
        <v>6.9068775097927498E-2</v>
      </c>
      <c r="J153">
        <v>0.98558586947165205</v>
      </c>
      <c r="K153">
        <v>2.2230514096185701</v>
      </c>
      <c r="L153" t="s">
        <v>1028</v>
      </c>
      <c r="M153" t="str">
        <f>HYPERLINK("../../3.KEGG_map/SCI_III-vs-NC-Up/rno05014.html","rno05014")</f>
        <v>rno05014</v>
      </c>
    </row>
    <row r="154" spans="1:13" x14ac:dyDescent="0.25">
      <c r="A154" t="s">
        <v>494</v>
      </c>
      <c r="B154" t="s">
        <v>495</v>
      </c>
      <c r="C154" t="s">
        <v>115</v>
      </c>
      <c r="D154" t="s">
        <v>490</v>
      </c>
      <c r="E154">
        <v>9</v>
      </c>
      <c r="F154">
        <v>201</v>
      </c>
      <c r="G154">
        <v>61</v>
      </c>
      <c r="H154">
        <v>2681</v>
      </c>
      <c r="I154">
        <v>3.55695064043186E-2</v>
      </c>
      <c r="J154">
        <v>0.98558586947165205</v>
      </c>
      <c r="K154">
        <v>1.96794714949841</v>
      </c>
      <c r="L154" t="s">
        <v>1029</v>
      </c>
      <c r="M154" t="str">
        <f>HYPERLINK("../../3.KEGG_map/SCI_III-vs-NC-Up/rno05016.html","rno05016")</f>
        <v>rno05016</v>
      </c>
    </row>
    <row r="155" spans="1:13" x14ac:dyDescent="0.25">
      <c r="A155" t="s">
        <v>499</v>
      </c>
      <c r="B155" t="s">
        <v>500</v>
      </c>
      <c r="C155" t="s">
        <v>115</v>
      </c>
      <c r="D155" t="s">
        <v>498</v>
      </c>
      <c r="E155">
        <v>3</v>
      </c>
      <c r="F155">
        <v>201</v>
      </c>
      <c r="G155">
        <v>45</v>
      </c>
      <c r="H155">
        <v>2681</v>
      </c>
      <c r="I155">
        <v>0.66782230990471303</v>
      </c>
      <c r="J155">
        <v>0.98558586947165205</v>
      </c>
      <c r="K155">
        <v>0.88922056384742898</v>
      </c>
      <c r="L155" t="s">
        <v>1030</v>
      </c>
      <c r="M155" t="str">
        <f>HYPERLINK("../../3.KEGG_map/SCI_III-vs-NC-Up/rno05031.html","rno05031")</f>
        <v>rno05031</v>
      </c>
    </row>
    <row r="156" spans="1:13" x14ac:dyDescent="0.25">
      <c r="A156" t="s">
        <v>1031</v>
      </c>
      <c r="B156" t="s">
        <v>1032</v>
      </c>
      <c r="C156" t="s">
        <v>115</v>
      </c>
      <c r="D156" t="s">
        <v>498</v>
      </c>
      <c r="E156">
        <v>2</v>
      </c>
      <c r="F156">
        <v>201</v>
      </c>
      <c r="G156">
        <v>39</v>
      </c>
      <c r="H156">
        <v>2681</v>
      </c>
      <c r="I156">
        <v>0.80298336307766205</v>
      </c>
      <c r="J156">
        <v>0.98558586947165205</v>
      </c>
      <c r="K156">
        <v>0.68401581834417702</v>
      </c>
      <c r="L156" t="s">
        <v>996</v>
      </c>
      <c r="M156" t="str">
        <f>HYPERLINK("../../3.KEGG_map/SCI_III-vs-NC-Up/rno05032.html","rno05032")</f>
        <v>rno05032</v>
      </c>
    </row>
    <row r="157" spans="1:13" x14ac:dyDescent="0.25">
      <c r="A157" t="s">
        <v>502</v>
      </c>
      <c r="B157" t="s">
        <v>503</v>
      </c>
      <c r="C157" t="s">
        <v>115</v>
      </c>
      <c r="D157" t="s">
        <v>498</v>
      </c>
      <c r="E157">
        <v>4</v>
      </c>
      <c r="F157">
        <v>201</v>
      </c>
      <c r="G157">
        <v>36</v>
      </c>
      <c r="H157">
        <v>2681</v>
      </c>
      <c r="I157">
        <v>0.28234048829194802</v>
      </c>
      <c r="J157">
        <v>0.98558586947165205</v>
      </c>
      <c r="K157">
        <v>1.4820342730790499</v>
      </c>
      <c r="L157" t="s">
        <v>1033</v>
      </c>
      <c r="M157" t="str">
        <f>HYPERLINK("../../3.KEGG_map/SCI_III-vs-NC-Up/rno05034.html","rno05034")</f>
        <v>rno05034</v>
      </c>
    </row>
    <row r="158" spans="1:13" x14ac:dyDescent="0.25">
      <c r="A158" t="s">
        <v>504</v>
      </c>
      <c r="B158" t="s">
        <v>505</v>
      </c>
      <c r="C158" t="s">
        <v>115</v>
      </c>
      <c r="D158" t="s">
        <v>506</v>
      </c>
      <c r="E158">
        <v>6</v>
      </c>
      <c r="F158">
        <v>201</v>
      </c>
      <c r="G158">
        <v>89</v>
      </c>
      <c r="H158">
        <v>2681</v>
      </c>
      <c r="I158">
        <v>0.66854401759255</v>
      </c>
      <c r="J158">
        <v>0.98558586947165205</v>
      </c>
      <c r="K158">
        <v>0.89921180613785001</v>
      </c>
      <c r="L158" t="s">
        <v>1034</v>
      </c>
      <c r="M158" t="str">
        <f>HYPERLINK("../../3.KEGG_map/SCI_III-vs-NC-Up/rno05100.html","rno05100")</f>
        <v>rno05100</v>
      </c>
    </row>
    <row r="159" spans="1:13" x14ac:dyDescent="0.25">
      <c r="A159" t="s">
        <v>508</v>
      </c>
      <c r="B159" t="s">
        <v>509</v>
      </c>
      <c r="C159" t="s">
        <v>115</v>
      </c>
      <c r="D159" t="s">
        <v>506</v>
      </c>
      <c r="E159">
        <v>2</v>
      </c>
      <c r="F159">
        <v>201</v>
      </c>
      <c r="G159">
        <v>42</v>
      </c>
      <c r="H159">
        <v>2681</v>
      </c>
      <c r="I159">
        <v>0.835360333937616</v>
      </c>
      <c r="J159">
        <v>0.98558586947165205</v>
      </c>
      <c r="K159">
        <v>0.63515754560530702</v>
      </c>
      <c r="L159" t="s">
        <v>1035</v>
      </c>
      <c r="M159" t="str">
        <f>HYPERLINK("../../3.KEGG_map/SCI_III-vs-NC-Up/rno05132.html","rno05132")</f>
        <v>rno05132</v>
      </c>
    </row>
    <row r="160" spans="1:13" x14ac:dyDescent="0.25">
      <c r="A160" t="s">
        <v>521</v>
      </c>
      <c r="B160" t="s">
        <v>522</v>
      </c>
      <c r="C160" t="s">
        <v>115</v>
      </c>
      <c r="D160" t="s">
        <v>519</v>
      </c>
      <c r="E160">
        <v>5</v>
      </c>
      <c r="F160">
        <v>201</v>
      </c>
      <c r="G160">
        <v>52</v>
      </c>
      <c r="H160">
        <v>2681</v>
      </c>
      <c r="I160">
        <v>0.35010535079890398</v>
      </c>
      <c r="J160">
        <v>0.98558586947165205</v>
      </c>
      <c r="K160">
        <v>1.2825296593953299</v>
      </c>
      <c r="L160" t="s">
        <v>1036</v>
      </c>
      <c r="M160" t="str">
        <f>HYPERLINK("../../3.KEGG_map/SCI_III-vs-NC-Up/rno05142.html","rno05142")</f>
        <v>rno05142</v>
      </c>
    </row>
    <row r="161" spans="1:13" x14ac:dyDescent="0.25">
      <c r="A161" t="s">
        <v>524</v>
      </c>
      <c r="B161" t="s">
        <v>525</v>
      </c>
      <c r="C161" t="s">
        <v>115</v>
      </c>
      <c r="D161" t="s">
        <v>519</v>
      </c>
      <c r="E161">
        <v>4</v>
      </c>
      <c r="F161">
        <v>201</v>
      </c>
      <c r="G161">
        <v>17</v>
      </c>
      <c r="H161">
        <v>2681</v>
      </c>
      <c r="I161">
        <v>3.36289644838361E-2</v>
      </c>
      <c r="J161">
        <v>0.98558586947165205</v>
      </c>
      <c r="K161">
        <v>3.1384255194615198</v>
      </c>
      <c r="L161" t="s">
        <v>1009</v>
      </c>
      <c r="M161" t="str">
        <f>HYPERLINK("../../3.KEGG_map/SCI_III-vs-NC-Up/rno05143.html","rno05143")</f>
        <v>rno05143</v>
      </c>
    </row>
    <row r="162" spans="1:13" x14ac:dyDescent="0.25">
      <c r="A162" t="s">
        <v>533</v>
      </c>
      <c r="B162" t="s">
        <v>534</v>
      </c>
      <c r="C162" t="s">
        <v>115</v>
      </c>
      <c r="D162" t="s">
        <v>519</v>
      </c>
      <c r="E162">
        <v>4</v>
      </c>
      <c r="F162">
        <v>201</v>
      </c>
      <c r="G162">
        <v>79</v>
      </c>
      <c r="H162">
        <v>2681</v>
      </c>
      <c r="I162">
        <v>0.85611016730494804</v>
      </c>
      <c r="J162">
        <v>0.98558586947165205</v>
      </c>
      <c r="K162">
        <v>0.67535739026386998</v>
      </c>
      <c r="L162" t="s">
        <v>1009</v>
      </c>
      <c r="M162" t="str">
        <f>HYPERLINK("../../3.KEGG_map/SCI_III-vs-NC-Up/rno05146.html","rno05146")</f>
        <v>rno05146</v>
      </c>
    </row>
    <row r="163" spans="1:13" x14ac:dyDescent="0.25">
      <c r="A163" t="s">
        <v>538</v>
      </c>
      <c r="B163" t="s">
        <v>539</v>
      </c>
      <c r="C163" t="s">
        <v>115</v>
      </c>
      <c r="D163" t="s">
        <v>506</v>
      </c>
      <c r="E163">
        <v>6</v>
      </c>
      <c r="F163">
        <v>201</v>
      </c>
      <c r="G163">
        <v>81</v>
      </c>
      <c r="H163">
        <v>2681</v>
      </c>
      <c r="I163">
        <v>0.575122184856666</v>
      </c>
      <c r="J163">
        <v>0.98558586947165205</v>
      </c>
      <c r="K163">
        <v>0.98802284871936596</v>
      </c>
      <c r="L163" t="s">
        <v>1037</v>
      </c>
      <c r="M163" t="str">
        <f>HYPERLINK("../../3.KEGG_map/SCI_III-vs-NC-Up/rno05152.html","rno05152")</f>
        <v>rno05152</v>
      </c>
    </row>
    <row r="164" spans="1:13" x14ac:dyDescent="0.25">
      <c r="A164" t="s">
        <v>540</v>
      </c>
      <c r="B164" t="s">
        <v>541</v>
      </c>
      <c r="C164" t="s">
        <v>115</v>
      </c>
      <c r="D164" t="s">
        <v>542</v>
      </c>
      <c r="E164">
        <v>6</v>
      </c>
      <c r="F164">
        <v>201</v>
      </c>
      <c r="G164">
        <v>59</v>
      </c>
      <c r="H164">
        <v>2681</v>
      </c>
      <c r="I164">
        <v>0.27878313457065002</v>
      </c>
      <c r="J164">
        <v>0.98558586947165205</v>
      </c>
      <c r="K164">
        <v>1.3564381482418399</v>
      </c>
      <c r="L164" t="s">
        <v>1038</v>
      </c>
      <c r="M164" t="str">
        <f>HYPERLINK("../../3.KEGG_map/SCI_III-vs-NC-Up/rno05160.html","rno05160")</f>
        <v>rno05160</v>
      </c>
    </row>
    <row r="165" spans="1:13" x14ac:dyDescent="0.25">
      <c r="A165" t="s">
        <v>544</v>
      </c>
      <c r="B165" t="s">
        <v>545</v>
      </c>
      <c r="C165" t="s">
        <v>115</v>
      </c>
      <c r="D165" t="s">
        <v>542</v>
      </c>
      <c r="E165">
        <v>2</v>
      </c>
      <c r="F165">
        <v>201</v>
      </c>
      <c r="G165">
        <v>79</v>
      </c>
      <c r="H165">
        <v>2681</v>
      </c>
      <c r="I165">
        <v>0.98533202673528297</v>
      </c>
      <c r="J165">
        <v>0.99495526333406203</v>
      </c>
      <c r="K165">
        <v>0.33767869513193499</v>
      </c>
      <c r="L165" t="s">
        <v>1039</v>
      </c>
      <c r="M165" t="str">
        <f>HYPERLINK("../../3.KEGG_map/SCI_III-vs-NC-Up/rno05161.html","rno05161")</f>
        <v>rno05161</v>
      </c>
    </row>
    <row r="166" spans="1:13" x14ac:dyDescent="0.25">
      <c r="A166" t="s">
        <v>547</v>
      </c>
      <c r="B166" t="s">
        <v>548</v>
      </c>
      <c r="C166" t="s">
        <v>115</v>
      </c>
      <c r="D166" t="s">
        <v>542</v>
      </c>
      <c r="E166">
        <v>1</v>
      </c>
      <c r="F166">
        <v>201</v>
      </c>
      <c r="G166">
        <v>28</v>
      </c>
      <c r="H166">
        <v>2681</v>
      </c>
      <c r="I166">
        <v>0.88848381336607096</v>
      </c>
      <c r="J166">
        <v>0.98558586947165205</v>
      </c>
      <c r="K166">
        <v>0.47636815920398001</v>
      </c>
      <c r="L166" t="s">
        <v>929</v>
      </c>
      <c r="M166" t="str">
        <f>HYPERLINK("../../3.KEGG_map/SCI_III-vs-NC-Up/rno05162.html","rno05162")</f>
        <v>rno05162</v>
      </c>
    </row>
    <row r="167" spans="1:13" x14ac:dyDescent="0.25">
      <c r="A167" t="s">
        <v>549</v>
      </c>
      <c r="B167" t="s">
        <v>550</v>
      </c>
      <c r="C167" t="s">
        <v>115</v>
      </c>
      <c r="D167" t="s">
        <v>542</v>
      </c>
      <c r="E167">
        <v>1</v>
      </c>
      <c r="F167">
        <v>201</v>
      </c>
      <c r="G167">
        <v>67</v>
      </c>
      <c r="H167">
        <v>2681</v>
      </c>
      <c r="I167">
        <v>0.99495526333406203</v>
      </c>
      <c r="J167">
        <v>0.99495526333406203</v>
      </c>
      <c r="K167">
        <v>0.199079230712111</v>
      </c>
      <c r="L167" t="s">
        <v>510</v>
      </c>
      <c r="M167" t="str">
        <f>HYPERLINK("../../3.KEGG_map/SCI_III-vs-NC-Up/rno05164.html","rno05164")</f>
        <v>rno05164</v>
      </c>
    </row>
    <row r="168" spans="1:13" x14ac:dyDescent="0.25">
      <c r="A168" t="s">
        <v>552</v>
      </c>
      <c r="B168" t="s">
        <v>553</v>
      </c>
      <c r="C168" t="s">
        <v>115</v>
      </c>
      <c r="D168" t="s">
        <v>542</v>
      </c>
      <c r="E168">
        <v>8</v>
      </c>
      <c r="F168">
        <v>201</v>
      </c>
      <c r="G168">
        <v>188</v>
      </c>
      <c r="H168">
        <v>2681</v>
      </c>
      <c r="I168">
        <v>0.97801298853273699</v>
      </c>
      <c r="J168">
        <v>0.99495526333406203</v>
      </c>
      <c r="K168">
        <v>0.567587593945168</v>
      </c>
      <c r="L168" t="s">
        <v>1040</v>
      </c>
      <c r="M168" t="str">
        <f>HYPERLINK("../../3.KEGG_map/SCI_III-vs-NC-Up/rno05165.html","rno05165")</f>
        <v>rno05165</v>
      </c>
    </row>
    <row r="169" spans="1:13" x14ac:dyDescent="0.25">
      <c r="A169" t="s">
        <v>555</v>
      </c>
      <c r="B169" t="s">
        <v>556</v>
      </c>
      <c r="C169" t="s">
        <v>115</v>
      </c>
      <c r="D169" t="s">
        <v>542</v>
      </c>
      <c r="E169">
        <v>6</v>
      </c>
      <c r="F169">
        <v>201</v>
      </c>
      <c r="G169">
        <v>143</v>
      </c>
      <c r="H169">
        <v>2681</v>
      </c>
      <c r="I169">
        <v>0.964945728755077</v>
      </c>
      <c r="J169">
        <v>0.99495526333406203</v>
      </c>
      <c r="K169">
        <v>0.55964930591796302</v>
      </c>
      <c r="L169" t="s">
        <v>1041</v>
      </c>
      <c r="M169" t="str">
        <f>HYPERLINK("../../3.KEGG_map/SCI_III-vs-NC-Up/rno05166.html","rno05166")</f>
        <v>rno05166</v>
      </c>
    </row>
    <row r="170" spans="1:13" x14ac:dyDescent="0.25">
      <c r="A170" t="s">
        <v>558</v>
      </c>
      <c r="B170" t="s">
        <v>559</v>
      </c>
      <c r="C170" t="s">
        <v>115</v>
      </c>
      <c r="D170" t="s">
        <v>542</v>
      </c>
      <c r="E170">
        <v>5</v>
      </c>
      <c r="F170">
        <v>201</v>
      </c>
      <c r="G170">
        <v>98</v>
      </c>
      <c r="H170">
        <v>2681</v>
      </c>
      <c r="I170">
        <v>0.87115317812445103</v>
      </c>
      <c r="J170">
        <v>0.98558586947165205</v>
      </c>
      <c r="K170">
        <v>0.68052594171997205</v>
      </c>
      <c r="L170" t="s">
        <v>1042</v>
      </c>
      <c r="M170" t="str">
        <f>HYPERLINK("../../3.KEGG_map/SCI_III-vs-NC-Up/rno05167.html","rno05167")</f>
        <v>rno05167</v>
      </c>
    </row>
    <row r="171" spans="1:13" x14ac:dyDescent="0.25">
      <c r="A171" t="s">
        <v>560</v>
      </c>
      <c r="B171" t="s">
        <v>561</v>
      </c>
      <c r="C171" t="s">
        <v>115</v>
      </c>
      <c r="D171" t="s">
        <v>542</v>
      </c>
      <c r="E171">
        <v>1</v>
      </c>
      <c r="F171">
        <v>201</v>
      </c>
      <c r="G171">
        <v>64</v>
      </c>
      <c r="H171">
        <v>2681</v>
      </c>
      <c r="I171">
        <v>0.99358789942401504</v>
      </c>
      <c r="J171">
        <v>0.99495526333406203</v>
      </c>
      <c r="K171">
        <v>0.208411069651741</v>
      </c>
      <c r="L171" t="s">
        <v>929</v>
      </c>
      <c r="M171" t="str">
        <f>HYPERLINK("../../3.KEGG_map/SCI_III-vs-NC-Up/rno05168.html","rno05168")</f>
        <v>rno05168</v>
      </c>
    </row>
    <row r="172" spans="1:13" x14ac:dyDescent="0.25">
      <c r="A172" t="s">
        <v>562</v>
      </c>
      <c r="B172" t="s">
        <v>563</v>
      </c>
      <c r="C172" t="s">
        <v>115</v>
      </c>
      <c r="D172" t="s">
        <v>542</v>
      </c>
      <c r="E172">
        <v>5</v>
      </c>
      <c r="F172">
        <v>201</v>
      </c>
      <c r="G172">
        <v>93</v>
      </c>
      <c r="H172">
        <v>2681</v>
      </c>
      <c r="I172">
        <v>0.83977279160676099</v>
      </c>
      <c r="J172">
        <v>0.98558586947165205</v>
      </c>
      <c r="K172">
        <v>0.71711335794147502</v>
      </c>
      <c r="L172" t="s">
        <v>1043</v>
      </c>
      <c r="M172" t="str">
        <f>HYPERLINK("../../3.KEGG_map/SCI_III-vs-NC-Up/rno05169.html","rno05169")</f>
        <v>rno05169</v>
      </c>
    </row>
    <row r="173" spans="1:13" x14ac:dyDescent="0.25">
      <c r="A173" t="s">
        <v>564</v>
      </c>
      <c r="B173" t="s">
        <v>565</v>
      </c>
      <c r="C173" t="s">
        <v>115</v>
      </c>
      <c r="D173" t="s">
        <v>566</v>
      </c>
      <c r="E173">
        <v>20</v>
      </c>
      <c r="F173">
        <v>201</v>
      </c>
      <c r="G173">
        <v>258</v>
      </c>
      <c r="H173">
        <v>2681</v>
      </c>
      <c r="I173">
        <v>0.47303360474121098</v>
      </c>
      <c r="J173">
        <v>0.98558586947165205</v>
      </c>
      <c r="K173">
        <v>1.0339773998225901</v>
      </c>
      <c r="L173" t="s">
        <v>1044</v>
      </c>
      <c r="M173" t="str">
        <f>HYPERLINK("../../3.KEGG_map/SCI_III-vs-NC-Up/rno05200.html","rno05200")</f>
        <v>rno05200</v>
      </c>
    </row>
    <row r="174" spans="1:13" x14ac:dyDescent="0.25">
      <c r="A174" t="s">
        <v>568</v>
      </c>
      <c r="B174" t="s">
        <v>569</v>
      </c>
      <c r="C174" t="s">
        <v>115</v>
      </c>
      <c r="D174" t="s">
        <v>566</v>
      </c>
      <c r="E174">
        <v>7</v>
      </c>
      <c r="F174">
        <v>201</v>
      </c>
      <c r="G174">
        <v>93</v>
      </c>
      <c r="H174">
        <v>2681</v>
      </c>
      <c r="I174">
        <v>0.55433225971967204</v>
      </c>
      <c r="J174">
        <v>0.98558586947165205</v>
      </c>
      <c r="K174">
        <v>1.00395870111807</v>
      </c>
      <c r="L174" t="s">
        <v>1045</v>
      </c>
      <c r="M174" t="str">
        <f>HYPERLINK("../../3.KEGG_map/SCI_III-vs-NC-Up/rno05202.html","rno05202")</f>
        <v>rno05202</v>
      </c>
    </row>
    <row r="175" spans="1:13" x14ac:dyDescent="0.25">
      <c r="A175" t="s">
        <v>571</v>
      </c>
      <c r="B175" t="s">
        <v>572</v>
      </c>
      <c r="C175" t="s">
        <v>115</v>
      </c>
      <c r="D175" t="s">
        <v>566</v>
      </c>
      <c r="E175">
        <v>4</v>
      </c>
      <c r="F175">
        <v>201</v>
      </c>
      <c r="G175">
        <v>84</v>
      </c>
      <c r="H175">
        <v>2681</v>
      </c>
      <c r="I175">
        <v>0.88695888938338296</v>
      </c>
      <c r="J175">
        <v>0.98558586947165205</v>
      </c>
      <c r="K175">
        <v>0.63515754560530702</v>
      </c>
      <c r="L175" t="s">
        <v>1046</v>
      </c>
      <c r="M175" t="str">
        <f>HYPERLINK("../../3.KEGG_map/SCI_III-vs-NC-Up/rno05203.html","rno05203")</f>
        <v>rno05203</v>
      </c>
    </row>
    <row r="176" spans="1:13" x14ac:dyDescent="0.25">
      <c r="A176" t="s">
        <v>573</v>
      </c>
      <c r="B176" t="s">
        <v>574</v>
      </c>
      <c r="C176" t="s">
        <v>115</v>
      </c>
      <c r="D176" t="s">
        <v>566</v>
      </c>
      <c r="E176">
        <v>1</v>
      </c>
      <c r="F176">
        <v>201</v>
      </c>
      <c r="G176">
        <v>15</v>
      </c>
      <c r="H176">
        <v>2681</v>
      </c>
      <c r="I176">
        <v>0.69030138505264405</v>
      </c>
      <c r="J176">
        <v>0.98558586947165205</v>
      </c>
      <c r="K176">
        <v>0.88922056384742898</v>
      </c>
      <c r="L176" t="s">
        <v>902</v>
      </c>
      <c r="M176" t="str">
        <f>HYPERLINK("../../3.KEGG_map/SCI_III-vs-NC-Up/rno05204.html","rno05204")</f>
        <v>rno05204</v>
      </c>
    </row>
    <row r="177" spans="1:13" x14ac:dyDescent="0.25">
      <c r="A177" t="s">
        <v>575</v>
      </c>
      <c r="B177" t="s">
        <v>576</v>
      </c>
      <c r="C177" t="s">
        <v>115</v>
      </c>
      <c r="D177" t="s">
        <v>566</v>
      </c>
      <c r="E177">
        <v>14</v>
      </c>
      <c r="F177">
        <v>201</v>
      </c>
      <c r="G177">
        <v>166</v>
      </c>
      <c r="H177">
        <v>2681</v>
      </c>
      <c r="I177">
        <v>0.36143694210217098</v>
      </c>
      <c r="J177">
        <v>0.98558586947165205</v>
      </c>
      <c r="K177">
        <v>1.12491758077084</v>
      </c>
      <c r="L177" t="s">
        <v>1047</v>
      </c>
      <c r="M177" t="str">
        <f>HYPERLINK("../../3.KEGG_map/SCI_III-vs-NC-Up/rno05205.html","rno05205")</f>
        <v>rno05205</v>
      </c>
    </row>
    <row r="178" spans="1:13" x14ac:dyDescent="0.25">
      <c r="A178" t="s">
        <v>578</v>
      </c>
      <c r="B178" t="s">
        <v>579</v>
      </c>
      <c r="C178" t="s">
        <v>115</v>
      </c>
      <c r="D178" t="s">
        <v>566</v>
      </c>
      <c r="E178">
        <v>4</v>
      </c>
      <c r="F178">
        <v>201</v>
      </c>
      <c r="G178">
        <v>82</v>
      </c>
      <c r="H178">
        <v>2681</v>
      </c>
      <c r="I178">
        <v>0.87537926894289098</v>
      </c>
      <c r="J178">
        <v>0.98558586947165205</v>
      </c>
      <c r="K178">
        <v>0.65064919305909497</v>
      </c>
      <c r="L178" t="s">
        <v>1048</v>
      </c>
      <c r="M178" t="str">
        <f>HYPERLINK("../../3.KEGG_map/SCI_III-vs-NC-Up/rno05206.html","rno05206")</f>
        <v>rno05206</v>
      </c>
    </row>
    <row r="179" spans="1:13" x14ac:dyDescent="0.25">
      <c r="A179" t="s">
        <v>581</v>
      </c>
      <c r="B179" t="s">
        <v>582</v>
      </c>
      <c r="C179" t="s">
        <v>115</v>
      </c>
      <c r="D179" t="s">
        <v>583</v>
      </c>
      <c r="E179">
        <v>3</v>
      </c>
      <c r="F179">
        <v>201</v>
      </c>
      <c r="G179">
        <v>61</v>
      </c>
      <c r="H179">
        <v>2681</v>
      </c>
      <c r="I179">
        <v>0.84826450970630896</v>
      </c>
      <c r="J179">
        <v>0.98558586947165205</v>
      </c>
      <c r="K179">
        <v>0.655982383166137</v>
      </c>
      <c r="L179" t="s">
        <v>1049</v>
      </c>
      <c r="M179" t="str">
        <f>HYPERLINK("../../3.KEGG_map/SCI_III-vs-NC-Up/rno05210.html","rno05210")</f>
        <v>rno05210</v>
      </c>
    </row>
    <row r="180" spans="1:13" x14ac:dyDescent="0.25">
      <c r="A180" t="s">
        <v>585</v>
      </c>
      <c r="B180" t="s">
        <v>586</v>
      </c>
      <c r="C180" t="s">
        <v>115</v>
      </c>
      <c r="D180" t="s">
        <v>583</v>
      </c>
      <c r="E180">
        <v>4</v>
      </c>
      <c r="F180">
        <v>201</v>
      </c>
      <c r="G180">
        <v>52</v>
      </c>
      <c r="H180">
        <v>2681</v>
      </c>
      <c r="I180">
        <v>0.55517380774918901</v>
      </c>
      <c r="J180">
        <v>0.98558586947165205</v>
      </c>
      <c r="K180">
        <v>1.02602372751626</v>
      </c>
      <c r="L180" t="s">
        <v>1050</v>
      </c>
      <c r="M180" t="str">
        <f>HYPERLINK("../../3.KEGG_map/SCI_III-vs-NC-Up/rno05211.html","rno05211")</f>
        <v>rno05211</v>
      </c>
    </row>
    <row r="181" spans="1:13" x14ac:dyDescent="0.25">
      <c r="A181" t="s">
        <v>588</v>
      </c>
      <c r="B181" t="s">
        <v>589</v>
      </c>
      <c r="C181" t="s">
        <v>115</v>
      </c>
      <c r="D181" t="s">
        <v>583</v>
      </c>
      <c r="E181">
        <v>4</v>
      </c>
      <c r="F181">
        <v>201</v>
      </c>
      <c r="G181">
        <v>61</v>
      </c>
      <c r="H181">
        <v>2681</v>
      </c>
      <c r="I181">
        <v>0.68294861025020204</v>
      </c>
      <c r="J181">
        <v>0.98558586947165205</v>
      </c>
      <c r="K181">
        <v>0.87464317755484899</v>
      </c>
      <c r="L181" t="s">
        <v>1051</v>
      </c>
      <c r="M181" t="str">
        <f>HYPERLINK("../../3.KEGG_map/SCI_III-vs-NC-Up/rno05212.html","rno05212")</f>
        <v>rno05212</v>
      </c>
    </row>
    <row r="182" spans="1:13" x14ac:dyDescent="0.25">
      <c r="A182" t="s">
        <v>591</v>
      </c>
      <c r="B182" t="s">
        <v>592</v>
      </c>
      <c r="C182" t="s">
        <v>115</v>
      </c>
      <c r="D182" t="s">
        <v>583</v>
      </c>
      <c r="E182">
        <v>4</v>
      </c>
      <c r="F182">
        <v>201</v>
      </c>
      <c r="G182">
        <v>43</v>
      </c>
      <c r="H182">
        <v>2681</v>
      </c>
      <c r="I182">
        <v>0.40492011434237402</v>
      </c>
      <c r="J182">
        <v>0.98558586947165205</v>
      </c>
      <c r="K182">
        <v>1.24077287978711</v>
      </c>
      <c r="L182" t="s">
        <v>1052</v>
      </c>
      <c r="M182" t="str">
        <f>HYPERLINK("../../3.KEGG_map/SCI_III-vs-NC-Up/rno05213.html","rno05213")</f>
        <v>rno05213</v>
      </c>
    </row>
    <row r="183" spans="1:13" x14ac:dyDescent="0.25">
      <c r="A183" t="s">
        <v>593</v>
      </c>
      <c r="B183" t="s">
        <v>594</v>
      </c>
      <c r="C183" t="s">
        <v>115</v>
      </c>
      <c r="D183" t="s">
        <v>583</v>
      </c>
      <c r="E183">
        <v>5</v>
      </c>
      <c r="F183">
        <v>201</v>
      </c>
      <c r="G183">
        <v>47</v>
      </c>
      <c r="H183">
        <v>2681</v>
      </c>
      <c r="I183">
        <v>0.274380314288104</v>
      </c>
      <c r="J183">
        <v>0.98558586947165205</v>
      </c>
      <c r="K183">
        <v>1.4189689848629199</v>
      </c>
      <c r="L183" t="s">
        <v>1053</v>
      </c>
      <c r="M183" t="str">
        <f>HYPERLINK("../../3.KEGG_map/SCI_III-vs-NC-Up/rno05214.html","rno05214")</f>
        <v>rno05214</v>
      </c>
    </row>
    <row r="184" spans="1:13" x14ac:dyDescent="0.25">
      <c r="A184" t="s">
        <v>595</v>
      </c>
      <c r="B184" t="s">
        <v>596</v>
      </c>
      <c r="C184" t="s">
        <v>115</v>
      </c>
      <c r="D184" t="s">
        <v>583</v>
      </c>
      <c r="E184">
        <v>5</v>
      </c>
      <c r="F184">
        <v>201</v>
      </c>
      <c r="G184">
        <v>62</v>
      </c>
      <c r="H184">
        <v>2681</v>
      </c>
      <c r="I184">
        <v>0.50179519523551397</v>
      </c>
      <c r="J184">
        <v>0.98558586947165205</v>
      </c>
      <c r="K184">
        <v>1.0756700369122101</v>
      </c>
      <c r="L184" t="s">
        <v>1054</v>
      </c>
      <c r="M184" t="str">
        <f>HYPERLINK("../../3.KEGG_map/SCI_III-vs-NC-Up/rno05215.html","rno05215")</f>
        <v>rno05215</v>
      </c>
    </row>
    <row r="185" spans="1:13" x14ac:dyDescent="0.25">
      <c r="A185" t="s">
        <v>1055</v>
      </c>
      <c r="B185" t="s">
        <v>1056</v>
      </c>
      <c r="C185" t="s">
        <v>115</v>
      </c>
      <c r="D185" t="s">
        <v>583</v>
      </c>
      <c r="E185">
        <v>3</v>
      </c>
      <c r="F185">
        <v>201</v>
      </c>
      <c r="G185">
        <v>20</v>
      </c>
      <c r="H185">
        <v>2681</v>
      </c>
      <c r="I185">
        <v>0.185302906512681</v>
      </c>
      <c r="J185">
        <v>0.98558586947165205</v>
      </c>
      <c r="K185">
        <v>2.0007462686567199</v>
      </c>
      <c r="L185" t="s">
        <v>1057</v>
      </c>
      <c r="M185" t="str">
        <f>HYPERLINK("../../3.KEGG_map/SCI_III-vs-NC-Up/rno05216.html","rno05216")</f>
        <v>rno05216</v>
      </c>
    </row>
    <row r="186" spans="1:13" x14ac:dyDescent="0.25">
      <c r="A186" t="s">
        <v>858</v>
      </c>
      <c r="B186" t="s">
        <v>859</v>
      </c>
      <c r="C186" t="s">
        <v>115</v>
      </c>
      <c r="D186" t="s">
        <v>583</v>
      </c>
      <c r="E186">
        <v>1</v>
      </c>
      <c r="F186">
        <v>201</v>
      </c>
      <c r="G186">
        <v>9</v>
      </c>
      <c r="H186">
        <v>2681</v>
      </c>
      <c r="I186">
        <v>0.50464093458679105</v>
      </c>
      <c r="J186">
        <v>0.98558586947165205</v>
      </c>
      <c r="K186">
        <v>1.4820342730790499</v>
      </c>
      <c r="L186" t="s">
        <v>860</v>
      </c>
      <c r="M186" t="str">
        <f>HYPERLINK("../../3.KEGG_map/SCI_III-vs-NC-Up/rno05217.html","rno05217")</f>
        <v>rno05217</v>
      </c>
    </row>
    <row r="187" spans="1:13" x14ac:dyDescent="0.25">
      <c r="A187" t="s">
        <v>598</v>
      </c>
      <c r="B187" t="s">
        <v>599</v>
      </c>
      <c r="C187" t="s">
        <v>115</v>
      </c>
      <c r="D187" t="s">
        <v>583</v>
      </c>
      <c r="E187">
        <v>3</v>
      </c>
      <c r="F187">
        <v>201</v>
      </c>
      <c r="G187">
        <v>38</v>
      </c>
      <c r="H187">
        <v>2681</v>
      </c>
      <c r="I187">
        <v>0.55127122529813399</v>
      </c>
      <c r="J187">
        <v>0.98558586947165205</v>
      </c>
      <c r="K187">
        <v>1.0530243519245901</v>
      </c>
      <c r="L187" t="s">
        <v>1058</v>
      </c>
      <c r="M187" t="str">
        <f>HYPERLINK("../../3.KEGG_map/SCI_III-vs-NC-Up/rno05218.html","rno05218")</f>
        <v>rno05218</v>
      </c>
    </row>
    <row r="188" spans="1:13" x14ac:dyDescent="0.25">
      <c r="A188" t="s">
        <v>600</v>
      </c>
      <c r="B188" t="s">
        <v>601</v>
      </c>
      <c r="C188" t="s">
        <v>115</v>
      </c>
      <c r="D188" t="s">
        <v>583</v>
      </c>
      <c r="E188">
        <v>3</v>
      </c>
      <c r="F188">
        <v>201</v>
      </c>
      <c r="G188">
        <v>27</v>
      </c>
      <c r="H188">
        <v>2681</v>
      </c>
      <c r="I188">
        <v>0.32993656981170799</v>
      </c>
      <c r="J188">
        <v>0.98558586947165205</v>
      </c>
      <c r="K188">
        <v>1.4820342730790499</v>
      </c>
      <c r="L188" t="s">
        <v>1059</v>
      </c>
      <c r="M188" t="str">
        <f>HYPERLINK("../../3.KEGG_map/SCI_III-vs-NC-Up/rno05219.html","rno05219")</f>
        <v>rno05219</v>
      </c>
    </row>
    <row r="189" spans="1:13" x14ac:dyDescent="0.25">
      <c r="A189" t="s">
        <v>862</v>
      </c>
      <c r="B189" t="s">
        <v>863</v>
      </c>
      <c r="C189" t="s">
        <v>115</v>
      </c>
      <c r="D189" t="s">
        <v>583</v>
      </c>
      <c r="E189">
        <v>3</v>
      </c>
      <c r="F189">
        <v>201</v>
      </c>
      <c r="G189">
        <v>51</v>
      </c>
      <c r="H189">
        <v>2681</v>
      </c>
      <c r="I189">
        <v>0.74892924182187404</v>
      </c>
      <c r="J189">
        <v>0.98558586947165205</v>
      </c>
      <c r="K189">
        <v>0.78460637986537896</v>
      </c>
      <c r="L189" t="s">
        <v>905</v>
      </c>
      <c r="M189" t="str">
        <f>HYPERLINK("../../3.KEGG_map/SCI_III-vs-NC-Up/rno05220.html","rno05220")</f>
        <v>rno05220</v>
      </c>
    </row>
    <row r="190" spans="1:13" x14ac:dyDescent="0.25">
      <c r="A190" t="s">
        <v>865</v>
      </c>
      <c r="B190" t="s">
        <v>866</v>
      </c>
      <c r="C190" t="s">
        <v>115</v>
      </c>
      <c r="D190" t="s">
        <v>583</v>
      </c>
      <c r="E190">
        <v>3</v>
      </c>
      <c r="F190">
        <v>201</v>
      </c>
      <c r="G190">
        <v>36</v>
      </c>
      <c r="H190">
        <v>2681</v>
      </c>
      <c r="I190">
        <v>0.51388538833678699</v>
      </c>
      <c r="J190">
        <v>0.98558586947165205</v>
      </c>
      <c r="K190">
        <v>1.1115257048092899</v>
      </c>
      <c r="L190" t="s">
        <v>1060</v>
      </c>
      <c r="M190" t="str">
        <f>HYPERLINK("../../3.KEGG_map/SCI_III-vs-NC-Up/rno05221.html","rno05221")</f>
        <v>rno05221</v>
      </c>
    </row>
    <row r="191" spans="1:13" x14ac:dyDescent="0.25">
      <c r="A191" t="s">
        <v>603</v>
      </c>
      <c r="B191" t="s">
        <v>604</v>
      </c>
      <c r="C191" t="s">
        <v>115</v>
      </c>
      <c r="D191" t="s">
        <v>583</v>
      </c>
      <c r="E191">
        <v>1</v>
      </c>
      <c r="F191">
        <v>201</v>
      </c>
      <c r="G191">
        <v>62</v>
      </c>
      <c r="H191">
        <v>2681</v>
      </c>
      <c r="I191">
        <v>0.99247732118963805</v>
      </c>
      <c r="J191">
        <v>0.99495526333406203</v>
      </c>
      <c r="K191">
        <v>0.21513400738244301</v>
      </c>
      <c r="L191" t="s">
        <v>214</v>
      </c>
      <c r="M191" t="str">
        <f>HYPERLINK("../../3.KEGG_map/SCI_III-vs-NC-Up/rno05222.html","rno05222")</f>
        <v>rno05222</v>
      </c>
    </row>
    <row r="192" spans="1:13" x14ac:dyDescent="0.25">
      <c r="A192" t="s">
        <v>868</v>
      </c>
      <c r="B192" t="s">
        <v>869</v>
      </c>
      <c r="C192" t="s">
        <v>115</v>
      </c>
      <c r="D192" t="s">
        <v>583</v>
      </c>
      <c r="E192">
        <v>2</v>
      </c>
      <c r="F192">
        <v>201</v>
      </c>
      <c r="G192">
        <v>47</v>
      </c>
      <c r="H192">
        <v>2681</v>
      </c>
      <c r="I192">
        <v>0.87881591007186999</v>
      </c>
      <c r="J192">
        <v>0.98558586947165205</v>
      </c>
      <c r="K192">
        <v>0.567587593945168</v>
      </c>
      <c r="L192" t="s">
        <v>1061</v>
      </c>
      <c r="M192" t="str">
        <f>HYPERLINK("../../3.KEGG_map/SCI_III-vs-NC-Up/rno05223.html","rno05223")</f>
        <v>rno05223</v>
      </c>
    </row>
    <row r="193" spans="1:13" x14ac:dyDescent="0.25">
      <c r="A193" t="s">
        <v>606</v>
      </c>
      <c r="B193" t="s">
        <v>607</v>
      </c>
      <c r="C193" t="s">
        <v>115</v>
      </c>
      <c r="D193" t="s">
        <v>583</v>
      </c>
      <c r="E193">
        <v>3</v>
      </c>
      <c r="F193">
        <v>201</v>
      </c>
      <c r="G193">
        <v>57</v>
      </c>
      <c r="H193">
        <v>2681</v>
      </c>
      <c r="I193">
        <v>0.81347023694148402</v>
      </c>
      <c r="J193">
        <v>0.98558586947165205</v>
      </c>
      <c r="K193">
        <v>0.70201623461639195</v>
      </c>
      <c r="L193" t="s">
        <v>1062</v>
      </c>
      <c r="M193" t="str">
        <f>HYPERLINK("../../3.KEGG_map/SCI_III-vs-NC-Up/rno05224.html","rno05224")</f>
        <v>rno05224</v>
      </c>
    </row>
    <row r="194" spans="1:13" x14ac:dyDescent="0.25">
      <c r="A194" t="s">
        <v>608</v>
      </c>
      <c r="B194" t="s">
        <v>609</v>
      </c>
      <c r="C194" t="s">
        <v>115</v>
      </c>
      <c r="D194" t="s">
        <v>583</v>
      </c>
      <c r="E194">
        <v>8</v>
      </c>
      <c r="F194">
        <v>201</v>
      </c>
      <c r="G194">
        <v>102</v>
      </c>
      <c r="H194">
        <v>2681</v>
      </c>
      <c r="I194">
        <v>0.50212669206082605</v>
      </c>
      <c r="J194">
        <v>0.98558586947165205</v>
      </c>
      <c r="K194">
        <v>1.04614183982051</v>
      </c>
      <c r="L194" t="s">
        <v>1063</v>
      </c>
      <c r="M194" t="str">
        <f>HYPERLINK("../../3.KEGG_map/SCI_III-vs-NC-Up/rno05225.html","rno05225")</f>
        <v>rno05225</v>
      </c>
    </row>
    <row r="195" spans="1:13" x14ac:dyDescent="0.25">
      <c r="A195" t="s">
        <v>611</v>
      </c>
      <c r="B195" t="s">
        <v>612</v>
      </c>
      <c r="C195" t="s">
        <v>115</v>
      </c>
      <c r="D195" t="s">
        <v>583</v>
      </c>
      <c r="E195">
        <v>5</v>
      </c>
      <c r="F195">
        <v>201</v>
      </c>
      <c r="G195">
        <v>76</v>
      </c>
      <c r="H195">
        <v>2681</v>
      </c>
      <c r="I195">
        <v>0.68578296879460099</v>
      </c>
      <c r="J195">
        <v>0.98558586947165205</v>
      </c>
      <c r="K195">
        <v>0.87752029327048997</v>
      </c>
      <c r="L195" t="s">
        <v>1064</v>
      </c>
      <c r="M195" t="str">
        <f>HYPERLINK("../../3.KEGG_map/SCI_III-vs-NC-Up/rno05226.html","rno05226")</f>
        <v>rno05226</v>
      </c>
    </row>
    <row r="196" spans="1:13" x14ac:dyDescent="0.25">
      <c r="A196" t="s">
        <v>614</v>
      </c>
      <c r="B196" t="s">
        <v>615</v>
      </c>
      <c r="C196" t="s">
        <v>115</v>
      </c>
      <c r="D196" t="s">
        <v>566</v>
      </c>
      <c r="E196">
        <v>3</v>
      </c>
      <c r="F196">
        <v>201</v>
      </c>
      <c r="G196">
        <v>34</v>
      </c>
      <c r="H196">
        <v>2681</v>
      </c>
      <c r="I196">
        <v>0.47492568885620301</v>
      </c>
      <c r="J196">
        <v>0.98558586947165205</v>
      </c>
      <c r="K196">
        <v>1.17690956979807</v>
      </c>
      <c r="L196" t="s">
        <v>1065</v>
      </c>
      <c r="M196" t="str">
        <f>HYPERLINK("../../3.KEGG_map/SCI_III-vs-NC-Up/rno05230.html","rno05230")</f>
        <v>rno05230</v>
      </c>
    </row>
    <row r="197" spans="1:13" x14ac:dyDescent="0.25">
      <c r="A197" t="s">
        <v>617</v>
      </c>
      <c r="B197" t="s">
        <v>618</v>
      </c>
      <c r="C197" t="s">
        <v>115</v>
      </c>
      <c r="D197" t="s">
        <v>566</v>
      </c>
      <c r="E197">
        <v>5</v>
      </c>
      <c r="F197">
        <v>201</v>
      </c>
      <c r="G197">
        <v>61</v>
      </c>
      <c r="H197">
        <v>2681</v>
      </c>
      <c r="I197">
        <v>0.48706666747740701</v>
      </c>
      <c r="J197">
        <v>0.98558586947165205</v>
      </c>
      <c r="K197">
        <v>1.09330397194356</v>
      </c>
      <c r="L197" t="s">
        <v>1066</v>
      </c>
      <c r="M197" t="str">
        <f>HYPERLINK("../../3.KEGG_map/SCI_III-vs-NC-Up/rno05231.html","rno05231")</f>
        <v>rno05231</v>
      </c>
    </row>
    <row r="198" spans="1:13" x14ac:dyDescent="0.25">
      <c r="A198" t="s">
        <v>622</v>
      </c>
      <c r="B198" t="s">
        <v>623</v>
      </c>
      <c r="C198" t="s">
        <v>115</v>
      </c>
      <c r="D198" t="s">
        <v>621</v>
      </c>
      <c r="E198">
        <v>1</v>
      </c>
      <c r="F198">
        <v>201</v>
      </c>
      <c r="G198">
        <v>14</v>
      </c>
      <c r="H198">
        <v>2681</v>
      </c>
      <c r="I198">
        <v>0.66505831059829701</v>
      </c>
      <c r="J198">
        <v>0.98558586947165205</v>
      </c>
      <c r="K198">
        <v>0.95273631840796003</v>
      </c>
      <c r="L198" t="s">
        <v>208</v>
      </c>
      <c r="M198" t="str">
        <f>HYPERLINK("../../3.KEGG_map/SCI_III-vs-NC-Up/rno05321.html","rno05321")</f>
        <v>rno05321</v>
      </c>
    </row>
    <row r="199" spans="1:13" x14ac:dyDescent="0.25">
      <c r="A199" t="s">
        <v>627</v>
      </c>
      <c r="B199" t="s">
        <v>628</v>
      </c>
      <c r="C199" t="s">
        <v>115</v>
      </c>
      <c r="D199" t="s">
        <v>621</v>
      </c>
      <c r="E199">
        <v>1</v>
      </c>
      <c r="F199">
        <v>201</v>
      </c>
      <c r="G199">
        <v>17</v>
      </c>
      <c r="H199">
        <v>2681</v>
      </c>
      <c r="I199">
        <v>0.73524782797162902</v>
      </c>
      <c r="J199">
        <v>0.98558586947165205</v>
      </c>
      <c r="K199">
        <v>0.78460637986537896</v>
      </c>
      <c r="L199" t="s">
        <v>1067</v>
      </c>
      <c r="M199" t="str">
        <f>HYPERLINK("../../3.KEGG_map/SCI_III-vs-NC-Up/rno05323.html","rno05323")</f>
        <v>rno05323</v>
      </c>
    </row>
    <row r="200" spans="1:13" x14ac:dyDescent="0.25">
      <c r="A200" t="s">
        <v>633</v>
      </c>
      <c r="B200" t="s">
        <v>634</v>
      </c>
      <c r="C200" t="s">
        <v>115</v>
      </c>
      <c r="D200" t="s">
        <v>635</v>
      </c>
      <c r="E200">
        <v>5</v>
      </c>
      <c r="F200">
        <v>201</v>
      </c>
      <c r="G200">
        <v>60</v>
      </c>
      <c r="H200">
        <v>2681</v>
      </c>
      <c r="I200">
        <v>0.47219111740845399</v>
      </c>
      <c r="J200">
        <v>0.98558586947165205</v>
      </c>
      <c r="K200">
        <v>1.1115257048092899</v>
      </c>
      <c r="L200" t="s">
        <v>1068</v>
      </c>
      <c r="M200" t="str">
        <f>HYPERLINK("../../3.KEGG_map/SCI_III-vs-NC-Up/rno05410.html","rno05410")</f>
        <v>rno05410</v>
      </c>
    </row>
    <row r="201" spans="1:13" x14ac:dyDescent="0.25">
      <c r="A201" t="s">
        <v>637</v>
      </c>
      <c r="B201" t="s">
        <v>638</v>
      </c>
      <c r="C201" t="s">
        <v>115</v>
      </c>
      <c r="D201" t="s">
        <v>635</v>
      </c>
      <c r="E201">
        <v>7</v>
      </c>
      <c r="F201">
        <v>201</v>
      </c>
      <c r="G201">
        <v>59</v>
      </c>
      <c r="H201">
        <v>2681</v>
      </c>
      <c r="I201">
        <v>0.14911643131903499</v>
      </c>
      <c r="J201">
        <v>0.98558586947165205</v>
      </c>
      <c r="K201">
        <v>1.5825111729488199</v>
      </c>
      <c r="L201" t="s">
        <v>1069</v>
      </c>
      <c r="M201" t="str">
        <f>HYPERLINK("../../3.KEGG_map/SCI_III-vs-NC-Up/rno05412.html","rno05412")</f>
        <v>rno05412</v>
      </c>
    </row>
    <row r="202" spans="1:13" x14ac:dyDescent="0.25">
      <c r="A202" t="s">
        <v>640</v>
      </c>
      <c r="B202" t="s">
        <v>641</v>
      </c>
      <c r="C202" t="s">
        <v>115</v>
      </c>
      <c r="D202" t="s">
        <v>635</v>
      </c>
      <c r="E202">
        <v>5</v>
      </c>
      <c r="F202">
        <v>201</v>
      </c>
      <c r="G202">
        <v>69</v>
      </c>
      <c r="H202">
        <v>2681</v>
      </c>
      <c r="I202">
        <v>0.59961227258371597</v>
      </c>
      <c r="J202">
        <v>0.98558586947165205</v>
      </c>
      <c r="K202">
        <v>0.96654409113851003</v>
      </c>
      <c r="L202" t="s">
        <v>1068</v>
      </c>
      <c r="M202" t="str">
        <f>HYPERLINK("../../3.KEGG_map/SCI_III-vs-NC-Up/rno05414.html","rno05414")</f>
        <v>rno05414</v>
      </c>
    </row>
    <row r="203" spans="1:13" x14ac:dyDescent="0.25">
      <c r="A203" t="s">
        <v>642</v>
      </c>
      <c r="B203" t="s">
        <v>643</v>
      </c>
      <c r="C203" t="s">
        <v>115</v>
      </c>
      <c r="D203" t="s">
        <v>635</v>
      </c>
      <c r="E203">
        <v>1</v>
      </c>
      <c r="F203">
        <v>201</v>
      </c>
      <c r="G203">
        <v>22</v>
      </c>
      <c r="H203">
        <v>2681</v>
      </c>
      <c r="I203">
        <v>0.82120420836651897</v>
      </c>
      <c r="J203">
        <v>0.98558586947165205</v>
      </c>
      <c r="K203">
        <v>0.60628674807779304</v>
      </c>
      <c r="L203" t="s">
        <v>510</v>
      </c>
      <c r="M203" t="str">
        <f>HYPERLINK("../../3.KEGG_map/SCI_III-vs-NC-Up/rno05416.html","rno05416")</f>
        <v>rno05416</v>
      </c>
    </row>
    <row r="204" spans="1:13" x14ac:dyDescent="0.25">
      <c r="A204" t="s">
        <v>645</v>
      </c>
      <c r="B204" t="s">
        <v>646</v>
      </c>
      <c r="C204" t="s">
        <v>115</v>
      </c>
      <c r="D204" t="s">
        <v>635</v>
      </c>
      <c r="E204">
        <v>7</v>
      </c>
      <c r="F204">
        <v>201</v>
      </c>
      <c r="G204">
        <v>81</v>
      </c>
      <c r="H204">
        <v>2681</v>
      </c>
      <c r="I204">
        <v>0.405745222475559</v>
      </c>
      <c r="J204">
        <v>0.98558586947165205</v>
      </c>
      <c r="K204">
        <v>1.15269332350593</v>
      </c>
      <c r="L204" t="s">
        <v>1070</v>
      </c>
      <c r="M204" t="str">
        <f>HYPERLINK("../../3.KEGG_map/SCI_III-vs-NC-Up/rno05418.html","rno05418")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6B1F-75A1-4367-9991-3783851F40A6}">
  <dimension ref="A1:M270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5</v>
      </c>
      <c r="F2">
        <v>425</v>
      </c>
      <c r="G2">
        <v>64</v>
      </c>
      <c r="H2">
        <v>7679</v>
      </c>
      <c r="I2">
        <v>0.27954497258709898</v>
      </c>
      <c r="J2">
        <v>0.69632252652147997</v>
      </c>
      <c r="K2">
        <v>1.4115808823529401</v>
      </c>
      <c r="L2" t="s">
        <v>1071</v>
      </c>
      <c r="M2" t="str">
        <f>HYPERLINK("../../3.KEGG_map/SCI_I-vs-NC-Down/rno00010.html","rno00010")</f>
        <v>rno00010</v>
      </c>
    </row>
    <row r="3" spans="1:13" x14ac:dyDescent="0.25">
      <c r="A3" t="s">
        <v>877</v>
      </c>
      <c r="B3" t="s">
        <v>878</v>
      </c>
      <c r="C3" t="s">
        <v>15</v>
      </c>
      <c r="D3" t="s">
        <v>16</v>
      </c>
      <c r="E3">
        <v>1</v>
      </c>
      <c r="F3">
        <v>425</v>
      </c>
      <c r="G3">
        <v>31</v>
      </c>
      <c r="H3">
        <v>7679</v>
      </c>
      <c r="I3">
        <v>0.829425389154683</v>
      </c>
      <c r="J3">
        <v>1</v>
      </c>
      <c r="K3">
        <v>0.58284629981024705</v>
      </c>
      <c r="L3" t="s">
        <v>1072</v>
      </c>
      <c r="M3" t="str">
        <f>HYPERLINK("../../3.KEGG_map/SCI_I-vs-NC-Down/rno00020.html","rno00020")</f>
        <v>rno00020</v>
      </c>
    </row>
    <row r="4" spans="1:13" x14ac:dyDescent="0.25">
      <c r="A4" t="s">
        <v>1073</v>
      </c>
      <c r="B4" t="s">
        <v>1074</v>
      </c>
      <c r="C4" t="s">
        <v>15</v>
      </c>
      <c r="D4" t="s">
        <v>16</v>
      </c>
      <c r="E4">
        <v>2</v>
      </c>
      <c r="F4">
        <v>425</v>
      </c>
      <c r="G4">
        <v>29</v>
      </c>
      <c r="H4">
        <v>7679</v>
      </c>
      <c r="I4">
        <v>0.48258869319828301</v>
      </c>
      <c r="J4">
        <v>1</v>
      </c>
      <c r="K4">
        <v>1.2460851926977701</v>
      </c>
      <c r="L4" t="s">
        <v>1075</v>
      </c>
      <c r="M4" t="str">
        <f>HYPERLINK("../../3.KEGG_map/SCI_I-vs-NC-Down/rno00030.html","rno00030")</f>
        <v>rno00030</v>
      </c>
    </row>
    <row r="5" spans="1:13" x14ac:dyDescent="0.25">
      <c r="A5" t="s">
        <v>18</v>
      </c>
      <c r="B5" t="s">
        <v>19</v>
      </c>
      <c r="C5" t="s">
        <v>15</v>
      </c>
      <c r="D5" t="s">
        <v>16</v>
      </c>
      <c r="E5">
        <v>1</v>
      </c>
      <c r="F5">
        <v>425</v>
      </c>
      <c r="G5">
        <v>33</v>
      </c>
      <c r="H5">
        <v>7679</v>
      </c>
      <c r="I5">
        <v>0.84785751038898105</v>
      </c>
      <c r="J5">
        <v>1</v>
      </c>
      <c r="K5">
        <v>0.547522281639929</v>
      </c>
      <c r="L5" t="s">
        <v>1076</v>
      </c>
      <c r="M5" t="str">
        <f>HYPERLINK("../../3.KEGG_map/SCI_I-vs-NC-Down/rno00040.html","rno00040")</f>
        <v>rno00040</v>
      </c>
    </row>
    <row r="6" spans="1:13" x14ac:dyDescent="0.25">
      <c r="A6" t="s">
        <v>1077</v>
      </c>
      <c r="B6" t="s">
        <v>1078</v>
      </c>
      <c r="C6" t="s">
        <v>15</v>
      </c>
      <c r="D6" t="s">
        <v>16</v>
      </c>
      <c r="E6">
        <v>1</v>
      </c>
      <c r="F6">
        <v>425</v>
      </c>
      <c r="G6">
        <v>34</v>
      </c>
      <c r="H6">
        <v>7679</v>
      </c>
      <c r="I6">
        <v>0.85631429276992299</v>
      </c>
      <c r="J6">
        <v>1</v>
      </c>
      <c r="K6">
        <v>0.53141868512110702</v>
      </c>
      <c r="L6" t="s">
        <v>1079</v>
      </c>
      <c r="M6" t="str">
        <f>HYPERLINK("../../3.KEGG_map/SCI_I-vs-NC-Down/rno00051.html","rno00051")</f>
        <v>rno00051</v>
      </c>
    </row>
    <row r="7" spans="1:13" x14ac:dyDescent="0.25">
      <c r="A7" t="s">
        <v>21</v>
      </c>
      <c r="B7" t="s">
        <v>22</v>
      </c>
      <c r="C7" t="s">
        <v>15</v>
      </c>
      <c r="D7" t="s">
        <v>16</v>
      </c>
      <c r="E7">
        <v>2</v>
      </c>
      <c r="F7">
        <v>425</v>
      </c>
      <c r="G7">
        <v>26</v>
      </c>
      <c r="H7">
        <v>7679</v>
      </c>
      <c r="I7">
        <v>0.426029164869906</v>
      </c>
      <c r="J7">
        <v>0.96402117099898299</v>
      </c>
      <c r="K7">
        <v>1.38986425339367</v>
      </c>
      <c r="L7" t="s">
        <v>1080</v>
      </c>
      <c r="M7" t="str">
        <f>HYPERLINK("../../3.KEGG_map/SCI_I-vs-NC-Down/rno00053.html","rno00053")</f>
        <v>rno00053</v>
      </c>
    </row>
    <row r="8" spans="1:13" x14ac:dyDescent="0.25">
      <c r="A8" t="s">
        <v>1081</v>
      </c>
      <c r="B8" t="s">
        <v>1082</v>
      </c>
      <c r="C8" t="s">
        <v>15</v>
      </c>
      <c r="D8" t="s">
        <v>25</v>
      </c>
      <c r="E8">
        <v>2</v>
      </c>
      <c r="F8">
        <v>425</v>
      </c>
      <c r="G8">
        <v>13</v>
      </c>
      <c r="H8">
        <v>7679</v>
      </c>
      <c r="I8">
        <v>0.159536067487765</v>
      </c>
      <c r="J8">
        <v>0.46567288609070001</v>
      </c>
      <c r="K8">
        <v>2.7797285067873299</v>
      </c>
      <c r="L8" t="s">
        <v>1083</v>
      </c>
      <c r="M8" t="str">
        <f>HYPERLINK("../../3.KEGG_map/SCI_I-vs-NC-Down/rno00061.html","rno00061")</f>
        <v>rno00061</v>
      </c>
    </row>
    <row r="9" spans="1:13" x14ac:dyDescent="0.25">
      <c r="A9" t="s">
        <v>1084</v>
      </c>
      <c r="B9" t="s">
        <v>1085</v>
      </c>
      <c r="C9" t="s">
        <v>15</v>
      </c>
      <c r="D9" t="s">
        <v>25</v>
      </c>
      <c r="E9">
        <v>1</v>
      </c>
      <c r="F9">
        <v>425</v>
      </c>
      <c r="G9">
        <v>28</v>
      </c>
      <c r="H9">
        <v>7679</v>
      </c>
      <c r="I9">
        <v>0.79751859708761996</v>
      </c>
      <c r="J9">
        <v>1</v>
      </c>
      <c r="K9">
        <v>0.64529411764705902</v>
      </c>
      <c r="L9" t="s">
        <v>1086</v>
      </c>
      <c r="M9" t="str">
        <f>HYPERLINK("../../3.KEGG_map/SCI_I-vs-NC-Down/rno00062.html","rno00062")</f>
        <v>rno00062</v>
      </c>
    </row>
    <row r="10" spans="1:13" x14ac:dyDescent="0.25">
      <c r="A10" t="s">
        <v>1087</v>
      </c>
      <c r="B10" t="s">
        <v>1088</v>
      </c>
      <c r="C10" t="s">
        <v>15</v>
      </c>
      <c r="D10" t="s">
        <v>25</v>
      </c>
      <c r="E10">
        <v>4</v>
      </c>
      <c r="F10">
        <v>425</v>
      </c>
      <c r="G10">
        <v>44</v>
      </c>
      <c r="H10">
        <v>7679</v>
      </c>
      <c r="I10">
        <v>0.22477968426366601</v>
      </c>
      <c r="J10">
        <v>0.58348498223065204</v>
      </c>
      <c r="K10">
        <v>1.6425668449197901</v>
      </c>
      <c r="L10" t="s">
        <v>1089</v>
      </c>
      <c r="M10" t="str">
        <f>HYPERLINK("../../3.KEGG_map/SCI_I-vs-NC-Down/rno00071.html","rno00071")</f>
        <v>rno00071</v>
      </c>
    </row>
    <row r="11" spans="1:13" x14ac:dyDescent="0.25">
      <c r="A11" t="s">
        <v>1090</v>
      </c>
      <c r="B11" t="s">
        <v>1091</v>
      </c>
      <c r="C11" t="s">
        <v>15</v>
      </c>
      <c r="D11" t="s">
        <v>25</v>
      </c>
      <c r="E11">
        <v>1</v>
      </c>
      <c r="F11">
        <v>425</v>
      </c>
      <c r="G11">
        <v>10</v>
      </c>
      <c r="H11">
        <v>7679</v>
      </c>
      <c r="I11">
        <v>0.43430856796706102</v>
      </c>
      <c r="J11">
        <v>0.97357503985949401</v>
      </c>
      <c r="K11">
        <v>1.8068235294117601</v>
      </c>
      <c r="L11" t="s">
        <v>1092</v>
      </c>
      <c r="M11" t="str">
        <f>HYPERLINK("../../3.KEGG_map/SCI_I-vs-NC-Down/rno00072.html","rno00072")</f>
        <v>rno00072</v>
      </c>
    </row>
    <row r="12" spans="1:13" x14ac:dyDescent="0.25">
      <c r="A12" t="s">
        <v>1093</v>
      </c>
      <c r="B12" t="s">
        <v>1094</v>
      </c>
      <c r="C12" t="s">
        <v>15</v>
      </c>
      <c r="D12" t="s">
        <v>25</v>
      </c>
      <c r="E12">
        <v>1</v>
      </c>
      <c r="F12">
        <v>425</v>
      </c>
      <c r="G12">
        <v>19</v>
      </c>
      <c r="H12">
        <v>7679</v>
      </c>
      <c r="I12">
        <v>0.66145435051535895</v>
      </c>
      <c r="J12">
        <v>1</v>
      </c>
      <c r="K12">
        <v>0.95095975232198104</v>
      </c>
      <c r="L12" t="s">
        <v>1095</v>
      </c>
      <c r="M12" t="str">
        <f>HYPERLINK("../../3.KEGG_map/SCI_I-vs-NC-Down/rno00100.html","rno00100")</f>
        <v>rno00100</v>
      </c>
    </row>
    <row r="13" spans="1:13" x14ac:dyDescent="0.25">
      <c r="A13" t="s">
        <v>1096</v>
      </c>
      <c r="B13" t="s">
        <v>1097</v>
      </c>
      <c r="C13" t="s">
        <v>15</v>
      </c>
      <c r="D13" t="s">
        <v>25</v>
      </c>
      <c r="E13">
        <v>5</v>
      </c>
      <c r="F13">
        <v>425</v>
      </c>
      <c r="G13">
        <v>16</v>
      </c>
      <c r="H13">
        <v>7679</v>
      </c>
      <c r="I13">
        <v>1.3319444392895601E-3</v>
      </c>
      <c r="J13">
        <v>2.1076062009934799E-2</v>
      </c>
      <c r="K13">
        <v>5.6463235294117604</v>
      </c>
      <c r="L13" t="s">
        <v>1098</v>
      </c>
      <c r="M13" t="str">
        <f>HYPERLINK("../../3.KEGG_map/SCI_I-vs-NC-Down/rno00120.html","rno00120")</f>
        <v>rno00120</v>
      </c>
    </row>
    <row r="14" spans="1:13" x14ac:dyDescent="0.25">
      <c r="A14" t="s">
        <v>23</v>
      </c>
      <c r="B14" t="s">
        <v>24</v>
      </c>
      <c r="C14" t="s">
        <v>15</v>
      </c>
      <c r="D14" t="s">
        <v>25</v>
      </c>
      <c r="E14">
        <v>8</v>
      </c>
      <c r="F14">
        <v>425</v>
      </c>
      <c r="G14">
        <v>75</v>
      </c>
      <c r="H14">
        <v>7679</v>
      </c>
      <c r="I14">
        <v>5.4382136347136602E-2</v>
      </c>
      <c r="J14">
        <v>0.256645520655785</v>
      </c>
      <c r="K14">
        <v>1.9272784313725499</v>
      </c>
      <c r="L14" t="s">
        <v>1099</v>
      </c>
      <c r="M14" t="str">
        <f>HYPERLINK("../../3.KEGG_map/SCI_I-vs-NC-Down/rno00140.html","rno00140")</f>
        <v>rno00140</v>
      </c>
    </row>
    <row r="15" spans="1:13" x14ac:dyDescent="0.25">
      <c r="A15" t="s">
        <v>649</v>
      </c>
      <c r="B15" t="s">
        <v>650</v>
      </c>
      <c r="C15" t="s">
        <v>15</v>
      </c>
      <c r="D15" t="s">
        <v>651</v>
      </c>
      <c r="E15">
        <v>3</v>
      </c>
      <c r="F15">
        <v>425</v>
      </c>
      <c r="G15">
        <v>119</v>
      </c>
      <c r="H15">
        <v>7679</v>
      </c>
      <c r="I15">
        <v>0.96439265732237001</v>
      </c>
      <c r="J15">
        <v>1</v>
      </c>
      <c r="K15">
        <v>0.45550173010380601</v>
      </c>
      <c r="L15" t="s">
        <v>1100</v>
      </c>
      <c r="M15" t="str">
        <f>HYPERLINK("../../3.KEGG_map/SCI_I-vs-NC-Down/rno00190.html","rno00190")</f>
        <v>rno00190</v>
      </c>
    </row>
    <row r="16" spans="1:13" x14ac:dyDescent="0.25">
      <c r="A16" t="s">
        <v>31</v>
      </c>
      <c r="B16" t="s">
        <v>32</v>
      </c>
      <c r="C16" t="s">
        <v>15</v>
      </c>
      <c r="D16" t="s">
        <v>33</v>
      </c>
      <c r="E16">
        <v>12</v>
      </c>
      <c r="F16">
        <v>425</v>
      </c>
      <c r="G16">
        <v>169</v>
      </c>
      <c r="H16">
        <v>7679</v>
      </c>
      <c r="I16">
        <v>0.22558527194047501</v>
      </c>
      <c r="J16">
        <v>0.58348498223065204</v>
      </c>
      <c r="K16">
        <v>1.2829516185172301</v>
      </c>
      <c r="L16" t="s">
        <v>1101</v>
      </c>
      <c r="M16" t="str">
        <f>HYPERLINK("../../3.KEGG_map/SCI_I-vs-NC-Down/rno00230.html","rno00230")</f>
        <v>rno00230</v>
      </c>
    </row>
    <row r="17" spans="1:13" x14ac:dyDescent="0.25">
      <c r="A17" t="s">
        <v>35</v>
      </c>
      <c r="B17" t="s">
        <v>36</v>
      </c>
      <c r="C17" t="s">
        <v>15</v>
      </c>
      <c r="D17" t="s">
        <v>33</v>
      </c>
      <c r="E17">
        <v>2</v>
      </c>
      <c r="F17">
        <v>425</v>
      </c>
      <c r="G17">
        <v>96</v>
      </c>
      <c r="H17">
        <v>7679</v>
      </c>
      <c r="I17">
        <v>0.97264890669312298</v>
      </c>
      <c r="J17">
        <v>1</v>
      </c>
      <c r="K17">
        <v>0.37642156862745102</v>
      </c>
      <c r="L17" t="s">
        <v>1102</v>
      </c>
      <c r="M17" t="str">
        <f>HYPERLINK("../../3.KEGG_map/SCI_I-vs-NC-Down/rno00240.html","rno00240")</f>
        <v>rno00240</v>
      </c>
    </row>
    <row r="18" spans="1:13" x14ac:dyDescent="0.25">
      <c r="A18" t="s">
        <v>38</v>
      </c>
      <c r="B18" t="s">
        <v>39</v>
      </c>
      <c r="C18" t="s">
        <v>15</v>
      </c>
      <c r="D18" t="s">
        <v>29</v>
      </c>
      <c r="E18">
        <v>2</v>
      </c>
      <c r="F18">
        <v>425</v>
      </c>
      <c r="G18">
        <v>35</v>
      </c>
      <c r="H18">
        <v>7679</v>
      </c>
      <c r="I18">
        <v>0.58473045111202704</v>
      </c>
      <c r="J18">
        <v>1</v>
      </c>
      <c r="K18">
        <v>1.03247058823529</v>
      </c>
      <c r="L18" t="s">
        <v>1103</v>
      </c>
      <c r="M18" t="str">
        <f>HYPERLINK("../../3.KEGG_map/SCI_I-vs-NC-Down/rno00250.html","rno00250")</f>
        <v>rno00250</v>
      </c>
    </row>
    <row r="19" spans="1:13" x14ac:dyDescent="0.25">
      <c r="A19" t="s">
        <v>1104</v>
      </c>
      <c r="B19" t="s">
        <v>1105</v>
      </c>
      <c r="C19" t="s">
        <v>15</v>
      </c>
      <c r="D19" t="s">
        <v>29</v>
      </c>
      <c r="E19">
        <v>3</v>
      </c>
      <c r="F19">
        <v>425</v>
      </c>
      <c r="G19">
        <v>38</v>
      </c>
      <c r="H19">
        <v>7679</v>
      </c>
      <c r="I19">
        <v>0.35198311622388001</v>
      </c>
      <c r="J19">
        <v>0.83055665144055801</v>
      </c>
      <c r="K19">
        <v>1.4264396284829699</v>
      </c>
      <c r="L19" t="s">
        <v>1106</v>
      </c>
      <c r="M19" t="str">
        <f>HYPERLINK("../../3.KEGG_map/SCI_I-vs-NC-Down/rno00260.html","rno00260")</f>
        <v>rno00260</v>
      </c>
    </row>
    <row r="20" spans="1:13" x14ac:dyDescent="0.25">
      <c r="A20" t="s">
        <v>40</v>
      </c>
      <c r="B20" t="s">
        <v>41</v>
      </c>
      <c r="C20" t="s">
        <v>15</v>
      </c>
      <c r="D20" t="s">
        <v>29</v>
      </c>
      <c r="E20">
        <v>1</v>
      </c>
      <c r="F20">
        <v>425</v>
      </c>
      <c r="G20">
        <v>45</v>
      </c>
      <c r="H20">
        <v>7679</v>
      </c>
      <c r="I20">
        <v>0.92344276042239803</v>
      </c>
      <c r="J20">
        <v>1</v>
      </c>
      <c r="K20">
        <v>0.40151633986928098</v>
      </c>
      <c r="L20" t="s">
        <v>1107</v>
      </c>
      <c r="M20" t="str">
        <f>HYPERLINK("../../3.KEGG_map/SCI_I-vs-NC-Down/rno00270.html","rno00270")</f>
        <v>rno00270</v>
      </c>
    </row>
    <row r="21" spans="1:13" x14ac:dyDescent="0.25">
      <c r="A21" t="s">
        <v>655</v>
      </c>
      <c r="B21" t="s">
        <v>656</v>
      </c>
      <c r="C21" t="s">
        <v>15</v>
      </c>
      <c r="D21" t="s">
        <v>29</v>
      </c>
      <c r="E21">
        <v>5</v>
      </c>
      <c r="F21">
        <v>425</v>
      </c>
      <c r="G21">
        <v>53</v>
      </c>
      <c r="H21">
        <v>7679</v>
      </c>
      <c r="I21">
        <v>0.167919219147948</v>
      </c>
      <c r="J21">
        <v>0.46567288609070001</v>
      </c>
      <c r="K21">
        <v>1.70455049944506</v>
      </c>
      <c r="L21" t="s">
        <v>1108</v>
      </c>
      <c r="M21" t="str">
        <f>HYPERLINK("../../3.KEGG_map/SCI_I-vs-NC-Down/rno00280.html","rno00280")</f>
        <v>rno00280</v>
      </c>
    </row>
    <row r="22" spans="1:13" x14ac:dyDescent="0.25">
      <c r="A22" t="s">
        <v>42</v>
      </c>
      <c r="B22" t="s">
        <v>43</v>
      </c>
      <c r="C22" t="s">
        <v>15</v>
      </c>
      <c r="D22" t="s">
        <v>29</v>
      </c>
      <c r="E22">
        <v>4</v>
      </c>
      <c r="F22">
        <v>425</v>
      </c>
      <c r="G22">
        <v>54</v>
      </c>
      <c r="H22">
        <v>7679</v>
      </c>
      <c r="I22">
        <v>0.35004059918929498</v>
      </c>
      <c r="J22">
        <v>0.83055665144055801</v>
      </c>
      <c r="K22">
        <v>1.3383877995642699</v>
      </c>
      <c r="L22" t="s">
        <v>1109</v>
      </c>
      <c r="M22" t="str">
        <f>HYPERLINK("../../3.KEGG_map/SCI_I-vs-NC-Down/rno00310.html","rno00310")</f>
        <v>rno00310</v>
      </c>
    </row>
    <row r="23" spans="1:13" x14ac:dyDescent="0.25">
      <c r="A23" t="s">
        <v>1110</v>
      </c>
      <c r="B23" t="s">
        <v>1111</v>
      </c>
      <c r="C23" t="s">
        <v>15</v>
      </c>
      <c r="D23" t="s">
        <v>29</v>
      </c>
      <c r="E23">
        <v>5</v>
      </c>
      <c r="F23">
        <v>425</v>
      </c>
      <c r="G23">
        <v>48</v>
      </c>
      <c r="H23">
        <v>7679</v>
      </c>
      <c r="I23">
        <v>0.124397704438758</v>
      </c>
      <c r="J23">
        <v>0.42782128747682802</v>
      </c>
      <c r="K23">
        <v>1.88210784313726</v>
      </c>
      <c r="L23" t="s">
        <v>1112</v>
      </c>
      <c r="M23" t="str">
        <f>HYPERLINK("../../3.KEGG_map/SCI_I-vs-NC-Down/rno00330.html","rno00330")</f>
        <v>rno00330</v>
      </c>
    </row>
    <row r="24" spans="1:13" x14ac:dyDescent="0.25">
      <c r="A24" t="s">
        <v>1113</v>
      </c>
      <c r="B24" t="s">
        <v>1114</v>
      </c>
      <c r="C24" t="s">
        <v>15</v>
      </c>
      <c r="D24" t="s">
        <v>29</v>
      </c>
      <c r="E24">
        <v>3</v>
      </c>
      <c r="F24">
        <v>425</v>
      </c>
      <c r="G24">
        <v>23</v>
      </c>
      <c r="H24">
        <v>7679</v>
      </c>
      <c r="I24">
        <v>0.13159413902818501</v>
      </c>
      <c r="J24">
        <v>0.43513159150906999</v>
      </c>
      <c r="K24">
        <v>2.3567263427110001</v>
      </c>
      <c r="L24" t="s">
        <v>1115</v>
      </c>
      <c r="M24" t="str">
        <f>HYPERLINK("../../3.KEGG_map/SCI_I-vs-NC-Down/rno00340.html","rno00340")</f>
        <v>rno00340</v>
      </c>
    </row>
    <row r="25" spans="1:13" x14ac:dyDescent="0.25">
      <c r="A25" t="s">
        <v>1116</v>
      </c>
      <c r="B25" t="s">
        <v>1117</v>
      </c>
      <c r="C25" t="s">
        <v>15</v>
      </c>
      <c r="D25" t="s">
        <v>29</v>
      </c>
      <c r="E25">
        <v>9</v>
      </c>
      <c r="F25">
        <v>425</v>
      </c>
      <c r="G25">
        <v>38</v>
      </c>
      <c r="H25">
        <v>7679</v>
      </c>
      <c r="I25">
        <v>1.7324957309454E-4</v>
      </c>
      <c r="J25">
        <v>5.1782372402701298E-3</v>
      </c>
      <c r="K25">
        <v>4.2793188854489204</v>
      </c>
      <c r="L25" t="s">
        <v>1118</v>
      </c>
      <c r="M25" t="str">
        <f>HYPERLINK("../../3.KEGG_map/SCI_I-vs-NC-Down/rno00350.html","rno00350")</f>
        <v>rno00350</v>
      </c>
    </row>
    <row r="26" spans="1:13" x14ac:dyDescent="0.25">
      <c r="A26" t="s">
        <v>1119</v>
      </c>
      <c r="B26" t="s">
        <v>1120</v>
      </c>
      <c r="C26" t="s">
        <v>15</v>
      </c>
      <c r="D26" t="s">
        <v>29</v>
      </c>
      <c r="E26">
        <v>3</v>
      </c>
      <c r="F26">
        <v>425</v>
      </c>
      <c r="G26">
        <v>20</v>
      </c>
      <c r="H26">
        <v>7679</v>
      </c>
      <c r="I26">
        <v>9.5445815651287805E-2</v>
      </c>
      <c r="J26">
        <v>0.38282994015448701</v>
      </c>
      <c r="K26">
        <v>2.7102352941176502</v>
      </c>
      <c r="L26" t="s">
        <v>1121</v>
      </c>
      <c r="M26" t="str">
        <f>HYPERLINK("../../3.KEGG_map/SCI_I-vs-NC-Down/rno00360.html","rno00360")</f>
        <v>rno00360</v>
      </c>
    </row>
    <row r="27" spans="1:13" x14ac:dyDescent="0.25">
      <c r="A27" t="s">
        <v>1122</v>
      </c>
      <c r="B27" t="s">
        <v>1123</v>
      </c>
      <c r="C27" t="s">
        <v>15</v>
      </c>
      <c r="D27" t="s">
        <v>29</v>
      </c>
      <c r="E27">
        <v>5</v>
      </c>
      <c r="F27">
        <v>425</v>
      </c>
      <c r="G27">
        <v>45</v>
      </c>
      <c r="H27">
        <v>7679</v>
      </c>
      <c r="I27">
        <v>0.101175122935984</v>
      </c>
      <c r="J27">
        <v>0.38282994015448701</v>
      </c>
      <c r="K27">
        <v>2.0075816993464102</v>
      </c>
      <c r="L27" t="s">
        <v>1124</v>
      </c>
      <c r="M27" t="str">
        <f>HYPERLINK("../../3.KEGG_map/SCI_I-vs-NC-Down/rno00380.html","rno00380")</f>
        <v>rno00380</v>
      </c>
    </row>
    <row r="28" spans="1:13" x14ac:dyDescent="0.25">
      <c r="A28" t="s">
        <v>659</v>
      </c>
      <c r="B28" t="s">
        <v>660</v>
      </c>
      <c r="C28" t="s">
        <v>15</v>
      </c>
      <c r="D28" t="s">
        <v>47</v>
      </c>
      <c r="E28">
        <v>3</v>
      </c>
      <c r="F28">
        <v>425</v>
      </c>
      <c r="G28">
        <v>30</v>
      </c>
      <c r="H28">
        <v>7679</v>
      </c>
      <c r="I28">
        <v>0.22949208547127101</v>
      </c>
      <c r="J28">
        <v>0.58793686658830302</v>
      </c>
      <c r="K28">
        <v>1.8068235294117601</v>
      </c>
      <c r="L28" t="s">
        <v>1125</v>
      </c>
      <c r="M28" t="str">
        <f>HYPERLINK("../../3.KEGG_map/SCI_I-vs-NC-Down/rno00410.html","rno00410")</f>
        <v>rno00410</v>
      </c>
    </row>
    <row r="29" spans="1:13" x14ac:dyDescent="0.25">
      <c r="A29" t="s">
        <v>45</v>
      </c>
      <c r="B29" t="s">
        <v>46</v>
      </c>
      <c r="C29" t="s">
        <v>15</v>
      </c>
      <c r="D29" t="s">
        <v>47</v>
      </c>
      <c r="E29">
        <v>4</v>
      </c>
      <c r="F29">
        <v>425</v>
      </c>
      <c r="G29">
        <v>58</v>
      </c>
      <c r="H29">
        <v>7679</v>
      </c>
      <c r="I29">
        <v>0.401144092949897</v>
      </c>
      <c r="J29">
        <v>0.92228855558566003</v>
      </c>
      <c r="K29">
        <v>1.2460851926977701</v>
      </c>
      <c r="L29" t="s">
        <v>1126</v>
      </c>
      <c r="M29" t="str">
        <f>HYPERLINK("../../3.KEGG_map/SCI_I-vs-NC-Down/rno00480.html","rno00480")</f>
        <v>rno00480</v>
      </c>
    </row>
    <row r="30" spans="1:13" x14ac:dyDescent="0.25">
      <c r="A30" t="s">
        <v>662</v>
      </c>
      <c r="B30" t="s">
        <v>663</v>
      </c>
      <c r="C30" t="s">
        <v>15</v>
      </c>
      <c r="D30" t="s">
        <v>16</v>
      </c>
      <c r="E30">
        <v>2</v>
      </c>
      <c r="F30">
        <v>425</v>
      </c>
      <c r="G30">
        <v>29</v>
      </c>
      <c r="H30">
        <v>7679</v>
      </c>
      <c r="I30">
        <v>0.48258869319828301</v>
      </c>
      <c r="J30">
        <v>1</v>
      </c>
      <c r="K30">
        <v>1.2460851926977701</v>
      </c>
      <c r="L30" t="s">
        <v>1127</v>
      </c>
      <c r="M30" t="str">
        <f>HYPERLINK("../../3.KEGG_map/SCI_I-vs-NC-Down/rno00500.html","rno00500")</f>
        <v>rno00500</v>
      </c>
    </row>
    <row r="31" spans="1:13" x14ac:dyDescent="0.25">
      <c r="A31" t="s">
        <v>885</v>
      </c>
      <c r="B31" t="s">
        <v>886</v>
      </c>
      <c r="C31" t="s">
        <v>15</v>
      </c>
      <c r="D31" t="s">
        <v>51</v>
      </c>
      <c r="E31">
        <v>1</v>
      </c>
      <c r="F31">
        <v>425</v>
      </c>
      <c r="G31">
        <v>48</v>
      </c>
      <c r="H31">
        <v>7679</v>
      </c>
      <c r="I31">
        <v>0.93553190880700499</v>
      </c>
      <c r="J31">
        <v>1</v>
      </c>
      <c r="K31">
        <v>0.37642156862745102</v>
      </c>
      <c r="L31" t="s">
        <v>1128</v>
      </c>
      <c r="M31" t="str">
        <f>HYPERLINK("../../3.KEGG_map/SCI_I-vs-NC-Down/rno00510.html","rno00510")</f>
        <v>rno00510</v>
      </c>
    </row>
    <row r="32" spans="1:13" x14ac:dyDescent="0.25">
      <c r="A32" t="s">
        <v>888</v>
      </c>
      <c r="B32" t="s">
        <v>889</v>
      </c>
      <c r="C32" t="s">
        <v>15</v>
      </c>
      <c r="D32" t="s">
        <v>51</v>
      </c>
      <c r="E32">
        <v>1</v>
      </c>
      <c r="F32">
        <v>425</v>
      </c>
      <c r="G32">
        <v>27</v>
      </c>
      <c r="H32">
        <v>7679</v>
      </c>
      <c r="I32">
        <v>0.785611222487128</v>
      </c>
      <c r="J32">
        <v>1</v>
      </c>
      <c r="K32">
        <v>0.66919389978213495</v>
      </c>
      <c r="L32" t="s">
        <v>1129</v>
      </c>
      <c r="M32" t="str">
        <f>HYPERLINK("../../3.KEGG_map/SCI_I-vs-NC-Down/rno00512.html","rno00512")</f>
        <v>rno00512</v>
      </c>
    </row>
    <row r="33" spans="1:13" x14ac:dyDescent="0.25">
      <c r="A33" t="s">
        <v>49</v>
      </c>
      <c r="B33" t="s">
        <v>50</v>
      </c>
      <c r="C33" t="s">
        <v>15</v>
      </c>
      <c r="D33" t="s">
        <v>51</v>
      </c>
      <c r="E33">
        <v>1</v>
      </c>
      <c r="F33">
        <v>425</v>
      </c>
      <c r="G33">
        <v>22</v>
      </c>
      <c r="H33">
        <v>7679</v>
      </c>
      <c r="I33">
        <v>0.71474284857430603</v>
      </c>
      <c r="J33">
        <v>1</v>
      </c>
      <c r="K33">
        <v>0.82128342245989305</v>
      </c>
      <c r="L33" t="s">
        <v>1128</v>
      </c>
      <c r="M33" t="str">
        <f>HYPERLINK("../../3.KEGG_map/SCI_I-vs-NC-Down/rno00514.html","rno00514")</f>
        <v>rno00514</v>
      </c>
    </row>
    <row r="34" spans="1:13" x14ac:dyDescent="0.25">
      <c r="A34" t="s">
        <v>53</v>
      </c>
      <c r="B34" t="s">
        <v>54</v>
      </c>
      <c r="C34" t="s">
        <v>15</v>
      </c>
      <c r="D34" t="s">
        <v>16</v>
      </c>
      <c r="E34">
        <v>2</v>
      </c>
      <c r="F34">
        <v>425</v>
      </c>
      <c r="G34">
        <v>47</v>
      </c>
      <c r="H34">
        <v>7679</v>
      </c>
      <c r="I34">
        <v>0.74253911465009204</v>
      </c>
      <c r="J34">
        <v>1</v>
      </c>
      <c r="K34">
        <v>0.76886107634543199</v>
      </c>
      <c r="L34" t="s">
        <v>1130</v>
      </c>
      <c r="M34" t="str">
        <f>HYPERLINK("../../3.KEGG_map/SCI_I-vs-NC-Down/rno00520.html","rno00520")</f>
        <v>rno00520</v>
      </c>
    </row>
    <row r="35" spans="1:13" x14ac:dyDescent="0.25">
      <c r="A35" t="s">
        <v>1131</v>
      </c>
      <c r="B35" t="s">
        <v>1132</v>
      </c>
      <c r="C35" t="s">
        <v>15</v>
      </c>
      <c r="D35" t="s">
        <v>51</v>
      </c>
      <c r="E35">
        <v>1</v>
      </c>
      <c r="F35">
        <v>425</v>
      </c>
      <c r="G35">
        <v>20</v>
      </c>
      <c r="H35">
        <v>7679</v>
      </c>
      <c r="I35">
        <v>0.68023788850895806</v>
      </c>
      <c r="J35">
        <v>1</v>
      </c>
      <c r="K35">
        <v>0.90341176470588203</v>
      </c>
      <c r="L35" t="s">
        <v>1133</v>
      </c>
      <c r="M35" t="str">
        <f>HYPERLINK("../../3.KEGG_map/SCI_I-vs-NC-Down/rno00531.html","rno00531")</f>
        <v>rno00531</v>
      </c>
    </row>
    <row r="36" spans="1:13" x14ac:dyDescent="0.25">
      <c r="A36" t="s">
        <v>1134</v>
      </c>
      <c r="B36" t="s">
        <v>1135</v>
      </c>
      <c r="C36" t="s">
        <v>15</v>
      </c>
      <c r="D36" t="s">
        <v>51</v>
      </c>
      <c r="E36">
        <v>3</v>
      </c>
      <c r="F36">
        <v>425</v>
      </c>
      <c r="G36">
        <v>25</v>
      </c>
      <c r="H36">
        <v>7679</v>
      </c>
      <c r="I36">
        <v>0.157941307544404</v>
      </c>
      <c r="J36">
        <v>0.46567288609070001</v>
      </c>
      <c r="K36">
        <v>2.16818823529412</v>
      </c>
      <c r="L36" t="s">
        <v>1136</v>
      </c>
      <c r="M36" t="str">
        <f>HYPERLINK("../../3.KEGG_map/SCI_I-vs-NC-Down/rno00534.html","rno00534")</f>
        <v>rno00534</v>
      </c>
    </row>
    <row r="37" spans="1:13" x14ac:dyDescent="0.25">
      <c r="A37" t="s">
        <v>59</v>
      </c>
      <c r="B37" t="s">
        <v>60</v>
      </c>
      <c r="C37" t="s">
        <v>15</v>
      </c>
      <c r="D37" t="s">
        <v>25</v>
      </c>
      <c r="E37">
        <v>9</v>
      </c>
      <c r="F37">
        <v>425</v>
      </c>
      <c r="G37">
        <v>61</v>
      </c>
      <c r="H37">
        <v>7679</v>
      </c>
      <c r="I37">
        <v>5.9681175555609204E-3</v>
      </c>
      <c r="J37">
        <v>6.6892650935245407E-2</v>
      </c>
      <c r="K37">
        <v>2.6658052073288299</v>
      </c>
      <c r="L37" t="s">
        <v>1137</v>
      </c>
      <c r="M37" t="str">
        <f>HYPERLINK("../../3.KEGG_map/SCI_I-vs-NC-Down/rno00561.html","rno00561")</f>
        <v>rno00561</v>
      </c>
    </row>
    <row r="38" spans="1:13" x14ac:dyDescent="0.25">
      <c r="A38" t="s">
        <v>62</v>
      </c>
      <c r="B38" t="s">
        <v>63</v>
      </c>
      <c r="C38" t="s">
        <v>15</v>
      </c>
      <c r="D38" t="s">
        <v>16</v>
      </c>
      <c r="E38">
        <v>4</v>
      </c>
      <c r="F38">
        <v>425</v>
      </c>
      <c r="G38">
        <v>73</v>
      </c>
      <c r="H38">
        <v>7679</v>
      </c>
      <c r="I38">
        <v>0.58102855419850097</v>
      </c>
      <c r="J38">
        <v>1</v>
      </c>
      <c r="K38">
        <v>0.99004029008863803</v>
      </c>
      <c r="L38" t="s">
        <v>1138</v>
      </c>
      <c r="M38" t="str">
        <f>HYPERLINK("../../3.KEGG_map/SCI_I-vs-NC-Down/rno00562.html","rno00562")</f>
        <v>rno00562</v>
      </c>
    </row>
    <row r="39" spans="1:13" x14ac:dyDescent="0.25">
      <c r="A39" t="s">
        <v>68</v>
      </c>
      <c r="B39" t="s">
        <v>69</v>
      </c>
      <c r="C39" t="s">
        <v>15</v>
      </c>
      <c r="D39" t="s">
        <v>25</v>
      </c>
      <c r="E39">
        <v>12</v>
      </c>
      <c r="F39">
        <v>425</v>
      </c>
      <c r="G39">
        <v>96</v>
      </c>
      <c r="H39">
        <v>7679</v>
      </c>
      <c r="I39">
        <v>6.4339024388925699E-3</v>
      </c>
      <c r="J39">
        <v>6.9228790242484003E-2</v>
      </c>
      <c r="K39">
        <v>2.2585294117647101</v>
      </c>
      <c r="L39" t="s">
        <v>1139</v>
      </c>
      <c r="M39" t="str">
        <f>HYPERLINK("../../3.KEGG_map/SCI_I-vs-NC-Down/rno00564.html","rno00564")</f>
        <v>rno00564</v>
      </c>
    </row>
    <row r="40" spans="1:13" x14ac:dyDescent="0.25">
      <c r="A40" t="s">
        <v>71</v>
      </c>
      <c r="B40" t="s">
        <v>72</v>
      </c>
      <c r="C40" t="s">
        <v>15</v>
      </c>
      <c r="D40" t="s">
        <v>25</v>
      </c>
      <c r="E40">
        <v>7</v>
      </c>
      <c r="F40">
        <v>425</v>
      </c>
      <c r="G40">
        <v>45</v>
      </c>
      <c r="H40">
        <v>7679</v>
      </c>
      <c r="I40">
        <v>1.10600199984078E-2</v>
      </c>
      <c r="J40">
        <v>9.9171512652389701E-2</v>
      </c>
      <c r="K40">
        <v>2.8106143790849698</v>
      </c>
      <c r="L40" t="s">
        <v>1140</v>
      </c>
      <c r="M40" t="str">
        <f>HYPERLINK("../../3.KEGG_map/SCI_I-vs-NC-Down/rno00565.html","rno00565")</f>
        <v>rno00565</v>
      </c>
    </row>
    <row r="41" spans="1:13" x14ac:dyDescent="0.25">
      <c r="A41" t="s">
        <v>74</v>
      </c>
      <c r="B41" t="s">
        <v>75</v>
      </c>
      <c r="C41" t="s">
        <v>15</v>
      </c>
      <c r="D41" t="s">
        <v>25</v>
      </c>
      <c r="E41">
        <v>9</v>
      </c>
      <c r="F41">
        <v>425</v>
      </c>
      <c r="G41">
        <v>77</v>
      </c>
      <c r="H41">
        <v>7679</v>
      </c>
      <c r="I41">
        <v>2.5606487504800501E-2</v>
      </c>
      <c r="J41">
        <v>0.164003455685508</v>
      </c>
      <c r="K41">
        <v>2.1118716577540102</v>
      </c>
      <c r="L41" t="s">
        <v>1141</v>
      </c>
      <c r="M41" t="str">
        <f>HYPERLINK("../../3.KEGG_map/SCI_I-vs-NC-Down/rno00590.html","rno00590")</f>
        <v>rno00590</v>
      </c>
    </row>
    <row r="42" spans="1:13" x14ac:dyDescent="0.25">
      <c r="A42" t="s">
        <v>77</v>
      </c>
      <c r="B42" t="s">
        <v>78</v>
      </c>
      <c r="C42" t="s">
        <v>15</v>
      </c>
      <c r="D42" t="s">
        <v>25</v>
      </c>
      <c r="E42">
        <v>7</v>
      </c>
      <c r="F42">
        <v>425</v>
      </c>
      <c r="G42">
        <v>39</v>
      </c>
      <c r="H42">
        <v>7679</v>
      </c>
      <c r="I42">
        <v>4.98311847328214E-3</v>
      </c>
      <c r="J42">
        <v>6.0929948605131602E-2</v>
      </c>
      <c r="K42">
        <v>3.24301659125189</v>
      </c>
      <c r="L42" t="s">
        <v>1142</v>
      </c>
      <c r="M42" t="str">
        <f>HYPERLINK("../../3.KEGG_map/SCI_I-vs-NC-Down/rno00591.html","rno00591")</f>
        <v>rno00591</v>
      </c>
    </row>
    <row r="43" spans="1:13" x14ac:dyDescent="0.25">
      <c r="A43" t="s">
        <v>79</v>
      </c>
      <c r="B43" t="s">
        <v>80</v>
      </c>
      <c r="C43" t="s">
        <v>15</v>
      </c>
      <c r="D43" t="s">
        <v>25</v>
      </c>
      <c r="E43">
        <v>2</v>
      </c>
      <c r="F43">
        <v>425</v>
      </c>
      <c r="G43">
        <v>23</v>
      </c>
      <c r="H43">
        <v>7679</v>
      </c>
      <c r="I43">
        <v>0.36641395137824601</v>
      </c>
      <c r="J43">
        <v>0.85191904845966404</v>
      </c>
      <c r="K43">
        <v>1.5711508951406601</v>
      </c>
      <c r="L43" t="s">
        <v>1143</v>
      </c>
      <c r="M43" t="str">
        <f>HYPERLINK("../../3.KEGG_map/SCI_I-vs-NC-Down/rno00592.html","rno00592")</f>
        <v>rno00592</v>
      </c>
    </row>
    <row r="44" spans="1:13" x14ac:dyDescent="0.25">
      <c r="A44" t="s">
        <v>82</v>
      </c>
      <c r="B44" t="s">
        <v>83</v>
      </c>
      <c r="C44" t="s">
        <v>15</v>
      </c>
      <c r="D44" t="s">
        <v>25</v>
      </c>
      <c r="E44">
        <v>5</v>
      </c>
      <c r="F44">
        <v>425</v>
      </c>
      <c r="G44">
        <v>49</v>
      </c>
      <c r="H44">
        <v>7679</v>
      </c>
      <c r="I44">
        <v>0.132642343880088</v>
      </c>
      <c r="J44">
        <v>0.43513159150906999</v>
      </c>
      <c r="K44">
        <v>1.8436974789916001</v>
      </c>
      <c r="L44" t="s">
        <v>1144</v>
      </c>
      <c r="M44" t="str">
        <f>HYPERLINK("../../3.KEGG_map/SCI_I-vs-NC-Down/rno00600.html","rno00600")</f>
        <v>rno00600</v>
      </c>
    </row>
    <row r="45" spans="1:13" x14ac:dyDescent="0.25">
      <c r="A45" t="s">
        <v>85</v>
      </c>
      <c r="B45" t="s">
        <v>86</v>
      </c>
      <c r="C45" t="s">
        <v>15</v>
      </c>
      <c r="D45" t="s">
        <v>51</v>
      </c>
      <c r="E45">
        <v>4</v>
      </c>
      <c r="F45">
        <v>425</v>
      </c>
      <c r="G45">
        <v>29</v>
      </c>
      <c r="H45">
        <v>7679</v>
      </c>
      <c r="I45">
        <v>7.35693016237568E-2</v>
      </c>
      <c r="J45">
        <v>0.324428559619518</v>
      </c>
      <c r="K45">
        <v>2.4921703853955401</v>
      </c>
      <c r="L45" t="s">
        <v>1145</v>
      </c>
      <c r="M45" t="str">
        <f>HYPERLINK("../../3.KEGG_map/SCI_I-vs-NC-Down/rno00601.html","rno00601")</f>
        <v>rno00601</v>
      </c>
    </row>
    <row r="46" spans="1:13" x14ac:dyDescent="0.25">
      <c r="A46" t="s">
        <v>1146</v>
      </c>
      <c r="B46" t="s">
        <v>1147</v>
      </c>
      <c r="C46" t="s">
        <v>15</v>
      </c>
      <c r="D46" t="s">
        <v>51</v>
      </c>
      <c r="E46">
        <v>2</v>
      </c>
      <c r="F46">
        <v>425</v>
      </c>
      <c r="G46">
        <v>15</v>
      </c>
      <c r="H46">
        <v>7679</v>
      </c>
      <c r="I46">
        <v>0.20012161309716101</v>
      </c>
      <c r="J46">
        <v>0.53832713923136299</v>
      </c>
      <c r="K46">
        <v>2.40909803921569</v>
      </c>
      <c r="L46" t="s">
        <v>1148</v>
      </c>
      <c r="M46" t="str">
        <f>HYPERLINK("../../3.KEGG_map/SCI_I-vs-NC-Down/rno00603.html","rno00603")</f>
        <v>rno00603</v>
      </c>
    </row>
    <row r="47" spans="1:13" x14ac:dyDescent="0.25">
      <c r="A47" t="s">
        <v>91</v>
      </c>
      <c r="B47" t="s">
        <v>92</v>
      </c>
      <c r="C47" t="s">
        <v>15</v>
      </c>
      <c r="D47" t="s">
        <v>16</v>
      </c>
      <c r="E47">
        <v>3</v>
      </c>
      <c r="F47">
        <v>425</v>
      </c>
      <c r="G47">
        <v>39</v>
      </c>
      <c r="H47">
        <v>7679</v>
      </c>
      <c r="I47">
        <v>0.36737029599004101</v>
      </c>
      <c r="J47">
        <v>0.85191904845966404</v>
      </c>
      <c r="K47">
        <v>1.38986425339367</v>
      </c>
      <c r="L47" t="s">
        <v>1149</v>
      </c>
      <c r="M47" t="str">
        <f>HYPERLINK("../../3.KEGG_map/SCI_I-vs-NC-Down/rno00620.html","rno00620")</f>
        <v>rno00620</v>
      </c>
    </row>
    <row r="48" spans="1:13" x14ac:dyDescent="0.25">
      <c r="A48" t="s">
        <v>675</v>
      </c>
      <c r="B48" t="s">
        <v>676</v>
      </c>
      <c r="C48" t="s">
        <v>15</v>
      </c>
      <c r="D48" t="s">
        <v>16</v>
      </c>
      <c r="E48">
        <v>4</v>
      </c>
      <c r="F48">
        <v>425</v>
      </c>
      <c r="G48">
        <v>31</v>
      </c>
      <c r="H48">
        <v>7679</v>
      </c>
      <c r="I48">
        <v>8.9526253246762805E-2</v>
      </c>
      <c r="J48">
        <v>0.36488730489968502</v>
      </c>
      <c r="K48">
        <v>2.33138519924099</v>
      </c>
      <c r="L48" t="s">
        <v>1150</v>
      </c>
      <c r="M48" t="str">
        <f>HYPERLINK("../../3.KEGG_map/SCI_I-vs-NC-Down/rno00640.html","rno00640")</f>
        <v>rno00640</v>
      </c>
    </row>
    <row r="49" spans="1:13" x14ac:dyDescent="0.25">
      <c r="A49" t="s">
        <v>1151</v>
      </c>
      <c r="B49" t="s">
        <v>1152</v>
      </c>
      <c r="C49" t="s">
        <v>15</v>
      </c>
      <c r="D49" t="s">
        <v>16</v>
      </c>
      <c r="E49">
        <v>4</v>
      </c>
      <c r="F49">
        <v>425</v>
      </c>
      <c r="G49">
        <v>25</v>
      </c>
      <c r="H49">
        <v>7679</v>
      </c>
      <c r="I49">
        <v>4.6498058745967699E-2</v>
      </c>
      <c r="J49">
        <v>0.24541389043626699</v>
      </c>
      <c r="K49">
        <v>2.8909176470588198</v>
      </c>
      <c r="L49" t="s">
        <v>1153</v>
      </c>
      <c r="M49" t="str">
        <f>HYPERLINK("../../3.KEGG_map/SCI_I-vs-NC-Down/rno00650.html","rno00650")</f>
        <v>rno00650</v>
      </c>
    </row>
    <row r="50" spans="1:13" x14ac:dyDescent="0.25">
      <c r="A50" t="s">
        <v>1154</v>
      </c>
      <c r="B50" t="s">
        <v>1155</v>
      </c>
      <c r="C50" t="s">
        <v>15</v>
      </c>
      <c r="D50" t="s">
        <v>96</v>
      </c>
      <c r="E50">
        <v>1</v>
      </c>
      <c r="F50">
        <v>425</v>
      </c>
      <c r="G50">
        <v>15</v>
      </c>
      <c r="H50">
        <v>7679</v>
      </c>
      <c r="I50">
        <v>0.574651522498968</v>
      </c>
      <c r="J50">
        <v>1</v>
      </c>
      <c r="K50">
        <v>1.2045490196078401</v>
      </c>
      <c r="L50" t="s">
        <v>1156</v>
      </c>
      <c r="M50" t="str">
        <f>HYPERLINK("../../3.KEGG_map/SCI_I-vs-NC-Down/rno00730.html","rno00730")</f>
        <v>rno00730</v>
      </c>
    </row>
    <row r="51" spans="1:13" x14ac:dyDescent="0.25">
      <c r="A51" t="s">
        <v>1157</v>
      </c>
      <c r="B51" t="s">
        <v>1158</v>
      </c>
      <c r="C51" t="s">
        <v>15</v>
      </c>
      <c r="D51" t="s">
        <v>96</v>
      </c>
      <c r="E51">
        <v>2</v>
      </c>
      <c r="F51">
        <v>425</v>
      </c>
      <c r="G51">
        <v>10</v>
      </c>
      <c r="H51">
        <v>7679</v>
      </c>
      <c r="I51">
        <v>0.10246749327555001</v>
      </c>
      <c r="J51">
        <v>0.38282994015448701</v>
      </c>
      <c r="K51">
        <v>3.6136470588235299</v>
      </c>
      <c r="L51" t="s">
        <v>1159</v>
      </c>
      <c r="M51" t="str">
        <f>HYPERLINK("../../3.KEGG_map/SCI_I-vs-NC-Down/rno00750.html","rno00750")</f>
        <v>rno00750</v>
      </c>
    </row>
    <row r="52" spans="1:13" x14ac:dyDescent="0.25">
      <c r="A52" t="s">
        <v>677</v>
      </c>
      <c r="B52" t="s">
        <v>678</v>
      </c>
      <c r="C52" t="s">
        <v>15</v>
      </c>
      <c r="D52" t="s">
        <v>96</v>
      </c>
      <c r="E52">
        <v>5</v>
      </c>
      <c r="F52">
        <v>425</v>
      </c>
      <c r="G52">
        <v>32</v>
      </c>
      <c r="H52">
        <v>7679</v>
      </c>
      <c r="I52">
        <v>2.9672925018434701E-2</v>
      </c>
      <c r="J52">
        <v>0.17740017515051301</v>
      </c>
      <c r="K52">
        <v>2.8231617647058802</v>
      </c>
      <c r="L52" t="s">
        <v>1160</v>
      </c>
      <c r="M52" t="str">
        <f>HYPERLINK("../../3.KEGG_map/SCI_I-vs-NC-Down/rno00760.html","rno00760")</f>
        <v>rno00760</v>
      </c>
    </row>
    <row r="53" spans="1:13" x14ac:dyDescent="0.25">
      <c r="A53" t="s">
        <v>1161</v>
      </c>
      <c r="B53" t="s">
        <v>1162</v>
      </c>
      <c r="C53" t="s">
        <v>15</v>
      </c>
      <c r="D53" t="s">
        <v>96</v>
      </c>
      <c r="E53">
        <v>1</v>
      </c>
      <c r="F53">
        <v>425</v>
      </c>
      <c r="G53">
        <v>26</v>
      </c>
      <c r="H53">
        <v>7679</v>
      </c>
      <c r="I53">
        <v>0.77300535219894695</v>
      </c>
      <c r="J53">
        <v>1</v>
      </c>
      <c r="K53">
        <v>0.69493212669683302</v>
      </c>
      <c r="L53" t="s">
        <v>1156</v>
      </c>
      <c r="M53" t="str">
        <f>HYPERLINK("../../3.KEGG_map/SCI_I-vs-NC-Down/rno00790.html","rno00790")</f>
        <v>rno00790</v>
      </c>
    </row>
    <row r="54" spans="1:13" x14ac:dyDescent="0.25">
      <c r="A54" t="s">
        <v>94</v>
      </c>
      <c r="B54" t="s">
        <v>95</v>
      </c>
      <c r="C54" t="s">
        <v>15</v>
      </c>
      <c r="D54" t="s">
        <v>96</v>
      </c>
      <c r="E54">
        <v>9</v>
      </c>
      <c r="F54">
        <v>425</v>
      </c>
      <c r="G54">
        <v>80</v>
      </c>
      <c r="H54">
        <v>7679</v>
      </c>
      <c r="I54">
        <v>3.1872591351990602E-2</v>
      </c>
      <c r="J54">
        <v>0.18638537116707499</v>
      </c>
      <c r="K54">
        <v>2.0326764705882301</v>
      </c>
      <c r="L54" t="s">
        <v>1163</v>
      </c>
      <c r="M54" t="str">
        <f>HYPERLINK("../../3.KEGG_map/SCI_I-vs-NC-Down/rno00830.html","rno00830")</f>
        <v>rno00830</v>
      </c>
    </row>
    <row r="55" spans="1:13" x14ac:dyDescent="0.25">
      <c r="A55" t="s">
        <v>98</v>
      </c>
      <c r="B55" t="s">
        <v>99</v>
      </c>
      <c r="C55" t="s">
        <v>15</v>
      </c>
      <c r="D55" t="s">
        <v>96</v>
      </c>
      <c r="E55">
        <v>1</v>
      </c>
      <c r="F55">
        <v>425</v>
      </c>
      <c r="G55">
        <v>40</v>
      </c>
      <c r="H55">
        <v>7679</v>
      </c>
      <c r="I55">
        <v>0.89806539766813998</v>
      </c>
      <c r="J55">
        <v>1</v>
      </c>
      <c r="K55">
        <v>0.45170588235294101</v>
      </c>
      <c r="L55" t="s">
        <v>1076</v>
      </c>
      <c r="M55" t="str">
        <f>HYPERLINK("../../3.KEGG_map/SCI_I-vs-NC-Down/rno00860.html","rno00860")</f>
        <v>rno00860</v>
      </c>
    </row>
    <row r="56" spans="1:13" x14ac:dyDescent="0.25">
      <c r="A56" t="s">
        <v>1164</v>
      </c>
      <c r="B56" t="s">
        <v>1165</v>
      </c>
      <c r="C56" t="s">
        <v>15</v>
      </c>
      <c r="D56" t="s">
        <v>651</v>
      </c>
      <c r="E56">
        <v>1</v>
      </c>
      <c r="F56">
        <v>425</v>
      </c>
      <c r="G56">
        <v>17</v>
      </c>
      <c r="H56">
        <v>7679</v>
      </c>
      <c r="I56">
        <v>0.62052102714328405</v>
      </c>
      <c r="J56">
        <v>1</v>
      </c>
      <c r="K56">
        <v>1.06283737024221</v>
      </c>
      <c r="L56" t="s">
        <v>1166</v>
      </c>
      <c r="M56" t="str">
        <f>HYPERLINK("../../3.KEGG_map/SCI_I-vs-NC-Down/rno00910.html","rno00910")</f>
        <v>rno00910</v>
      </c>
    </row>
    <row r="57" spans="1:13" x14ac:dyDescent="0.25">
      <c r="A57" t="s">
        <v>101</v>
      </c>
      <c r="B57" t="s">
        <v>102</v>
      </c>
      <c r="C57" t="s">
        <v>15</v>
      </c>
      <c r="D57" t="s">
        <v>103</v>
      </c>
      <c r="E57">
        <v>6</v>
      </c>
      <c r="F57">
        <v>425</v>
      </c>
      <c r="G57">
        <v>64</v>
      </c>
      <c r="H57">
        <v>7679</v>
      </c>
      <c r="I57">
        <v>0.141475450889815</v>
      </c>
      <c r="J57">
        <v>0.44772819163953198</v>
      </c>
      <c r="K57">
        <v>1.69389705882353</v>
      </c>
      <c r="L57" t="s">
        <v>1167</v>
      </c>
      <c r="M57" t="str">
        <f>HYPERLINK("../../3.KEGG_map/SCI_I-vs-NC-Down/rno00980.html","rno00980")</f>
        <v>rno00980</v>
      </c>
    </row>
    <row r="58" spans="1:13" x14ac:dyDescent="0.25">
      <c r="A58" t="s">
        <v>105</v>
      </c>
      <c r="B58" t="s">
        <v>106</v>
      </c>
      <c r="C58" t="s">
        <v>15</v>
      </c>
      <c r="D58" t="s">
        <v>103</v>
      </c>
      <c r="E58">
        <v>13</v>
      </c>
      <c r="F58">
        <v>425</v>
      </c>
      <c r="G58">
        <v>65</v>
      </c>
      <c r="H58">
        <v>7679</v>
      </c>
      <c r="I58" s="1">
        <v>4.4542678340688702E-5</v>
      </c>
      <c r="J58">
        <v>1.90036579100635E-3</v>
      </c>
      <c r="K58">
        <v>3.6136470588235299</v>
      </c>
      <c r="L58" t="s">
        <v>1168</v>
      </c>
      <c r="M58" t="str">
        <f>HYPERLINK("../../3.KEGG_map/SCI_I-vs-NC-Down/rno00982.html","rno00982")</f>
        <v>rno00982</v>
      </c>
    </row>
    <row r="59" spans="1:13" x14ac:dyDescent="0.25">
      <c r="A59" t="s">
        <v>107</v>
      </c>
      <c r="B59" t="s">
        <v>108</v>
      </c>
      <c r="C59" t="s">
        <v>15</v>
      </c>
      <c r="D59" t="s">
        <v>103</v>
      </c>
      <c r="E59">
        <v>5</v>
      </c>
      <c r="F59">
        <v>425</v>
      </c>
      <c r="G59">
        <v>83</v>
      </c>
      <c r="H59">
        <v>7679</v>
      </c>
      <c r="I59">
        <v>0.48931727542546999</v>
      </c>
      <c r="J59">
        <v>1</v>
      </c>
      <c r="K59">
        <v>1.0884479092842001</v>
      </c>
      <c r="L59" t="s">
        <v>1169</v>
      </c>
      <c r="M59" t="str">
        <f>HYPERLINK("../../3.KEGG_map/SCI_I-vs-NC-Down/rno00983.html","rno00983")</f>
        <v>rno00983</v>
      </c>
    </row>
    <row r="60" spans="1:13" x14ac:dyDescent="0.25">
      <c r="A60" t="s">
        <v>110</v>
      </c>
      <c r="B60" t="s">
        <v>111</v>
      </c>
      <c r="C60" t="s">
        <v>15</v>
      </c>
      <c r="D60" t="s">
        <v>25</v>
      </c>
      <c r="E60">
        <v>1</v>
      </c>
      <c r="F60">
        <v>425</v>
      </c>
      <c r="G60">
        <v>26</v>
      </c>
      <c r="H60">
        <v>7679</v>
      </c>
      <c r="I60">
        <v>0.77300535219894695</v>
      </c>
      <c r="J60">
        <v>1</v>
      </c>
      <c r="K60">
        <v>0.69493212669683302</v>
      </c>
      <c r="L60" t="s">
        <v>1170</v>
      </c>
      <c r="M60" t="str">
        <f>HYPERLINK("../../3.KEGG_map/SCI_I-vs-NC-Down/rno01040.html","rno01040")</f>
        <v>rno01040</v>
      </c>
    </row>
    <row r="61" spans="1:13" x14ac:dyDescent="0.25">
      <c r="A61" t="s">
        <v>113</v>
      </c>
      <c r="B61" t="s">
        <v>114</v>
      </c>
      <c r="C61" t="s">
        <v>115</v>
      </c>
      <c r="D61" t="s">
        <v>116</v>
      </c>
      <c r="E61">
        <v>1</v>
      </c>
      <c r="F61">
        <v>425</v>
      </c>
      <c r="G61">
        <v>79</v>
      </c>
      <c r="H61">
        <v>7679</v>
      </c>
      <c r="I61">
        <v>0.98912882125842605</v>
      </c>
      <c r="J61">
        <v>1</v>
      </c>
      <c r="K61">
        <v>0.22871183916604601</v>
      </c>
      <c r="L61" t="s">
        <v>1171</v>
      </c>
      <c r="M61" t="str">
        <f>HYPERLINK("../../3.KEGG_map/SCI_I-vs-NC-Down/rno01521.html","rno01521")</f>
        <v>rno01521</v>
      </c>
    </row>
    <row r="62" spans="1:13" x14ac:dyDescent="0.25">
      <c r="A62" t="s">
        <v>683</v>
      </c>
      <c r="B62" t="s">
        <v>684</v>
      </c>
      <c r="C62" t="s">
        <v>115</v>
      </c>
      <c r="D62" t="s">
        <v>116</v>
      </c>
      <c r="E62">
        <v>3</v>
      </c>
      <c r="F62">
        <v>425</v>
      </c>
      <c r="G62">
        <v>93</v>
      </c>
      <c r="H62">
        <v>7679</v>
      </c>
      <c r="I62">
        <v>0.89542177767015396</v>
      </c>
      <c r="J62">
        <v>1</v>
      </c>
      <c r="K62">
        <v>0.58284629981024705</v>
      </c>
      <c r="L62" t="s">
        <v>1172</v>
      </c>
      <c r="M62" t="str">
        <f>HYPERLINK("../../3.KEGG_map/SCI_I-vs-NC-Down/rno01522.html","rno01522")</f>
        <v>rno01522</v>
      </c>
    </row>
    <row r="63" spans="1:13" x14ac:dyDescent="0.25">
      <c r="A63" t="s">
        <v>686</v>
      </c>
      <c r="B63" t="s">
        <v>687</v>
      </c>
      <c r="C63" t="s">
        <v>115</v>
      </c>
      <c r="D63" t="s">
        <v>116</v>
      </c>
      <c r="E63">
        <v>1</v>
      </c>
      <c r="F63">
        <v>425</v>
      </c>
      <c r="G63">
        <v>30</v>
      </c>
      <c r="H63">
        <v>7679</v>
      </c>
      <c r="I63">
        <v>0.81939019956314696</v>
      </c>
      <c r="J63">
        <v>1</v>
      </c>
      <c r="K63">
        <v>0.60227450980392105</v>
      </c>
      <c r="L63" t="s">
        <v>1173</v>
      </c>
      <c r="M63" t="str">
        <f>HYPERLINK("../../3.KEGG_map/SCI_I-vs-NC-Down/rno01523.html","rno01523")</f>
        <v>rno01523</v>
      </c>
    </row>
    <row r="64" spans="1:13" x14ac:dyDescent="0.25">
      <c r="A64" t="s">
        <v>118</v>
      </c>
      <c r="B64" t="s">
        <v>119</v>
      </c>
      <c r="C64" t="s">
        <v>115</v>
      </c>
      <c r="D64" t="s">
        <v>116</v>
      </c>
      <c r="E64">
        <v>1</v>
      </c>
      <c r="F64">
        <v>425</v>
      </c>
      <c r="G64">
        <v>76</v>
      </c>
      <c r="H64">
        <v>7679</v>
      </c>
      <c r="I64">
        <v>0.98708092574615003</v>
      </c>
      <c r="J64">
        <v>1</v>
      </c>
      <c r="K64">
        <v>0.23773993808049501</v>
      </c>
      <c r="L64" t="s">
        <v>1174</v>
      </c>
      <c r="M64" t="str">
        <f>HYPERLINK("../../3.KEGG_map/SCI_I-vs-NC-Down/rno01524.html","rno01524")</f>
        <v>rno01524</v>
      </c>
    </row>
    <row r="65" spans="1:13" x14ac:dyDescent="0.25">
      <c r="A65" t="s">
        <v>121</v>
      </c>
      <c r="B65" t="s">
        <v>122</v>
      </c>
      <c r="C65" t="s">
        <v>123</v>
      </c>
      <c r="D65" t="s">
        <v>124</v>
      </c>
      <c r="E65">
        <v>7</v>
      </c>
      <c r="F65">
        <v>425</v>
      </c>
      <c r="G65">
        <v>47</v>
      </c>
      <c r="H65">
        <v>7679</v>
      </c>
      <c r="I65">
        <v>1.39460035878107E-2</v>
      </c>
      <c r="J65">
        <v>0.117233592660034</v>
      </c>
      <c r="K65">
        <v>2.69101376720901</v>
      </c>
      <c r="L65" t="s">
        <v>1175</v>
      </c>
      <c r="M65" t="str">
        <f>HYPERLINK("../../3.KEGG_map/SCI_I-vs-NC-Down/rno02010.html","rno02010")</f>
        <v>rno02010</v>
      </c>
    </row>
    <row r="66" spans="1:13" x14ac:dyDescent="0.25">
      <c r="A66" t="s">
        <v>131</v>
      </c>
      <c r="B66" t="s">
        <v>132</v>
      </c>
      <c r="C66" t="s">
        <v>128</v>
      </c>
      <c r="D66" t="s">
        <v>129</v>
      </c>
      <c r="E66">
        <v>1</v>
      </c>
      <c r="F66">
        <v>425</v>
      </c>
      <c r="G66">
        <v>160</v>
      </c>
      <c r="H66">
        <v>7679</v>
      </c>
      <c r="I66">
        <v>0.99989979192142497</v>
      </c>
      <c r="J66">
        <v>1</v>
      </c>
      <c r="K66">
        <v>0.112926470588235</v>
      </c>
      <c r="L66" t="s">
        <v>1176</v>
      </c>
      <c r="M66" t="str">
        <f>HYPERLINK("../../3.KEGG_map/SCI_I-vs-NC-Down/rno03013.html","rno03013")</f>
        <v>rno03013</v>
      </c>
    </row>
    <row r="67" spans="1:13" x14ac:dyDescent="0.25">
      <c r="A67" t="s">
        <v>134</v>
      </c>
      <c r="B67" t="s">
        <v>135</v>
      </c>
      <c r="C67" t="s">
        <v>128</v>
      </c>
      <c r="D67" t="s">
        <v>129</v>
      </c>
      <c r="E67">
        <v>2</v>
      </c>
      <c r="F67">
        <v>425</v>
      </c>
      <c r="G67">
        <v>92</v>
      </c>
      <c r="H67">
        <v>7679</v>
      </c>
      <c r="I67">
        <v>0.96679073742589905</v>
      </c>
      <c r="J67">
        <v>1</v>
      </c>
      <c r="K67">
        <v>0.39278772378516602</v>
      </c>
      <c r="L67" t="s">
        <v>1177</v>
      </c>
      <c r="M67" t="str">
        <f>HYPERLINK("../../3.KEGG_map/SCI_I-vs-NC-Down/rno03015.html","rno03015")</f>
        <v>rno03015</v>
      </c>
    </row>
    <row r="68" spans="1:13" x14ac:dyDescent="0.25">
      <c r="A68" t="s">
        <v>137</v>
      </c>
      <c r="B68" t="s">
        <v>138</v>
      </c>
      <c r="C68" t="s">
        <v>128</v>
      </c>
      <c r="D68" t="s">
        <v>139</v>
      </c>
      <c r="E68">
        <v>2</v>
      </c>
      <c r="F68">
        <v>425</v>
      </c>
      <c r="G68">
        <v>80</v>
      </c>
      <c r="H68">
        <v>7679</v>
      </c>
      <c r="I68">
        <v>0.94110252833101404</v>
      </c>
      <c r="J68">
        <v>1</v>
      </c>
      <c r="K68">
        <v>0.45170588235294101</v>
      </c>
      <c r="L68" t="s">
        <v>1178</v>
      </c>
      <c r="M68" t="str">
        <f>HYPERLINK("../../3.KEGG_map/SCI_I-vs-NC-Down/rno03018.html","rno03018")</f>
        <v>rno03018</v>
      </c>
    </row>
    <row r="69" spans="1:13" x14ac:dyDescent="0.25">
      <c r="A69" t="s">
        <v>694</v>
      </c>
      <c r="B69" t="s">
        <v>695</v>
      </c>
      <c r="C69" t="s">
        <v>128</v>
      </c>
      <c r="D69" t="s">
        <v>143</v>
      </c>
      <c r="E69">
        <v>1</v>
      </c>
      <c r="F69">
        <v>425</v>
      </c>
      <c r="G69">
        <v>41</v>
      </c>
      <c r="H69">
        <v>7679</v>
      </c>
      <c r="I69">
        <v>0.90373658578059501</v>
      </c>
      <c r="J69">
        <v>1</v>
      </c>
      <c r="K69">
        <v>0.440688665710187</v>
      </c>
      <c r="L69" t="s">
        <v>1179</v>
      </c>
      <c r="M69" t="str">
        <f>HYPERLINK("../../3.KEGG_map/SCI_I-vs-NC-Down/rno03022.html","rno03022")</f>
        <v>rno03022</v>
      </c>
    </row>
    <row r="70" spans="1:13" x14ac:dyDescent="0.25">
      <c r="A70" t="s">
        <v>141</v>
      </c>
      <c r="B70" t="s">
        <v>142</v>
      </c>
      <c r="C70" t="s">
        <v>128</v>
      </c>
      <c r="D70" t="s">
        <v>143</v>
      </c>
      <c r="E70">
        <v>1</v>
      </c>
      <c r="F70">
        <v>425</v>
      </c>
      <c r="G70">
        <v>129</v>
      </c>
      <c r="H70">
        <v>7679</v>
      </c>
      <c r="I70">
        <v>0.99939392379130099</v>
      </c>
      <c r="J70">
        <v>1</v>
      </c>
      <c r="K70">
        <v>0.140063839489284</v>
      </c>
      <c r="L70" t="s">
        <v>1180</v>
      </c>
      <c r="M70" t="str">
        <f>HYPERLINK("../../3.KEGG_map/SCI_I-vs-NC-Down/rno03040.html","rno03040")</f>
        <v>rno03040</v>
      </c>
    </row>
    <row r="71" spans="1:13" x14ac:dyDescent="0.25">
      <c r="A71" t="s">
        <v>148</v>
      </c>
      <c r="B71" t="s">
        <v>149</v>
      </c>
      <c r="C71" t="s">
        <v>150</v>
      </c>
      <c r="D71" t="s">
        <v>151</v>
      </c>
      <c r="E71">
        <v>9</v>
      </c>
      <c r="F71">
        <v>425</v>
      </c>
      <c r="G71">
        <v>79</v>
      </c>
      <c r="H71">
        <v>7679</v>
      </c>
      <c r="I71">
        <v>2.9676609225922201E-2</v>
      </c>
      <c r="J71">
        <v>0.17740017515051301</v>
      </c>
      <c r="K71">
        <v>2.0584065524944202</v>
      </c>
      <c r="L71" t="s">
        <v>1181</v>
      </c>
      <c r="M71" t="str">
        <f>HYPERLINK("../../3.KEGG_map/SCI_I-vs-NC-Down/rno03320.html","rno03320")</f>
        <v>rno03320</v>
      </c>
    </row>
    <row r="72" spans="1:13" x14ac:dyDescent="0.25">
      <c r="A72" t="s">
        <v>700</v>
      </c>
      <c r="B72" t="s">
        <v>701</v>
      </c>
      <c r="C72" t="s">
        <v>128</v>
      </c>
      <c r="D72" t="s">
        <v>155</v>
      </c>
      <c r="E72">
        <v>1</v>
      </c>
      <c r="F72">
        <v>425</v>
      </c>
      <c r="G72">
        <v>13</v>
      </c>
      <c r="H72">
        <v>7679</v>
      </c>
      <c r="I72">
        <v>0.52325215013287296</v>
      </c>
      <c r="J72">
        <v>1</v>
      </c>
      <c r="K72">
        <v>1.38986425339367</v>
      </c>
      <c r="L72" t="s">
        <v>1182</v>
      </c>
      <c r="M72" t="str">
        <f>HYPERLINK("../../3.KEGG_map/SCI_I-vs-NC-Down/rno03450.html","rno03450")</f>
        <v>rno03450</v>
      </c>
    </row>
    <row r="73" spans="1:13" x14ac:dyDescent="0.25">
      <c r="A73" t="s">
        <v>160</v>
      </c>
      <c r="B73" t="s">
        <v>161</v>
      </c>
      <c r="C73" t="s">
        <v>123</v>
      </c>
      <c r="D73" t="s">
        <v>162</v>
      </c>
      <c r="E73">
        <v>15</v>
      </c>
      <c r="F73">
        <v>425</v>
      </c>
      <c r="G73">
        <v>288</v>
      </c>
      <c r="H73">
        <v>7679</v>
      </c>
      <c r="I73">
        <v>0.63551222026722198</v>
      </c>
      <c r="J73">
        <v>1</v>
      </c>
      <c r="K73">
        <v>0.94105392156862699</v>
      </c>
      <c r="L73" t="s">
        <v>1183</v>
      </c>
      <c r="M73" t="str">
        <f>HYPERLINK("../../3.KEGG_map/SCI_I-vs-NC-Down/rno04010.html","rno04010")</f>
        <v>rno04010</v>
      </c>
    </row>
    <row r="74" spans="1:13" x14ac:dyDescent="0.25">
      <c r="A74" t="s">
        <v>164</v>
      </c>
      <c r="B74" t="s">
        <v>165</v>
      </c>
      <c r="C74" t="s">
        <v>123</v>
      </c>
      <c r="D74" t="s">
        <v>162</v>
      </c>
      <c r="E74">
        <v>2</v>
      </c>
      <c r="F74">
        <v>425</v>
      </c>
      <c r="G74">
        <v>85</v>
      </c>
      <c r="H74">
        <v>7679</v>
      </c>
      <c r="I74">
        <v>0.95352768516833697</v>
      </c>
      <c r="J74">
        <v>1</v>
      </c>
      <c r="K74">
        <v>0.42513494809688601</v>
      </c>
      <c r="L74" t="s">
        <v>1184</v>
      </c>
      <c r="M74" t="str">
        <f>HYPERLINK("../../3.KEGG_map/SCI_I-vs-NC-Down/rno04012.html","rno04012")</f>
        <v>rno04012</v>
      </c>
    </row>
    <row r="75" spans="1:13" x14ac:dyDescent="0.25">
      <c r="A75" t="s">
        <v>167</v>
      </c>
      <c r="B75" t="s">
        <v>168</v>
      </c>
      <c r="C75" t="s">
        <v>123</v>
      </c>
      <c r="D75" t="s">
        <v>162</v>
      </c>
      <c r="E75">
        <v>9</v>
      </c>
      <c r="F75">
        <v>425</v>
      </c>
      <c r="G75">
        <v>227</v>
      </c>
      <c r="H75">
        <v>7679</v>
      </c>
      <c r="I75">
        <v>0.88903081414539997</v>
      </c>
      <c r="J75">
        <v>1</v>
      </c>
      <c r="K75">
        <v>0.71636175174915795</v>
      </c>
      <c r="L75" t="s">
        <v>1185</v>
      </c>
      <c r="M75" t="str">
        <f>HYPERLINK("../../3.KEGG_map/SCI_I-vs-NC-Down/rno04014.html","rno04014")</f>
        <v>rno04014</v>
      </c>
    </row>
    <row r="76" spans="1:13" x14ac:dyDescent="0.25">
      <c r="A76" t="s">
        <v>170</v>
      </c>
      <c r="B76" t="s">
        <v>171</v>
      </c>
      <c r="C76" t="s">
        <v>123</v>
      </c>
      <c r="D76" t="s">
        <v>162</v>
      </c>
      <c r="E76">
        <v>12</v>
      </c>
      <c r="F76">
        <v>425</v>
      </c>
      <c r="G76">
        <v>205</v>
      </c>
      <c r="H76">
        <v>7679</v>
      </c>
      <c r="I76">
        <v>0.46358180553688599</v>
      </c>
      <c r="J76">
        <v>1</v>
      </c>
      <c r="K76">
        <v>1.0576527977044501</v>
      </c>
      <c r="L76" t="s">
        <v>1186</v>
      </c>
      <c r="M76" t="str">
        <f>HYPERLINK("../../3.KEGG_map/SCI_I-vs-NC-Down/rno04015.html","rno04015")</f>
        <v>rno04015</v>
      </c>
    </row>
    <row r="77" spans="1:13" x14ac:dyDescent="0.25">
      <c r="A77" t="s">
        <v>173</v>
      </c>
      <c r="B77" t="s">
        <v>174</v>
      </c>
      <c r="C77" t="s">
        <v>123</v>
      </c>
      <c r="D77" t="s">
        <v>162</v>
      </c>
      <c r="E77">
        <v>33</v>
      </c>
      <c r="F77">
        <v>425</v>
      </c>
      <c r="G77">
        <v>182</v>
      </c>
      <c r="H77">
        <v>7679</v>
      </c>
      <c r="I77" s="1">
        <v>9.4997843395228602E-10</v>
      </c>
      <c r="J77" s="1">
        <v>1.2777209936658199E-7</v>
      </c>
      <c r="K77">
        <v>3.2761085972850701</v>
      </c>
      <c r="L77" t="s">
        <v>1187</v>
      </c>
      <c r="M77" t="str">
        <f>HYPERLINK("../../3.KEGG_map/SCI_I-vs-NC-Down/rno04020.html","rno04020")</f>
        <v>rno04020</v>
      </c>
    </row>
    <row r="78" spans="1:13" x14ac:dyDescent="0.25">
      <c r="A78" t="s">
        <v>176</v>
      </c>
      <c r="B78" t="s">
        <v>177</v>
      </c>
      <c r="C78" t="s">
        <v>123</v>
      </c>
      <c r="D78" t="s">
        <v>162</v>
      </c>
      <c r="E78">
        <v>27</v>
      </c>
      <c r="F78">
        <v>425</v>
      </c>
      <c r="G78">
        <v>164</v>
      </c>
      <c r="H78">
        <v>7679</v>
      </c>
      <c r="I78" s="1">
        <v>2.6631454033617998E-7</v>
      </c>
      <c r="J78" s="1">
        <v>2.3879537116810799E-5</v>
      </c>
      <c r="K78">
        <v>2.9746484935437598</v>
      </c>
      <c r="L78" t="s">
        <v>1188</v>
      </c>
      <c r="M78" t="str">
        <f>HYPERLINK("../../3.KEGG_map/SCI_I-vs-NC-Down/rno04022.html","rno04022")</f>
        <v>rno04022</v>
      </c>
    </row>
    <row r="79" spans="1:13" x14ac:dyDescent="0.25">
      <c r="A79" t="s">
        <v>179</v>
      </c>
      <c r="B79" t="s">
        <v>180</v>
      </c>
      <c r="C79" t="s">
        <v>123</v>
      </c>
      <c r="D79" t="s">
        <v>162</v>
      </c>
      <c r="E79">
        <v>21</v>
      </c>
      <c r="F79">
        <v>425</v>
      </c>
      <c r="G79">
        <v>194</v>
      </c>
      <c r="H79">
        <v>7679</v>
      </c>
      <c r="I79">
        <v>2.3598059379220499E-3</v>
      </c>
      <c r="J79">
        <v>3.2306202236896099E-2</v>
      </c>
      <c r="K79">
        <v>1.9558399029714999</v>
      </c>
      <c r="L79" t="s">
        <v>1189</v>
      </c>
      <c r="M79" t="str">
        <f>HYPERLINK("../../3.KEGG_map/SCI_I-vs-NC-Down/rno04024.html","rno04024")</f>
        <v>rno04024</v>
      </c>
    </row>
    <row r="80" spans="1:13" x14ac:dyDescent="0.25">
      <c r="A80" t="s">
        <v>182</v>
      </c>
      <c r="B80" t="s">
        <v>183</v>
      </c>
      <c r="C80" t="s">
        <v>123</v>
      </c>
      <c r="D80" t="s">
        <v>184</v>
      </c>
      <c r="E80">
        <v>18</v>
      </c>
      <c r="F80">
        <v>425</v>
      </c>
      <c r="G80">
        <v>240</v>
      </c>
      <c r="H80">
        <v>7679</v>
      </c>
      <c r="I80">
        <v>0.11587782306700301</v>
      </c>
      <c r="J80">
        <v>0.410146505329262</v>
      </c>
      <c r="K80">
        <v>1.35511764705882</v>
      </c>
      <c r="L80" t="s">
        <v>1190</v>
      </c>
      <c r="M80" t="str">
        <f>HYPERLINK("../../3.KEGG_map/SCI_I-vs-NC-Down/rno04060.html","rno04060")</f>
        <v>rno04060</v>
      </c>
    </row>
    <row r="81" spans="1:13" x14ac:dyDescent="0.25">
      <c r="A81" t="s">
        <v>186</v>
      </c>
      <c r="B81" t="s">
        <v>187</v>
      </c>
      <c r="C81" t="s">
        <v>150</v>
      </c>
      <c r="D81" t="s">
        <v>188</v>
      </c>
      <c r="E81">
        <v>9</v>
      </c>
      <c r="F81">
        <v>425</v>
      </c>
      <c r="G81">
        <v>172</v>
      </c>
      <c r="H81">
        <v>7679</v>
      </c>
      <c r="I81">
        <v>0.61800134855810196</v>
      </c>
      <c r="J81">
        <v>1</v>
      </c>
      <c r="K81">
        <v>0.94543091655266798</v>
      </c>
      <c r="L81" t="s">
        <v>1191</v>
      </c>
      <c r="M81" t="str">
        <f>HYPERLINK("../../3.KEGG_map/SCI_I-vs-NC-Down/rno04062.html","rno04062")</f>
        <v>rno04062</v>
      </c>
    </row>
    <row r="82" spans="1:13" x14ac:dyDescent="0.25">
      <c r="A82" t="s">
        <v>712</v>
      </c>
      <c r="B82" t="s">
        <v>713</v>
      </c>
      <c r="C82" t="s">
        <v>123</v>
      </c>
      <c r="D82" t="s">
        <v>162</v>
      </c>
      <c r="E82">
        <v>1</v>
      </c>
      <c r="F82">
        <v>425</v>
      </c>
      <c r="G82">
        <v>89</v>
      </c>
      <c r="H82">
        <v>7679</v>
      </c>
      <c r="I82">
        <v>0.99388766260081596</v>
      </c>
      <c r="J82">
        <v>1</v>
      </c>
      <c r="K82">
        <v>0.203013879709187</v>
      </c>
      <c r="L82" t="s">
        <v>1192</v>
      </c>
      <c r="M82" t="str">
        <f>HYPERLINK("../../3.KEGG_map/SCI_I-vs-NC-Down/rno04064.html","rno04064")</f>
        <v>rno04064</v>
      </c>
    </row>
    <row r="83" spans="1:13" x14ac:dyDescent="0.25">
      <c r="A83" t="s">
        <v>190</v>
      </c>
      <c r="B83" t="s">
        <v>191</v>
      </c>
      <c r="C83" t="s">
        <v>123</v>
      </c>
      <c r="D83" t="s">
        <v>162</v>
      </c>
      <c r="E83">
        <v>3</v>
      </c>
      <c r="F83">
        <v>425</v>
      </c>
      <c r="G83">
        <v>99</v>
      </c>
      <c r="H83">
        <v>7679</v>
      </c>
      <c r="I83">
        <v>0.91776369333214203</v>
      </c>
      <c r="J83">
        <v>1</v>
      </c>
      <c r="K83">
        <v>0.547522281639929</v>
      </c>
      <c r="L83" t="s">
        <v>1193</v>
      </c>
      <c r="M83" t="str">
        <f>HYPERLINK("../../3.KEGG_map/SCI_I-vs-NC-Down/rno04066.html","rno04066")</f>
        <v>rno04066</v>
      </c>
    </row>
    <row r="84" spans="1:13" x14ac:dyDescent="0.25">
      <c r="A84" t="s">
        <v>192</v>
      </c>
      <c r="B84" t="s">
        <v>193</v>
      </c>
      <c r="C84" t="s">
        <v>123</v>
      </c>
      <c r="D84" t="s">
        <v>162</v>
      </c>
      <c r="E84">
        <v>9</v>
      </c>
      <c r="F84">
        <v>425</v>
      </c>
      <c r="G84">
        <v>130</v>
      </c>
      <c r="H84">
        <v>7679</v>
      </c>
      <c r="I84">
        <v>0.29250006521058203</v>
      </c>
      <c r="J84">
        <v>0.72185795909767403</v>
      </c>
      <c r="K84">
        <v>1.2508778280543</v>
      </c>
      <c r="L84" t="s">
        <v>1194</v>
      </c>
      <c r="M84" t="str">
        <f>HYPERLINK("../../3.KEGG_map/SCI_I-vs-NC-Down/rno04068.html","rno04068")</f>
        <v>rno04068</v>
      </c>
    </row>
    <row r="85" spans="1:13" x14ac:dyDescent="0.25">
      <c r="A85" t="s">
        <v>195</v>
      </c>
      <c r="B85" t="s">
        <v>196</v>
      </c>
      <c r="C85" t="s">
        <v>123</v>
      </c>
      <c r="D85" t="s">
        <v>162</v>
      </c>
      <c r="E85">
        <v>8</v>
      </c>
      <c r="F85">
        <v>425</v>
      </c>
      <c r="G85">
        <v>97</v>
      </c>
      <c r="H85">
        <v>7679</v>
      </c>
      <c r="I85">
        <v>0.16769006497514199</v>
      </c>
      <c r="J85">
        <v>0.46567288609070001</v>
      </c>
      <c r="K85">
        <v>1.4901637355973301</v>
      </c>
      <c r="L85" t="s">
        <v>1195</v>
      </c>
      <c r="M85" t="str">
        <f>HYPERLINK("../../3.KEGG_map/SCI_I-vs-NC-Down/rno04070.html","rno04070")</f>
        <v>rno04070</v>
      </c>
    </row>
    <row r="86" spans="1:13" x14ac:dyDescent="0.25">
      <c r="A86" t="s">
        <v>198</v>
      </c>
      <c r="B86" t="s">
        <v>199</v>
      </c>
      <c r="C86" t="s">
        <v>123</v>
      </c>
      <c r="D86" t="s">
        <v>162</v>
      </c>
      <c r="E86">
        <v>2</v>
      </c>
      <c r="F86">
        <v>425</v>
      </c>
      <c r="G86">
        <v>119</v>
      </c>
      <c r="H86">
        <v>7679</v>
      </c>
      <c r="I86">
        <v>0.99125493000099496</v>
      </c>
      <c r="J86">
        <v>1</v>
      </c>
      <c r="K86">
        <v>0.30366782006920401</v>
      </c>
      <c r="L86" t="s">
        <v>1196</v>
      </c>
      <c r="M86" t="str">
        <f>HYPERLINK("../../3.KEGG_map/SCI_I-vs-NC-Down/rno04071.html","rno04071")</f>
        <v>rno04071</v>
      </c>
    </row>
    <row r="87" spans="1:13" x14ac:dyDescent="0.25">
      <c r="A87" t="s">
        <v>201</v>
      </c>
      <c r="B87" t="s">
        <v>202</v>
      </c>
      <c r="C87" t="s">
        <v>123</v>
      </c>
      <c r="D87" t="s">
        <v>162</v>
      </c>
      <c r="E87">
        <v>13</v>
      </c>
      <c r="F87">
        <v>425</v>
      </c>
      <c r="G87">
        <v>146</v>
      </c>
      <c r="H87">
        <v>7679</v>
      </c>
      <c r="I87">
        <v>6.0378720037761298E-2</v>
      </c>
      <c r="J87">
        <v>0.28003233948547901</v>
      </c>
      <c r="K87">
        <v>1.6088154713940399</v>
      </c>
      <c r="L87" t="s">
        <v>1197</v>
      </c>
      <c r="M87" t="str">
        <f>HYPERLINK("../../3.KEGG_map/SCI_I-vs-NC-Down/rno04072.html","rno04072")</f>
        <v>rno04072</v>
      </c>
    </row>
    <row r="88" spans="1:13" x14ac:dyDescent="0.25">
      <c r="A88" t="s">
        <v>1198</v>
      </c>
      <c r="B88" t="s">
        <v>1199</v>
      </c>
      <c r="C88" t="s">
        <v>123</v>
      </c>
      <c r="D88" t="s">
        <v>184</v>
      </c>
      <c r="E88">
        <v>46</v>
      </c>
      <c r="F88">
        <v>425</v>
      </c>
      <c r="G88">
        <v>313</v>
      </c>
      <c r="H88">
        <v>7679</v>
      </c>
      <c r="I88" s="1">
        <v>6.7669611632005702E-10</v>
      </c>
      <c r="J88" s="1">
        <v>1.2777209936658199E-7</v>
      </c>
      <c r="K88">
        <v>2.65539560233039</v>
      </c>
      <c r="L88" t="s">
        <v>1200</v>
      </c>
      <c r="M88" t="str">
        <f>HYPERLINK("../../3.KEGG_map/SCI_I-vs-NC-Down/rno04080.html","rno04080")</f>
        <v>rno04080</v>
      </c>
    </row>
    <row r="89" spans="1:13" x14ac:dyDescent="0.25">
      <c r="A89" t="s">
        <v>204</v>
      </c>
      <c r="B89" t="s">
        <v>205</v>
      </c>
      <c r="C89" t="s">
        <v>206</v>
      </c>
      <c r="D89" t="s">
        <v>207</v>
      </c>
      <c r="E89">
        <v>3</v>
      </c>
      <c r="F89">
        <v>425</v>
      </c>
      <c r="G89">
        <v>123</v>
      </c>
      <c r="H89">
        <v>7679</v>
      </c>
      <c r="I89">
        <v>0.97005419802528903</v>
      </c>
      <c r="J89">
        <v>1</v>
      </c>
      <c r="K89">
        <v>0.440688665710187</v>
      </c>
      <c r="L89" t="s">
        <v>1201</v>
      </c>
      <c r="M89" t="str">
        <f>HYPERLINK("../../3.KEGG_map/SCI_I-vs-NC-Down/rno04110.html","rno04110")</f>
        <v>rno04110</v>
      </c>
    </row>
    <row r="90" spans="1:13" x14ac:dyDescent="0.25">
      <c r="A90" t="s">
        <v>209</v>
      </c>
      <c r="B90" t="s">
        <v>210</v>
      </c>
      <c r="C90" t="s">
        <v>206</v>
      </c>
      <c r="D90" t="s">
        <v>207</v>
      </c>
      <c r="E90">
        <v>8</v>
      </c>
      <c r="F90">
        <v>425</v>
      </c>
      <c r="G90">
        <v>112</v>
      </c>
      <c r="H90">
        <v>7679</v>
      </c>
      <c r="I90">
        <v>0.27956443443985102</v>
      </c>
      <c r="J90">
        <v>0.69632252652147997</v>
      </c>
      <c r="K90">
        <v>1.29058823529412</v>
      </c>
      <c r="L90" t="s">
        <v>1202</v>
      </c>
      <c r="M90" t="str">
        <f>HYPERLINK("../../3.KEGG_map/SCI_I-vs-NC-Down/rno04114.html","rno04114")</f>
        <v>rno04114</v>
      </c>
    </row>
    <row r="91" spans="1:13" x14ac:dyDescent="0.25">
      <c r="A91" t="s">
        <v>212</v>
      </c>
      <c r="B91" t="s">
        <v>213</v>
      </c>
      <c r="C91" t="s">
        <v>206</v>
      </c>
      <c r="D91" t="s">
        <v>207</v>
      </c>
      <c r="E91">
        <v>2</v>
      </c>
      <c r="F91">
        <v>425</v>
      </c>
      <c r="G91">
        <v>66</v>
      </c>
      <c r="H91">
        <v>7679</v>
      </c>
      <c r="I91">
        <v>0.88748355223296804</v>
      </c>
      <c r="J91">
        <v>1</v>
      </c>
      <c r="K91">
        <v>0.547522281639929</v>
      </c>
      <c r="L91" t="s">
        <v>1203</v>
      </c>
      <c r="M91" t="str">
        <f>HYPERLINK("../../3.KEGG_map/SCI_I-vs-NC-Down/rno04115.html","rno04115")</f>
        <v>rno04115</v>
      </c>
    </row>
    <row r="92" spans="1:13" x14ac:dyDescent="0.25">
      <c r="A92" t="s">
        <v>215</v>
      </c>
      <c r="B92" t="s">
        <v>216</v>
      </c>
      <c r="C92" t="s">
        <v>128</v>
      </c>
      <c r="D92" t="s">
        <v>139</v>
      </c>
      <c r="E92">
        <v>2</v>
      </c>
      <c r="F92">
        <v>425</v>
      </c>
      <c r="G92">
        <v>132</v>
      </c>
      <c r="H92">
        <v>7679</v>
      </c>
      <c r="I92">
        <v>0.99547891318035497</v>
      </c>
      <c r="J92">
        <v>1</v>
      </c>
      <c r="K92">
        <v>0.273761140819964</v>
      </c>
      <c r="L92" t="s">
        <v>1204</v>
      </c>
      <c r="M92" t="str">
        <f>HYPERLINK("../../3.KEGG_map/SCI_I-vs-NC-Down/rno04120.html","rno04120")</f>
        <v>rno04120</v>
      </c>
    </row>
    <row r="93" spans="1:13" x14ac:dyDescent="0.25">
      <c r="A93" t="s">
        <v>939</v>
      </c>
      <c r="B93" t="s">
        <v>940</v>
      </c>
      <c r="C93" t="s">
        <v>206</v>
      </c>
      <c r="D93" t="s">
        <v>220</v>
      </c>
      <c r="E93">
        <v>1</v>
      </c>
      <c r="F93">
        <v>425</v>
      </c>
      <c r="G93">
        <v>63</v>
      </c>
      <c r="H93">
        <v>7679</v>
      </c>
      <c r="I93">
        <v>0.97273007312177795</v>
      </c>
      <c r="J93">
        <v>1</v>
      </c>
      <c r="K93">
        <v>0.286797385620915</v>
      </c>
      <c r="L93" t="s">
        <v>1205</v>
      </c>
      <c r="M93" t="str">
        <f>HYPERLINK("../../3.KEGG_map/SCI_I-vs-NC-Down/rno04137.html","rno04137")</f>
        <v>rno04137</v>
      </c>
    </row>
    <row r="94" spans="1:13" x14ac:dyDescent="0.25">
      <c r="A94" t="s">
        <v>218</v>
      </c>
      <c r="B94" t="s">
        <v>219</v>
      </c>
      <c r="C94" t="s">
        <v>206</v>
      </c>
      <c r="D94" t="s">
        <v>220</v>
      </c>
      <c r="E94">
        <v>4</v>
      </c>
      <c r="F94">
        <v>425</v>
      </c>
      <c r="G94">
        <v>129</v>
      </c>
      <c r="H94">
        <v>7679</v>
      </c>
      <c r="I94">
        <v>0.93237486835029704</v>
      </c>
      <c r="J94">
        <v>1</v>
      </c>
      <c r="K94">
        <v>0.56025535795713599</v>
      </c>
      <c r="L94" t="s">
        <v>1206</v>
      </c>
      <c r="M94" t="str">
        <f>HYPERLINK("../../3.KEGG_map/SCI_I-vs-NC-Down/rno04140.html","rno04140")</f>
        <v>rno04140</v>
      </c>
    </row>
    <row r="95" spans="1:13" x14ac:dyDescent="0.25">
      <c r="A95" t="s">
        <v>221</v>
      </c>
      <c r="B95" t="s">
        <v>222</v>
      </c>
      <c r="C95" t="s">
        <v>128</v>
      </c>
      <c r="D95" t="s">
        <v>139</v>
      </c>
      <c r="E95">
        <v>4</v>
      </c>
      <c r="F95">
        <v>425</v>
      </c>
      <c r="G95">
        <v>160</v>
      </c>
      <c r="H95">
        <v>7679</v>
      </c>
      <c r="I95">
        <v>0.98005591085274202</v>
      </c>
      <c r="J95">
        <v>1</v>
      </c>
      <c r="K95">
        <v>0.45170588235294101</v>
      </c>
      <c r="L95" t="s">
        <v>1207</v>
      </c>
      <c r="M95" t="str">
        <f>HYPERLINK("../../3.KEGG_map/SCI_I-vs-NC-Down/rno04141.html","rno04141")</f>
        <v>rno04141</v>
      </c>
    </row>
    <row r="96" spans="1:13" x14ac:dyDescent="0.25">
      <c r="A96" t="s">
        <v>224</v>
      </c>
      <c r="B96" t="s">
        <v>225</v>
      </c>
      <c r="C96" t="s">
        <v>206</v>
      </c>
      <c r="D96" t="s">
        <v>220</v>
      </c>
      <c r="E96">
        <v>2</v>
      </c>
      <c r="F96">
        <v>425</v>
      </c>
      <c r="G96">
        <v>125</v>
      </c>
      <c r="H96">
        <v>7679</v>
      </c>
      <c r="I96">
        <v>0.99354279117855704</v>
      </c>
      <c r="J96">
        <v>1</v>
      </c>
      <c r="K96">
        <v>0.28909176470588199</v>
      </c>
      <c r="L96" t="s">
        <v>1208</v>
      </c>
      <c r="M96" t="str">
        <f>HYPERLINK("../../3.KEGG_map/SCI_I-vs-NC-Down/rno04142.html","rno04142")</f>
        <v>rno04142</v>
      </c>
    </row>
    <row r="97" spans="1:13" x14ac:dyDescent="0.25">
      <c r="A97" t="s">
        <v>227</v>
      </c>
      <c r="B97" t="s">
        <v>228</v>
      </c>
      <c r="C97" t="s">
        <v>206</v>
      </c>
      <c r="D97" t="s">
        <v>220</v>
      </c>
      <c r="E97">
        <v>8</v>
      </c>
      <c r="F97">
        <v>425</v>
      </c>
      <c r="G97">
        <v>256</v>
      </c>
      <c r="H97">
        <v>7679</v>
      </c>
      <c r="I97">
        <v>0.97608606250718899</v>
      </c>
      <c r="J97">
        <v>1</v>
      </c>
      <c r="K97">
        <v>0.56463235294117597</v>
      </c>
      <c r="L97" t="s">
        <v>1209</v>
      </c>
      <c r="M97" t="str">
        <f>HYPERLINK("../../3.KEGG_map/SCI_I-vs-NC-Down/rno04144.html","rno04144")</f>
        <v>rno04144</v>
      </c>
    </row>
    <row r="98" spans="1:13" x14ac:dyDescent="0.25">
      <c r="A98" t="s">
        <v>230</v>
      </c>
      <c r="B98" t="s">
        <v>231</v>
      </c>
      <c r="C98" t="s">
        <v>206</v>
      </c>
      <c r="D98" t="s">
        <v>220</v>
      </c>
      <c r="E98">
        <v>4</v>
      </c>
      <c r="F98">
        <v>425</v>
      </c>
      <c r="G98">
        <v>169</v>
      </c>
      <c r="H98">
        <v>7679</v>
      </c>
      <c r="I98">
        <v>0.98627416548552105</v>
      </c>
      <c r="J98">
        <v>1</v>
      </c>
      <c r="K98">
        <v>0.427650539505743</v>
      </c>
      <c r="L98" t="s">
        <v>1210</v>
      </c>
      <c r="M98" t="str">
        <f>HYPERLINK("../../3.KEGG_map/SCI_I-vs-NC-Down/rno04145.html","rno04145")</f>
        <v>rno04145</v>
      </c>
    </row>
    <row r="99" spans="1:13" x14ac:dyDescent="0.25">
      <c r="A99" t="s">
        <v>233</v>
      </c>
      <c r="B99" t="s">
        <v>234</v>
      </c>
      <c r="C99" t="s">
        <v>206</v>
      </c>
      <c r="D99" t="s">
        <v>220</v>
      </c>
      <c r="E99">
        <v>7</v>
      </c>
      <c r="F99">
        <v>425</v>
      </c>
      <c r="G99">
        <v>81</v>
      </c>
      <c r="H99">
        <v>7679</v>
      </c>
      <c r="I99">
        <v>0.160115959443731</v>
      </c>
      <c r="J99">
        <v>0.46567288609070001</v>
      </c>
      <c r="K99">
        <v>1.5614524328249799</v>
      </c>
      <c r="L99" t="s">
        <v>1211</v>
      </c>
      <c r="M99" t="str">
        <f>HYPERLINK("../../3.KEGG_map/SCI_I-vs-NC-Down/rno04146.html","rno04146")</f>
        <v>rno04146</v>
      </c>
    </row>
    <row r="100" spans="1:13" x14ac:dyDescent="0.25">
      <c r="A100" t="s">
        <v>236</v>
      </c>
      <c r="B100" t="s">
        <v>237</v>
      </c>
      <c r="C100" t="s">
        <v>123</v>
      </c>
      <c r="D100" t="s">
        <v>162</v>
      </c>
      <c r="E100">
        <v>8</v>
      </c>
      <c r="F100">
        <v>425</v>
      </c>
      <c r="G100">
        <v>150</v>
      </c>
      <c r="H100">
        <v>7679</v>
      </c>
      <c r="I100">
        <v>0.59499586955343298</v>
      </c>
      <c r="J100">
        <v>1</v>
      </c>
      <c r="K100">
        <v>0.96363921568627398</v>
      </c>
      <c r="L100" t="s">
        <v>1212</v>
      </c>
      <c r="M100" t="str">
        <f>HYPERLINK("../../3.KEGG_map/SCI_I-vs-NC-Down/rno04150.html","rno04150")</f>
        <v>rno04150</v>
      </c>
    </row>
    <row r="101" spans="1:13" x14ac:dyDescent="0.25">
      <c r="A101" t="s">
        <v>239</v>
      </c>
      <c r="B101" t="s">
        <v>240</v>
      </c>
      <c r="C101" t="s">
        <v>123</v>
      </c>
      <c r="D101" t="s">
        <v>162</v>
      </c>
      <c r="E101">
        <v>6</v>
      </c>
      <c r="F101">
        <v>425</v>
      </c>
      <c r="G101">
        <v>335</v>
      </c>
      <c r="H101">
        <v>7679</v>
      </c>
      <c r="I101">
        <v>0.999872754394459</v>
      </c>
      <c r="J101">
        <v>1</v>
      </c>
      <c r="K101">
        <v>0.32361018437225603</v>
      </c>
      <c r="L101" t="s">
        <v>1213</v>
      </c>
      <c r="M101" t="str">
        <f>HYPERLINK("../../3.KEGG_map/SCI_I-vs-NC-Down/rno04151.html","rno04151")</f>
        <v>rno04151</v>
      </c>
    </row>
    <row r="102" spans="1:13" x14ac:dyDescent="0.25">
      <c r="A102" t="s">
        <v>242</v>
      </c>
      <c r="B102" t="s">
        <v>243</v>
      </c>
      <c r="C102" t="s">
        <v>123</v>
      </c>
      <c r="D102" t="s">
        <v>162</v>
      </c>
      <c r="E102">
        <v>9</v>
      </c>
      <c r="F102">
        <v>425</v>
      </c>
      <c r="G102">
        <v>123</v>
      </c>
      <c r="H102">
        <v>7679</v>
      </c>
      <c r="I102">
        <v>0.240493489860089</v>
      </c>
      <c r="J102">
        <v>0.61030895068267998</v>
      </c>
      <c r="K102">
        <v>1.3220659971305599</v>
      </c>
      <c r="L102" t="s">
        <v>1214</v>
      </c>
      <c r="M102" t="str">
        <f>HYPERLINK("../../3.KEGG_map/SCI_I-vs-NC-Down/rno04152.html","rno04152")</f>
        <v>rno04152</v>
      </c>
    </row>
    <row r="103" spans="1:13" x14ac:dyDescent="0.25">
      <c r="A103" t="s">
        <v>245</v>
      </c>
      <c r="B103" t="s">
        <v>246</v>
      </c>
      <c r="C103" t="s">
        <v>206</v>
      </c>
      <c r="D103" t="s">
        <v>207</v>
      </c>
      <c r="E103">
        <v>2</v>
      </c>
      <c r="F103">
        <v>425</v>
      </c>
      <c r="G103">
        <v>134</v>
      </c>
      <c r="H103">
        <v>7679</v>
      </c>
      <c r="I103">
        <v>0.99591865777418198</v>
      </c>
      <c r="J103">
        <v>1</v>
      </c>
      <c r="K103">
        <v>0.26967515364354699</v>
      </c>
      <c r="L103" t="s">
        <v>1215</v>
      </c>
      <c r="M103" t="str">
        <f>HYPERLINK("../../3.KEGG_map/SCI_I-vs-NC-Down/rno04210.html","rno04210")</f>
        <v>rno04210</v>
      </c>
    </row>
    <row r="104" spans="1:13" x14ac:dyDescent="0.25">
      <c r="A104" t="s">
        <v>248</v>
      </c>
      <c r="B104" t="s">
        <v>249</v>
      </c>
      <c r="C104" t="s">
        <v>150</v>
      </c>
      <c r="D104" t="s">
        <v>250</v>
      </c>
      <c r="E104">
        <v>7</v>
      </c>
      <c r="F104">
        <v>425</v>
      </c>
      <c r="G104">
        <v>89</v>
      </c>
      <c r="H104">
        <v>7679</v>
      </c>
      <c r="I104">
        <v>0.22157584852821199</v>
      </c>
      <c r="J104">
        <v>0.58348498223065204</v>
      </c>
      <c r="K104">
        <v>1.4210971579643099</v>
      </c>
      <c r="L104" t="s">
        <v>1216</v>
      </c>
      <c r="M104" t="str">
        <f>HYPERLINK("../../3.KEGG_map/SCI_I-vs-NC-Down/rno04211.html","rno04211")</f>
        <v>rno04211</v>
      </c>
    </row>
    <row r="105" spans="1:13" x14ac:dyDescent="0.25">
      <c r="A105" t="s">
        <v>252</v>
      </c>
      <c r="B105" t="s">
        <v>253</v>
      </c>
      <c r="C105" t="s">
        <v>150</v>
      </c>
      <c r="D105" t="s">
        <v>250</v>
      </c>
      <c r="E105">
        <v>6</v>
      </c>
      <c r="F105">
        <v>425</v>
      </c>
      <c r="G105">
        <v>62</v>
      </c>
      <c r="H105">
        <v>7679</v>
      </c>
      <c r="I105">
        <v>0.12680895311204399</v>
      </c>
      <c r="J105">
        <v>0.42782128747682802</v>
      </c>
      <c r="K105">
        <v>1.74853889943074</v>
      </c>
      <c r="L105" t="s">
        <v>1217</v>
      </c>
      <c r="M105" t="str">
        <f>HYPERLINK("../../3.KEGG_map/SCI_I-vs-NC-Down/rno04213.html","rno04213")</f>
        <v>rno04213</v>
      </c>
    </row>
    <row r="106" spans="1:13" x14ac:dyDescent="0.25">
      <c r="A106" t="s">
        <v>734</v>
      </c>
      <c r="B106" t="s">
        <v>735</v>
      </c>
      <c r="C106" t="s">
        <v>206</v>
      </c>
      <c r="D106" t="s">
        <v>207</v>
      </c>
      <c r="E106">
        <v>1</v>
      </c>
      <c r="F106">
        <v>425</v>
      </c>
      <c r="G106">
        <v>39</v>
      </c>
      <c r="H106">
        <v>7679</v>
      </c>
      <c r="I106">
        <v>0.89206093391331898</v>
      </c>
      <c r="J106">
        <v>1</v>
      </c>
      <c r="K106">
        <v>0.46328808446455499</v>
      </c>
      <c r="L106" t="s">
        <v>1218</v>
      </c>
      <c r="M106" t="str">
        <f>HYPERLINK("../../3.KEGG_map/SCI_I-vs-NC-Down/rno04216.html","rno04216")</f>
        <v>rno04216</v>
      </c>
    </row>
    <row r="107" spans="1:13" x14ac:dyDescent="0.25">
      <c r="A107" t="s">
        <v>255</v>
      </c>
      <c r="B107" t="s">
        <v>256</v>
      </c>
      <c r="C107" t="s">
        <v>206</v>
      </c>
      <c r="D107" t="s">
        <v>207</v>
      </c>
      <c r="E107">
        <v>3</v>
      </c>
      <c r="F107">
        <v>425</v>
      </c>
      <c r="G107">
        <v>145</v>
      </c>
      <c r="H107">
        <v>7679</v>
      </c>
      <c r="I107">
        <v>0.98876737854498598</v>
      </c>
      <c r="J107">
        <v>1</v>
      </c>
      <c r="K107">
        <v>0.37382555780933102</v>
      </c>
      <c r="L107" t="s">
        <v>1219</v>
      </c>
      <c r="M107" t="str">
        <f>HYPERLINK("../../3.KEGG_map/SCI_I-vs-NC-Down/rno04217.html","rno04217")</f>
        <v>rno04217</v>
      </c>
    </row>
    <row r="108" spans="1:13" x14ac:dyDescent="0.25">
      <c r="A108" t="s">
        <v>258</v>
      </c>
      <c r="B108" t="s">
        <v>259</v>
      </c>
      <c r="C108" t="s">
        <v>206</v>
      </c>
      <c r="D108" t="s">
        <v>207</v>
      </c>
      <c r="E108">
        <v>3</v>
      </c>
      <c r="F108">
        <v>425</v>
      </c>
      <c r="G108">
        <v>173</v>
      </c>
      <c r="H108">
        <v>7679</v>
      </c>
      <c r="I108">
        <v>0.99695274941258905</v>
      </c>
      <c r="J108">
        <v>1</v>
      </c>
      <c r="K108">
        <v>0.31332199931995902</v>
      </c>
      <c r="L108" t="s">
        <v>1220</v>
      </c>
      <c r="M108" t="str">
        <f>HYPERLINK("../../3.KEGG_map/SCI_I-vs-NC-Down/rno04218.html","rno04218")</f>
        <v>rno04218</v>
      </c>
    </row>
    <row r="109" spans="1:13" x14ac:dyDescent="0.25">
      <c r="A109" t="s">
        <v>261</v>
      </c>
      <c r="B109" t="s">
        <v>262</v>
      </c>
      <c r="C109" t="s">
        <v>150</v>
      </c>
      <c r="D109" t="s">
        <v>263</v>
      </c>
      <c r="E109">
        <v>8</v>
      </c>
      <c r="F109">
        <v>425</v>
      </c>
      <c r="G109">
        <v>75</v>
      </c>
      <c r="H109">
        <v>7679</v>
      </c>
      <c r="I109">
        <v>5.4382136347136602E-2</v>
      </c>
      <c r="J109">
        <v>0.256645520655785</v>
      </c>
      <c r="K109">
        <v>1.9272784313725499</v>
      </c>
      <c r="L109" t="s">
        <v>1221</v>
      </c>
      <c r="M109" t="str">
        <f>HYPERLINK("../../3.KEGG_map/SCI_I-vs-NC-Down/rno04260.html","rno04260")</f>
        <v>rno04260</v>
      </c>
    </row>
    <row r="110" spans="1:13" x14ac:dyDescent="0.25">
      <c r="A110" t="s">
        <v>265</v>
      </c>
      <c r="B110" t="s">
        <v>266</v>
      </c>
      <c r="C110" t="s">
        <v>150</v>
      </c>
      <c r="D110" t="s">
        <v>263</v>
      </c>
      <c r="E110">
        <v>18</v>
      </c>
      <c r="F110">
        <v>425</v>
      </c>
      <c r="G110">
        <v>143</v>
      </c>
      <c r="H110">
        <v>7679</v>
      </c>
      <c r="I110">
        <v>8.6783890942400898E-4</v>
      </c>
      <c r="J110">
        <v>1.55632444423372E-2</v>
      </c>
      <c r="K110">
        <v>2.2743233237350902</v>
      </c>
      <c r="L110" t="s">
        <v>1222</v>
      </c>
      <c r="M110" t="str">
        <f>HYPERLINK("../../3.KEGG_map/SCI_I-vs-NC-Down/rno04261.html","rno04261")</f>
        <v>rno04261</v>
      </c>
    </row>
    <row r="111" spans="1:13" x14ac:dyDescent="0.25">
      <c r="A111" t="s">
        <v>268</v>
      </c>
      <c r="B111" t="s">
        <v>269</v>
      </c>
      <c r="C111" t="s">
        <v>150</v>
      </c>
      <c r="D111" t="s">
        <v>263</v>
      </c>
      <c r="E111">
        <v>19</v>
      </c>
      <c r="F111">
        <v>425</v>
      </c>
      <c r="G111">
        <v>130</v>
      </c>
      <c r="H111">
        <v>7679</v>
      </c>
      <c r="I111" s="1">
        <v>8.8140534582476396E-5</v>
      </c>
      <c r="J111">
        <v>2.9637254753357698E-3</v>
      </c>
      <c r="K111">
        <v>2.6407420814479599</v>
      </c>
      <c r="L111" t="s">
        <v>1223</v>
      </c>
      <c r="M111" t="str">
        <f>HYPERLINK("../../3.KEGG_map/SCI_I-vs-NC-Down/rno04270.html","rno04270")</f>
        <v>rno04270</v>
      </c>
    </row>
    <row r="112" spans="1:13" x14ac:dyDescent="0.25">
      <c r="A112" t="s">
        <v>271</v>
      </c>
      <c r="B112" t="s">
        <v>272</v>
      </c>
      <c r="C112" t="s">
        <v>123</v>
      </c>
      <c r="D112" t="s">
        <v>162</v>
      </c>
      <c r="E112">
        <v>13</v>
      </c>
      <c r="F112">
        <v>425</v>
      </c>
      <c r="G112">
        <v>143</v>
      </c>
      <c r="H112">
        <v>7679</v>
      </c>
      <c r="I112">
        <v>5.2764652961253197E-2</v>
      </c>
      <c r="J112">
        <v>0.256645520655785</v>
      </c>
      <c r="K112">
        <v>1.6425668449197901</v>
      </c>
      <c r="L112" t="s">
        <v>1224</v>
      </c>
      <c r="M112" t="str">
        <f>HYPERLINK("../../3.KEGG_map/SCI_I-vs-NC-Down/rno04310.html","rno04310")</f>
        <v>rno04310</v>
      </c>
    </row>
    <row r="113" spans="1:13" x14ac:dyDescent="0.25">
      <c r="A113" t="s">
        <v>274</v>
      </c>
      <c r="B113" t="s">
        <v>275</v>
      </c>
      <c r="C113" t="s">
        <v>123</v>
      </c>
      <c r="D113" t="s">
        <v>162</v>
      </c>
      <c r="E113">
        <v>1</v>
      </c>
      <c r="F113">
        <v>425</v>
      </c>
      <c r="G113">
        <v>50</v>
      </c>
      <c r="H113">
        <v>7679</v>
      </c>
      <c r="I113">
        <v>0.94251334181125901</v>
      </c>
      <c r="J113">
        <v>1</v>
      </c>
      <c r="K113">
        <v>0.36136470588235298</v>
      </c>
      <c r="L113" t="s">
        <v>1225</v>
      </c>
      <c r="M113" t="str">
        <f>HYPERLINK("../../3.KEGG_map/SCI_I-vs-NC-Down/rno04330.html","rno04330")</f>
        <v>rno04330</v>
      </c>
    </row>
    <row r="114" spans="1:13" x14ac:dyDescent="0.25">
      <c r="A114" t="s">
        <v>277</v>
      </c>
      <c r="B114" t="s">
        <v>278</v>
      </c>
      <c r="C114" t="s">
        <v>123</v>
      </c>
      <c r="D114" t="s">
        <v>162</v>
      </c>
      <c r="E114">
        <v>1</v>
      </c>
      <c r="F114">
        <v>425</v>
      </c>
      <c r="G114">
        <v>43</v>
      </c>
      <c r="H114">
        <v>7679</v>
      </c>
      <c r="I114">
        <v>0.91415194372674502</v>
      </c>
      <c r="J114">
        <v>1</v>
      </c>
      <c r="K114">
        <v>0.42019151846785202</v>
      </c>
      <c r="L114" t="s">
        <v>1226</v>
      </c>
      <c r="M114" t="str">
        <f>HYPERLINK("../../3.KEGG_map/SCI_I-vs-NC-Down/rno04340.html","rno04340")</f>
        <v>rno04340</v>
      </c>
    </row>
    <row r="115" spans="1:13" x14ac:dyDescent="0.25">
      <c r="A115" t="s">
        <v>280</v>
      </c>
      <c r="B115" t="s">
        <v>281</v>
      </c>
      <c r="C115" t="s">
        <v>123</v>
      </c>
      <c r="D115" t="s">
        <v>162</v>
      </c>
      <c r="E115">
        <v>10</v>
      </c>
      <c r="F115">
        <v>425</v>
      </c>
      <c r="G115">
        <v>84</v>
      </c>
      <c r="H115">
        <v>7679</v>
      </c>
      <c r="I115">
        <v>1.7044453331663E-2</v>
      </c>
      <c r="J115">
        <v>0.13099879846335299</v>
      </c>
      <c r="K115">
        <v>2.15098039215686</v>
      </c>
      <c r="L115" t="s">
        <v>1227</v>
      </c>
      <c r="M115" t="str">
        <f>HYPERLINK("../../3.KEGG_map/SCI_I-vs-NC-Down/rno04350.html","rno04350")</f>
        <v>rno04350</v>
      </c>
    </row>
    <row r="116" spans="1:13" x14ac:dyDescent="0.25">
      <c r="A116" t="s">
        <v>283</v>
      </c>
      <c r="B116" t="s">
        <v>284</v>
      </c>
      <c r="C116" t="s">
        <v>150</v>
      </c>
      <c r="D116" t="s">
        <v>285</v>
      </c>
      <c r="E116">
        <v>20</v>
      </c>
      <c r="F116">
        <v>425</v>
      </c>
      <c r="G116">
        <v>175</v>
      </c>
      <c r="H116">
        <v>7679</v>
      </c>
      <c r="I116">
        <v>1.5531093651520399E-3</v>
      </c>
      <c r="J116">
        <v>2.32103566236611E-2</v>
      </c>
      <c r="K116">
        <v>2.0649411764705898</v>
      </c>
      <c r="L116" t="s">
        <v>1228</v>
      </c>
      <c r="M116" t="str">
        <f>HYPERLINK("../../3.KEGG_map/SCI_I-vs-NC-Down/rno04360.html","rno04360")</f>
        <v>rno04360</v>
      </c>
    </row>
    <row r="117" spans="1:13" x14ac:dyDescent="0.25">
      <c r="A117" t="s">
        <v>747</v>
      </c>
      <c r="B117" t="s">
        <v>748</v>
      </c>
      <c r="C117" t="s">
        <v>123</v>
      </c>
      <c r="D117" t="s">
        <v>162</v>
      </c>
      <c r="E117">
        <v>1</v>
      </c>
      <c r="F117">
        <v>425</v>
      </c>
      <c r="G117">
        <v>57</v>
      </c>
      <c r="H117">
        <v>7679</v>
      </c>
      <c r="I117">
        <v>0.96151964055097405</v>
      </c>
      <c r="J117">
        <v>1</v>
      </c>
      <c r="K117">
        <v>0.316986584107327</v>
      </c>
      <c r="L117" t="s">
        <v>1229</v>
      </c>
      <c r="M117" t="str">
        <f>HYPERLINK("../../3.KEGG_map/SCI_I-vs-NC-Down/rno04370.html","rno04370")</f>
        <v>rno04370</v>
      </c>
    </row>
    <row r="118" spans="1:13" x14ac:dyDescent="0.25">
      <c r="A118" t="s">
        <v>287</v>
      </c>
      <c r="B118" t="s">
        <v>288</v>
      </c>
      <c r="C118" t="s">
        <v>123</v>
      </c>
      <c r="D118" t="s">
        <v>162</v>
      </c>
      <c r="E118">
        <v>13</v>
      </c>
      <c r="F118">
        <v>425</v>
      </c>
      <c r="G118">
        <v>134</v>
      </c>
      <c r="H118">
        <v>7679</v>
      </c>
      <c r="I118">
        <v>3.3931496136681699E-2</v>
      </c>
      <c r="J118">
        <v>0.19420366937802899</v>
      </c>
      <c r="K118">
        <v>1.75288849868306</v>
      </c>
      <c r="L118" t="s">
        <v>1230</v>
      </c>
      <c r="M118" t="str">
        <f>HYPERLINK("../../3.KEGG_map/SCI_I-vs-NC-Down/rno04371.html","rno04371")</f>
        <v>rno04371</v>
      </c>
    </row>
    <row r="119" spans="1:13" x14ac:dyDescent="0.25">
      <c r="A119" t="s">
        <v>290</v>
      </c>
      <c r="B119" t="s">
        <v>291</v>
      </c>
      <c r="C119" t="s">
        <v>150</v>
      </c>
      <c r="D119" t="s">
        <v>285</v>
      </c>
      <c r="E119">
        <v>2</v>
      </c>
      <c r="F119">
        <v>425</v>
      </c>
      <c r="G119">
        <v>122</v>
      </c>
      <c r="H119">
        <v>7679</v>
      </c>
      <c r="I119">
        <v>0.99248341723740197</v>
      </c>
      <c r="J119">
        <v>1</v>
      </c>
      <c r="K119">
        <v>0.29620057859209298</v>
      </c>
      <c r="L119" t="s">
        <v>1231</v>
      </c>
      <c r="M119" t="str">
        <f>HYPERLINK("../../3.KEGG_map/SCI_I-vs-NC-Down/rno04380.html","rno04380")</f>
        <v>rno04380</v>
      </c>
    </row>
    <row r="120" spans="1:13" x14ac:dyDescent="0.25">
      <c r="A120" t="s">
        <v>293</v>
      </c>
      <c r="B120" t="s">
        <v>294</v>
      </c>
      <c r="C120" t="s">
        <v>123</v>
      </c>
      <c r="D120" t="s">
        <v>162</v>
      </c>
      <c r="E120">
        <v>12</v>
      </c>
      <c r="F120">
        <v>425</v>
      </c>
      <c r="G120">
        <v>152</v>
      </c>
      <c r="H120">
        <v>7679</v>
      </c>
      <c r="I120">
        <v>0.135609369305459</v>
      </c>
      <c r="J120">
        <v>0.439505064375522</v>
      </c>
      <c r="K120">
        <v>1.4264396284829699</v>
      </c>
      <c r="L120" t="s">
        <v>1232</v>
      </c>
      <c r="M120" t="str">
        <f>HYPERLINK("../../3.KEGG_map/SCI_I-vs-NC-Down/rno04390.html","rno04390")</f>
        <v>rno04390</v>
      </c>
    </row>
    <row r="121" spans="1:13" x14ac:dyDescent="0.25">
      <c r="A121" t="s">
        <v>296</v>
      </c>
      <c r="B121" t="s">
        <v>297</v>
      </c>
      <c r="C121" t="s">
        <v>123</v>
      </c>
      <c r="D121" t="s">
        <v>162</v>
      </c>
      <c r="E121">
        <v>2</v>
      </c>
      <c r="F121">
        <v>425</v>
      </c>
      <c r="G121">
        <v>28</v>
      </c>
      <c r="H121">
        <v>7679</v>
      </c>
      <c r="I121">
        <v>0.46411210827382199</v>
      </c>
      <c r="J121">
        <v>1</v>
      </c>
      <c r="K121">
        <v>1.29058823529412</v>
      </c>
      <c r="L121" t="s">
        <v>1233</v>
      </c>
      <c r="M121" t="str">
        <f>HYPERLINK("../../3.KEGG_map/SCI_I-vs-NC-Down/rno04392.html","rno04392")</f>
        <v>rno04392</v>
      </c>
    </row>
    <row r="122" spans="1:13" x14ac:dyDescent="0.25">
      <c r="A122" t="s">
        <v>299</v>
      </c>
      <c r="B122" t="s">
        <v>300</v>
      </c>
      <c r="C122" t="s">
        <v>206</v>
      </c>
      <c r="D122" t="s">
        <v>301</v>
      </c>
      <c r="E122">
        <v>7</v>
      </c>
      <c r="F122">
        <v>425</v>
      </c>
      <c r="G122">
        <v>196</v>
      </c>
      <c r="H122">
        <v>7679</v>
      </c>
      <c r="I122">
        <v>0.92350590531564802</v>
      </c>
      <c r="J122">
        <v>1</v>
      </c>
      <c r="K122">
        <v>0.64529411764705902</v>
      </c>
      <c r="L122" t="s">
        <v>1234</v>
      </c>
      <c r="M122" t="str">
        <f>HYPERLINK("../../3.KEGG_map/SCI_I-vs-NC-Down/rno04510.html","rno04510")</f>
        <v>rno04510</v>
      </c>
    </row>
    <row r="123" spans="1:13" x14ac:dyDescent="0.25">
      <c r="A123" t="s">
        <v>303</v>
      </c>
      <c r="B123" t="s">
        <v>304</v>
      </c>
      <c r="C123" t="s">
        <v>123</v>
      </c>
      <c r="D123" t="s">
        <v>184</v>
      </c>
      <c r="E123">
        <v>2</v>
      </c>
      <c r="F123">
        <v>425</v>
      </c>
      <c r="G123">
        <v>82</v>
      </c>
      <c r="H123">
        <v>7679</v>
      </c>
      <c r="I123">
        <v>0.94641075464439595</v>
      </c>
      <c r="J123">
        <v>1</v>
      </c>
      <c r="K123">
        <v>0.440688665710187</v>
      </c>
      <c r="L123" t="s">
        <v>1235</v>
      </c>
      <c r="M123" t="str">
        <f>HYPERLINK("../../3.KEGG_map/SCI_I-vs-NC-Down/rno04512.html","rno04512")</f>
        <v>rno04512</v>
      </c>
    </row>
    <row r="124" spans="1:13" x14ac:dyDescent="0.25">
      <c r="A124" t="s">
        <v>306</v>
      </c>
      <c r="B124" t="s">
        <v>307</v>
      </c>
      <c r="C124" t="s">
        <v>123</v>
      </c>
      <c r="D124" t="s">
        <v>184</v>
      </c>
      <c r="E124">
        <v>12</v>
      </c>
      <c r="F124">
        <v>425</v>
      </c>
      <c r="G124">
        <v>155</v>
      </c>
      <c r="H124">
        <v>7679</v>
      </c>
      <c r="I124">
        <v>0.14982964901545301</v>
      </c>
      <c r="J124">
        <v>0.45800199528587399</v>
      </c>
      <c r="K124">
        <v>1.3988311195445899</v>
      </c>
      <c r="L124" t="s">
        <v>1236</v>
      </c>
      <c r="M124" t="str">
        <f>HYPERLINK("../../3.KEGG_map/SCI_I-vs-NC-Down/rno04514.html","rno04514")</f>
        <v>rno04514</v>
      </c>
    </row>
    <row r="125" spans="1:13" x14ac:dyDescent="0.25">
      <c r="A125" t="s">
        <v>309</v>
      </c>
      <c r="B125" t="s">
        <v>310</v>
      </c>
      <c r="C125" t="s">
        <v>206</v>
      </c>
      <c r="D125" t="s">
        <v>301</v>
      </c>
      <c r="E125">
        <v>1</v>
      </c>
      <c r="F125">
        <v>425</v>
      </c>
      <c r="G125">
        <v>71</v>
      </c>
      <c r="H125">
        <v>7679</v>
      </c>
      <c r="I125">
        <v>0.98277781021669797</v>
      </c>
      <c r="J125">
        <v>1</v>
      </c>
      <c r="K125">
        <v>0.254482187241094</v>
      </c>
      <c r="L125" t="s">
        <v>1237</v>
      </c>
      <c r="M125" t="str">
        <f>HYPERLINK("../../3.KEGG_map/SCI_I-vs-NC-Down/rno04520.html","rno04520")</f>
        <v>rno04520</v>
      </c>
    </row>
    <row r="126" spans="1:13" x14ac:dyDescent="0.25">
      <c r="A126" t="s">
        <v>312</v>
      </c>
      <c r="B126" t="s">
        <v>313</v>
      </c>
      <c r="C126" t="s">
        <v>206</v>
      </c>
      <c r="D126" t="s">
        <v>301</v>
      </c>
      <c r="E126">
        <v>8</v>
      </c>
      <c r="F126">
        <v>425</v>
      </c>
      <c r="G126">
        <v>165</v>
      </c>
      <c r="H126">
        <v>7679</v>
      </c>
      <c r="I126">
        <v>0.70087470593945</v>
      </c>
      <c r="J126">
        <v>1</v>
      </c>
      <c r="K126">
        <v>0.876035650623886</v>
      </c>
      <c r="L126" t="s">
        <v>1238</v>
      </c>
      <c r="M126" t="str">
        <f>HYPERLINK("../../3.KEGG_map/SCI_I-vs-NC-Down/rno04530.html","rno04530")</f>
        <v>rno04530</v>
      </c>
    </row>
    <row r="127" spans="1:13" x14ac:dyDescent="0.25">
      <c r="A127" t="s">
        <v>315</v>
      </c>
      <c r="B127" t="s">
        <v>316</v>
      </c>
      <c r="C127" t="s">
        <v>206</v>
      </c>
      <c r="D127" t="s">
        <v>301</v>
      </c>
      <c r="E127">
        <v>6</v>
      </c>
      <c r="F127">
        <v>425</v>
      </c>
      <c r="G127">
        <v>86</v>
      </c>
      <c r="H127">
        <v>7679</v>
      </c>
      <c r="I127">
        <v>0.34040293917856601</v>
      </c>
      <c r="J127">
        <v>0.81757491641994995</v>
      </c>
      <c r="K127">
        <v>1.2605745554035599</v>
      </c>
      <c r="L127" t="s">
        <v>1239</v>
      </c>
      <c r="M127" t="str">
        <f>HYPERLINK("../../3.KEGG_map/SCI_I-vs-NC-Down/rno04540.html","rno04540")</f>
        <v>rno04540</v>
      </c>
    </row>
    <row r="128" spans="1:13" x14ac:dyDescent="0.25">
      <c r="A128" t="s">
        <v>318</v>
      </c>
      <c r="B128" t="s">
        <v>319</v>
      </c>
      <c r="C128" t="s">
        <v>206</v>
      </c>
      <c r="D128" t="s">
        <v>301</v>
      </c>
      <c r="E128">
        <v>11</v>
      </c>
      <c r="F128">
        <v>425</v>
      </c>
      <c r="G128">
        <v>135</v>
      </c>
      <c r="H128">
        <v>7679</v>
      </c>
      <c r="I128">
        <v>0.127233096647384</v>
      </c>
      <c r="J128">
        <v>0.42782128747682802</v>
      </c>
      <c r="K128">
        <v>1.4722265795206999</v>
      </c>
      <c r="L128" t="s">
        <v>1240</v>
      </c>
      <c r="M128" t="str">
        <f>HYPERLINK("../../3.KEGG_map/SCI_I-vs-NC-Down/rno04550.html","rno04550")</f>
        <v>rno04550</v>
      </c>
    </row>
    <row r="129" spans="1:13" x14ac:dyDescent="0.25">
      <c r="A129" t="s">
        <v>759</v>
      </c>
      <c r="B129" t="s">
        <v>760</v>
      </c>
      <c r="C129" t="s">
        <v>150</v>
      </c>
      <c r="D129" t="s">
        <v>188</v>
      </c>
      <c r="E129">
        <v>1</v>
      </c>
      <c r="F129">
        <v>425</v>
      </c>
      <c r="G129">
        <v>80</v>
      </c>
      <c r="H129">
        <v>7679</v>
      </c>
      <c r="I129">
        <v>0.98973674901700104</v>
      </c>
      <c r="J129">
        <v>1</v>
      </c>
      <c r="K129">
        <v>0.22585294117647101</v>
      </c>
      <c r="L129" t="s">
        <v>1241</v>
      </c>
      <c r="M129" t="str">
        <f>HYPERLINK("../../3.KEGG_map/SCI_I-vs-NC-Down/rno04610.html","rno04610")</f>
        <v>rno04610</v>
      </c>
    </row>
    <row r="130" spans="1:13" x14ac:dyDescent="0.25">
      <c r="A130" t="s">
        <v>321</v>
      </c>
      <c r="B130" t="s">
        <v>322</v>
      </c>
      <c r="C130" t="s">
        <v>150</v>
      </c>
      <c r="D130" t="s">
        <v>188</v>
      </c>
      <c r="E130">
        <v>10</v>
      </c>
      <c r="F130">
        <v>425</v>
      </c>
      <c r="G130">
        <v>124</v>
      </c>
      <c r="H130">
        <v>7679</v>
      </c>
      <c r="I130">
        <v>0.148141723849853</v>
      </c>
      <c r="J130">
        <v>0.45800199528587399</v>
      </c>
      <c r="K130">
        <v>1.45711574952562</v>
      </c>
      <c r="L130" t="s">
        <v>1242</v>
      </c>
      <c r="M130" t="str">
        <f>HYPERLINK("../../3.KEGG_map/SCI_I-vs-NC-Down/rno04611.html","rno04611")</f>
        <v>rno04611</v>
      </c>
    </row>
    <row r="131" spans="1:13" x14ac:dyDescent="0.25">
      <c r="A131" t="s">
        <v>324</v>
      </c>
      <c r="B131" t="s">
        <v>325</v>
      </c>
      <c r="C131" t="s">
        <v>150</v>
      </c>
      <c r="D131" t="s">
        <v>188</v>
      </c>
      <c r="E131">
        <v>2</v>
      </c>
      <c r="F131">
        <v>425</v>
      </c>
      <c r="G131">
        <v>78</v>
      </c>
      <c r="H131">
        <v>7679</v>
      </c>
      <c r="I131">
        <v>0.93529796982324098</v>
      </c>
      <c r="J131">
        <v>1</v>
      </c>
      <c r="K131">
        <v>0.46328808446455499</v>
      </c>
      <c r="L131" t="s">
        <v>1243</v>
      </c>
      <c r="M131" t="str">
        <f>HYPERLINK("../../3.KEGG_map/SCI_I-vs-NC-Down/rno04612.html","rno04612")</f>
        <v>rno04612</v>
      </c>
    </row>
    <row r="132" spans="1:13" x14ac:dyDescent="0.25">
      <c r="A132" t="s">
        <v>1244</v>
      </c>
      <c r="B132" t="s">
        <v>1245</v>
      </c>
      <c r="C132" t="s">
        <v>150</v>
      </c>
      <c r="D132" t="s">
        <v>151</v>
      </c>
      <c r="E132">
        <v>1</v>
      </c>
      <c r="F132">
        <v>425</v>
      </c>
      <c r="G132">
        <v>35</v>
      </c>
      <c r="H132">
        <v>7679</v>
      </c>
      <c r="I132">
        <v>0.864302052818685</v>
      </c>
      <c r="J132">
        <v>1</v>
      </c>
      <c r="K132">
        <v>0.51623529411764701</v>
      </c>
      <c r="L132" t="s">
        <v>1246</v>
      </c>
      <c r="M132" t="str">
        <f>HYPERLINK("../../3.KEGG_map/SCI_I-vs-NC-Down/rno04614.html","rno04614")</f>
        <v>rno04614</v>
      </c>
    </row>
    <row r="133" spans="1:13" x14ac:dyDescent="0.25">
      <c r="A133" t="s">
        <v>764</v>
      </c>
      <c r="B133" t="s">
        <v>765</v>
      </c>
      <c r="C133" t="s">
        <v>150</v>
      </c>
      <c r="D133" t="s">
        <v>188</v>
      </c>
      <c r="E133">
        <v>1</v>
      </c>
      <c r="F133">
        <v>425</v>
      </c>
      <c r="G133">
        <v>91</v>
      </c>
      <c r="H133">
        <v>7679</v>
      </c>
      <c r="I133">
        <v>0.99455305785590498</v>
      </c>
      <c r="J133">
        <v>1</v>
      </c>
      <c r="K133">
        <v>0.19855203619909501</v>
      </c>
      <c r="L133" t="s">
        <v>1247</v>
      </c>
      <c r="M133" t="str">
        <f>HYPERLINK("../../3.KEGG_map/SCI_I-vs-NC-Down/rno04620.html","rno04620")</f>
        <v>rno04620</v>
      </c>
    </row>
    <row r="134" spans="1:13" x14ac:dyDescent="0.25">
      <c r="A134" t="s">
        <v>327</v>
      </c>
      <c r="B134" t="s">
        <v>328</v>
      </c>
      <c r="C134" t="s">
        <v>150</v>
      </c>
      <c r="D134" t="s">
        <v>188</v>
      </c>
      <c r="E134">
        <v>2</v>
      </c>
      <c r="F134">
        <v>425</v>
      </c>
      <c r="G134">
        <v>154</v>
      </c>
      <c r="H134">
        <v>7679</v>
      </c>
      <c r="I134">
        <v>0.99854866588233504</v>
      </c>
      <c r="J134">
        <v>1</v>
      </c>
      <c r="K134">
        <v>0.23465240641711199</v>
      </c>
      <c r="L134" t="s">
        <v>1248</v>
      </c>
      <c r="M134" t="str">
        <f>HYPERLINK("../../3.KEGG_map/SCI_I-vs-NC-Down/rno04621.html","rno04621")</f>
        <v>rno04621</v>
      </c>
    </row>
    <row r="135" spans="1:13" x14ac:dyDescent="0.25">
      <c r="A135" t="s">
        <v>768</v>
      </c>
      <c r="B135" t="s">
        <v>769</v>
      </c>
      <c r="C135" t="s">
        <v>150</v>
      </c>
      <c r="D135" t="s">
        <v>188</v>
      </c>
      <c r="E135">
        <v>1</v>
      </c>
      <c r="F135">
        <v>425</v>
      </c>
      <c r="G135">
        <v>60</v>
      </c>
      <c r="H135">
        <v>7679</v>
      </c>
      <c r="I135">
        <v>0.96760509591620703</v>
      </c>
      <c r="J135">
        <v>1</v>
      </c>
      <c r="K135">
        <v>0.30113725490196103</v>
      </c>
      <c r="L135" t="s">
        <v>1247</v>
      </c>
      <c r="M135" t="str">
        <f>HYPERLINK("../../3.KEGG_map/SCI_I-vs-NC-Down/rno04622.html","rno04622")</f>
        <v>rno04622</v>
      </c>
    </row>
    <row r="136" spans="1:13" x14ac:dyDescent="0.25">
      <c r="A136" t="s">
        <v>330</v>
      </c>
      <c r="B136" t="s">
        <v>331</v>
      </c>
      <c r="C136" t="s">
        <v>150</v>
      </c>
      <c r="D136" t="s">
        <v>188</v>
      </c>
      <c r="E136">
        <v>5</v>
      </c>
      <c r="F136">
        <v>425</v>
      </c>
      <c r="G136">
        <v>108</v>
      </c>
      <c r="H136">
        <v>7679</v>
      </c>
      <c r="I136">
        <v>0.72136217334171004</v>
      </c>
      <c r="J136">
        <v>1</v>
      </c>
      <c r="K136">
        <v>0.83649237472766902</v>
      </c>
      <c r="L136" t="s">
        <v>1249</v>
      </c>
      <c r="M136" t="str">
        <f>HYPERLINK("../../3.KEGG_map/SCI_I-vs-NC-Down/rno04625.html","rno04625")</f>
        <v>rno04625</v>
      </c>
    </row>
    <row r="137" spans="1:13" x14ac:dyDescent="0.25">
      <c r="A137" t="s">
        <v>333</v>
      </c>
      <c r="B137" t="s">
        <v>334</v>
      </c>
      <c r="C137" t="s">
        <v>123</v>
      </c>
      <c r="D137" t="s">
        <v>162</v>
      </c>
      <c r="E137">
        <v>11</v>
      </c>
      <c r="F137">
        <v>425</v>
      </c>
      <c r="G137">
        <v>151</v>
      </c>
      <c r="H137">
        <v>7679</v>
      </c>
      <c r="I137">
        <v>0.214118425401913</v>
      </c>
      <c r="J137">
        <v>0.57027580626846097</v>
      </c>
      <c r="K137">
        <v>1.31622906116089</v>
      </c>
      <c r="L137" t="s">
        <v>1250</v>
      </c>
      <c r="M137" t="str">
        <f>HYPERLINK("../../3.KEGG_map/SCI_I-vs-NC-Down/rno04630.html","rno04630")</f>
        <v>rno04630</v>
      </c>
    </row>
    <row r="138" spans="1:13" x14ac:dyDescent="0.25">
      <c r="A138" t="s">
        <v>335</v>
      </c>
      <c r="B138" t="s">
        <v>336</v>
      </c>
      <c r="C138" t="s">
        <v>150</v>
      </c>
      <c r="D138" t="s">
        <v>188</v>
      </c>
      <c r="E138">
        <v>2</v>
      </c>
      <c r="F138">
        <v>425</v>
      </c>
      <c r="G138">
        <v>87</v>
      </c>
      <c r="H138">
        <v>7679</v>
      </c>
      <c r="I138">
        <v>0.95776114373613097</v>
      </c>
      <c r="J138">
        <v>1</v>
      </c>
      <c r="K138">
        <v>0.41536173089925599</v>
      </c>
      <c r="L138" t="s">
        <v>1251</v>
      </c>
      <c r="M138" t="str">
        <f>HYPERLINK("../../3.KEGG_map/SCI_I-vs-NC-Down/rno04640.html","rno04640")</f>
        <v>rno04640</v>
      </c>
    </row>
    <row r="139" spans="1:13" x14ac:dyDescent="0.25">
      <c r="A139" t="s">
        <v>772</v>
      </c>
      <c r="B139" t="s">
        <v>773</v>
      </c>
      <c r="C139" t="s">
        <v>150</v>
      </c>
      <c r="D139" t="s">
        <v>188</v>
      </c>
      <c r="E139">
        <v>2</v>
      </c>
      <c r="F139">
        <v>425</v>
      </c>
      <c r="G139">
        <v>125</v>
      </c>
      <c r="H139">
        <v>7679</v>
      </c>
      <c r="I139">
        <v>0.99354279117855704</v>
      </c>
      <c r="J139">
        <v>1</v>
      </c>
      <c r="K139">
        <v>0.28909176470588199</v>
      </c>
      <c r="L139" t="s">
        <v>1252</v>
      </c>
      <c r="M139" t="str">
        <f>HYPERLINK("../../3.KEGG_map/SCI_I-vs-NC-Down/rno04650.html","rno04650")</f>
        <v>rno04650</v>
      </c>
    </row>
    <row r="140" spans="1:13" x14ac:dyDescent="0.25">
      <c r="A140" t="s">
        <v>775</v>
      </c>
      <c r="B140" t="s">
        <v>776</v>
      </c>
      <c r="C140" t="s">
        <v>150</v>
      </c>
      <c r="D140" t="s">
        <v>188</v>
      </c>
      <c r="E140">
        <v>1</v>
      </c>
      <c r="F140">
        <v>425</v>
      </c>
      <c r="G140">
        <v>91</v>
      </c>
      <c r="H140">
        <v>7679</v>
      </c>
      <c r="I140">
        <v>0.99455305785590498</v>
      </c>
      <c r="J140">
        <v>1</v>
      </c>
      <c r="K140">
        <v>0.19855203619909501</v>
      </c>
      <c r="L140" t="s">
        <v>1253</v>
      </c>
      <c r="M140" t="str">
        <f>HYPERLINK("../../3.KEGG_map/SCI_I-vs-NC-Down/rno04657.html","rno04657")</f>
        <v>rno04657</v>
      </c>
    </row>
    <row r="141" spans="1:13" x14ac:dyDescent="0.25">
      <c r="A141" t="s">
        <v>338</v>
      </c>
      <c r="B141" t="s">
        <v>339</v>
      </c>
      <c r="C141" t="s">
        <v>150</v>
      </c>
      <c r="D141" t="s">
        <v>188</v>
      </c>
      <c r="E141">
        <v>2</v>
      </c>
      <c r="F141">
        <v>425</v>
      </c>
      <c r="G141">
        <v>88</v>
      </c>
      <c r="H141">
        <v>7679</v>
      </c>
      <c r="I141">
        <v>0.95973705822080202</v>
      </c>
      <c r="J141">
        <v>1</v>
      </c>
      <c r="K141">
        <v>0.41064171122994603</v>
      </c>
      <c r="L141" t="s">
        <v>1254</v>
      </c>
      <c r="M141" t="str">
        <f>HYPERLINK("../../3.KEGG_map/SCI_I-vs-NC-Down/rno04658.html","rno04658")</f>
        <v>rno04658</v>
      </c>
    </row>
    <row r="142" spans="1:13" x14ac:dyDescent="0.25">
      <c r="A142" t="s">
        <v>341</v>
      </c>
      <c r="B142" t="s">
        <v>342</v>
      </c>
      <c r="C142" t="s">
        <v>150</v>
      </c>
      <c r="D142" t="s">
        <v>188</v>
      </c>
      <c r="E142">
        <v>4</v>
      </c>
      <c r="F142">
        <v>425</v>
      </c>
      <c r="G142">
        <v>102</v>
      </c>
      <c r="H142">
        <v>7679</v>
      </c>
      <c r="I142">
        <v>0.82398721306379097</v>
      </c>
      <c r="J142">
        <v>1</v>
      </c>
      <c r="K142">
        <v>0.70855824682814295</v>
      </c>
      <c r="L142" t="s">
        <v>1255</v>
      </c>
      <c r="M142" t="str">
        <f>HYPERLINK("../../3.KEGG_map/SCI_I-vs-NC-Down/rno04659.html","rno04659")</f>
        <v>rno04659</v>
      </c>
    </row>
    <row r="143" spans="1:13" x14ac:dyDescent="0.25">
      <c r="A143" t="s">
        <v>344</v>
      </c>
      <c r="B143" t="s">
        <v>345</v>
      </c>
      <c r="C143" t="s">
        <v>150</v>
      </c>
      <c r="D143" t="s">
        <v>188</v>
      </c>
      <c r="E143">
        <v>3</v>
      </c>
      <c r="F143">
        <v>425</v>
      </c>
      <c r="G143">
        <v>101</v>
      </c>
      <c r="H143">
        <v>7679</v>
      </c>
      <c r="I143">
        <v>0.92418621678293</v>
      </c>
      <c r="J143">
        <v>1</v>
      </c>
      <c r="K143">
        <v>0.53668025626091997</v>
      </c>
      <c r="L143" t="s">
        <v>1256</v>
      </c>
      <c r="M143" t="str">
        <f>HYPERLINK("../../3.KEGG_map/SCI_I-vs-NC-Down/rno04660.html","rno04660")</f>
        <v>rno04660</v>
      </c>
    </row>
    <row r="144" spans="1:13" x14ac:dyDescent="0.25">
      <c r="A144" t="s">
        <v>346</v>
      </c>
      <c r="B144" t="s">
        <v>347</v>
      </c>
      <c r="C144" t="s">
        <v>150</v>
      </c>
      <c r="D144" t="s">
        <v>188</v>
      </c>
      <c r="E144">
        <v>1</v>
      </c>
      <c r="F144">
        <v>425</v>
      </c>
      <c r="G144">
        <v>70</v>
      </c>
      <c r="H144">
        <v>7679</v>
      </c>
      <c r="I144">
        <v>0.98175895851041906</v>
      </c>
      <c r="J144">
        <v>1</v>
      </c>
      <c r="K144">
        <v>0.25811764705882401</v>
      </c>
      <c r="L144" t="s">
        <v>1229</v>
      </c>
      <c r="M144" t="str">
        <f>HYPERLINK("../../3.KEGG_map/SCI_I-vs-NC-Down/rno04662.html","rno04662")</f>
        <v>rno04662</v>
      </c>
    </row>
    <row r="145" spans="1:13" x14ac:dyDescent="0.25">
      <c r="A145" t="s">
        <v>348</v>
      </c>
      <c r="B145" t="s">
        <v>349</v>
      </c>
      <c r="C145" t="s">
        <v>150</v>
      </c>
      <c r="D145" t="s">
        <v>188</v>
      </c>
      <c r="E145">
        <v>2</v>
      </c>
      <c r="F145">
        <v>425</v>
      </c>
      <c r="G145">
        <v>85</v>
      </c>
      <c r="H145">
        <v>7679</v>
      </c>
      <c r="I145">
        <v>0.95352768516833697</v>
      </c>
      <c r="J145">
        <v>1</v>
      </c>
      <c r="K145">
        <v>0.42513494809688601</v>
      </c>
      <c r="L145" t="s">
        <v>1257</v>
      </c>
      <c r="M145" t="str">
        <f>HYPERLINK("../../3.KEGG_map/SCI_I-vs-NC-Down/rno04666.html","rno04666")</f>
        <v>rno04666</v>
      </c>
    </row>
    <row r="146" spans="1:13" x14ac:dyDescent="0.25">
      <c r="A146" t="s">
        <v>350</v>
      </c>
      <c r="B146" t="s">
        <v>351</v>
      </c>
      <c r="C146" t="s">
        <v>123</v>
      </c>
      <c r="D146" t="s">
        <v>162</v>
      </c>
      <c r="E146">
        <v>1</v>
      </c>
      <c r="F146">
        <v>425</v>
      </c>
      <c r="G146">
        <v>106</v>
      </c>
      <c r="H146">
        <v>7679</v>
      </c>
      <c r="I146">
        <v>0.99770749568498496</v>
      </c>
      <c r="J146">
        <v>1</v>
      </c>
      <c r="K146">
        <v>0.170455049944506</v>
      </c>
      <c r="L146" t="s">
        <v>1258</v>
      </c>
      <c r="M146" t="str">
        <f>HYPERLINK("../../3.KEGG_map/SCI_I-vs-NC-Down/rno04668.html","rno04668")</f>
        <v>rno04668</v>
      </c>
    </row>
    <row r="147" spans="1:13" x14ac:dyDescent="0.25">
      <c r="A147" t="s">
        <v>353</v>
      </c>
      <c r="B147" t="s">
        <v>354</v>
      </c>
      <c r="C147" t="s">
        <v>150</v>
      </c>
      <c r="D147" t="s">
        <v>188</v>
      </c>
      <c r="E147">
        <v>4</v>
      </c>
      <c r="F147">
        <v>425</v>
      </c>
      <c r="G147">
        <v>113</v>
      </c>
      <c r="H147">
        <v>7679</v>
      </c>
      <c r="I147">
        <v>0.87907055580471405</v>
      </c>
      <c r="J147">
        <v>1</v>
      </c>
      <c r="K147">
        <v>0.63958355023425295</v>
      </c>
      <c r="L147" t="s">
        <v>1259</v>
      </c>
      <c r="M147" t="str">
        <f>HYPERLINK("../../3.KEGG_map/SCI_I-vs-NC-Down/rno04670.html","rno04670")</f>
        <v>rno04670</v>
      </c>
    </row>
    <row r="148" spans="1:13" x14ac:dyDescent="0.25">
      <c r="A148" t="s">
        <v>1260</v>
      </c>
      <c r="B148" t="s">
        <v>1261</v>
      </c>
      <c r="C148" t="s">
        <v>150</v>
      </c>
      <c r="D148" t="s">
        <v>188</v>
      </c>
      <c r="E148">
        <v>2</v>
      </c>
      <c r="F148">
        <v>425</v>
      </c>
      <c r="G148">
        <v>42</v>
      </c>
      <c r="H148">
        <v>7679</v>
      </c>
      <c r="I148">
        <v>0.68412543197421505</v>
      </c>
      <c r="J148">
        <v>1</v>
      </c>
      <c r="K148">
        <v>0.86039215686274495</v>
      </c>
      <c r="L148" t="s">
        <v>1262</v>
      </c>
      <c r="M148" t="str">
        <f>HYPERLINK("../../3.KEGG_map/SCI_I-vs-NC-Down/rno04672.html","rno04672")</f>
        <v>rno04672</v>
      </c>
    </row>
    <row r="149" spans="1:13" x14ac:dyDescent="0.25">
      <c r="A149" t="s">
        <v>356</v>
      </c>
      <c r="B149" t="s">
        <v>357</v>
      </c>
      <c r="C149" t="s">
        <v>150</v>
      </c>
      <c r="D149" t="s">
        <v>358</v>
      </c>
      <c r="E149">
        <v>4</v>
      </c>
      <c r="F149">
        <v>425</v>
      </c>
      <c r="G149">
        <v>30</v>
      </c>
      <c r="H149">
        <v>7679</v>
      </c>
      <c r="I149">
        <v>8.1353348694563801E-2</v>
      </c>
      <c r="J149">
        <v>0.34736588569583599</v>
      </c>
      <c r="K149">
        <v>2.40909803921569</v>
      </c>
      <c r="L149" t="s">
        <v>1263</v>
      </c>
      <c r="M149" t="str">
        <f>HYPERLINK("../../3.KEGG_map/SCI_I-vs-NC-Down/rno04710.html","rno04710")</f>
        <v>rno04710</v>
      </c>
    </row>
    <row r="150" spans="1:13" x14ac:dyDescent="0.25">
      <c r="A150" t="s">
        <v>359</v>
      </c>
      <c r="B150" t="s">
        <v>360</v>
      </c>
      <c r="C150" t="s">
        <v>150</v>
      </c>
      <c r="D150" t="s">
        <v>358</v>
      </c>
      <c r="E150">
        <v>14</v>
      </c>
      <c r="F150">
        <v>425</v>
      </c>
      <c r="G150">
        <v>96</v>
      </c>
      <c r="H150">
        <v>7679</v>
      </c>
      <c r="I150">
        <v>7.53460450631722E-4</v>
      </c>
      <c r="J150">
        <v>1.44772043728524E-2</v>
      </c>
      <c r="K150">
        <v>2.6349509803921598</v>
      </c>
      <c r="L150" t="s">
        <v>1264</v>
      </c>
      <c r="M150" t="str">
        <f>HYPERLINK("../../3.KEGG_map/SCI_I-vs-NC-Down/rno04713.html","rno04713")</f>
        <v>rno04713</v>
      </c>
    </row>
    <row r="151" spans="1:13" x14ac:dyDescent="0.25">
      <c r="A151" t="s">
        <v>362</v>
      </c>
      <c r="B151" t="s">
        <v>363</v>
      </c>
      <c r="C151" t="s">
        <v>150</v>
      </c>
      <c r="D151" t="s">
        <v>358</v>
      </c>
      <c r="E151">
        <v>17</v>
      </c>
      <c r="F151">
        <v>425</v>
      </c>
      <c r="G151">
        <v>214</v>
      </c>
      <c r="H151">
        <v>7679</v>
      </c>
      <c r="I151">
        <v>8.3983602794947196E-2</v>
      </c>
      <c r="J151">
        <v>0.35299358049751201</v>
      </c>
      <c r="K151">
        <v>1.43532710280374</v>
      </c>
      <c r="L151" t="s">
        <v>1265</v>
      </c>
      <c r="M151" t="str">
        <f>HYPERLINK("../../3.KEGG_map/SCI_I-vs-NC-Down/rno04714.html","rno04714")</f>
        <v>rno04714</v>
      </c>
    </row>
    <row r="152" spans="1:13" x14ac:dyDescent="0.25">
      <c r="A152" t="s">
        <v>365</v>
      </c>
      <c r="B152" t="s">
        <v>366</v>
      </c>
      <c r="C152" t="s">
        <v>150</v>
      </c>
      <c r="D152" t="s">
        <v>367</v>
      </c>
      <c r="E152">
        <v>8</v>
      </c>
      <c r="F152">
        <v>425</v>
      </c>
      <c r="G152">
        <v>66</v>
      </c>
      <c r="H152">
        <v>7679</v>
      </c>
      <c r="I152">
        <v>2.8329001644111E-2</v>
      </c>
      <c r="J152">
        <v>0.17722096377362501</v>
      </c>
      <c r="K152">
        <v>2.1900891265597102</v>
      </c>
      <c r="L152" t="s">
        <v>1266</v>
      </c>
      <c r="M152" t="str">
        <f>HYPERLINK("../../3.KEGG_map/SCI_I-vs-NC-Down/rno04720.html","rno04720")</f>
        <v>rno04720</v>
      </c>
    </row>
    <row r="153" spans="1:13" x14ac:dyDescent="0.25">
      <c r="A153" t="s">
        <v>789</v>
      </c>
      <c r="B153" t="s">
        <v>790</v>
      </c>
      <c r="C153" t="s">
        <v>150</v>
      </c>
      <c r="D153" t="s">
        <v>367</v>
      </c>
      <c r="E153">
        <v>8</v>
      </c>
      <c r="F153">
        <v>425</v>
      </c>
      <c r="G153">
        <v>62</v>
      </c>
      <c r="H153">
        <v>7679</v>
      </c>
      <c r="I153">
        <v>2.0171923663139701E-2</v>
      </c>
      <c r="J153">
        <v>0.14347517174608701</v>
      </c>
      <c r="K153">
        <v>2.33138519924099</v>
      </c>
      <c r="L153" t="s">
        <v>1267</v>
      </c>
      <c r="M153" t="str">
        <f>HYPERLINK("../../3.KEGG_map/SCI_I-vs-NC-Down/rno04721.html","rno04721")</f>
        <v>rno04721</v>
      </c>
    </row>
    <row r="154" spans="1:13" x14ac:dyDescent="0.25">
      <c r="A154" t="s">
        <v>369</v>
      </c>
      <c r="B154" t="s">
        <v>370</v>
      </c>
      <c r="C154" t="s">
        <v>150</v>
      </c>
      <c r="D154" t="s">
        <v>367</v>
      </c>
      <c r="E154">
        <v>5</v>
      </c>
      <c r="F154">
        <v>425</v>
      </c>
      <c r="G154">
        <v>119</v>
      </c>
      <c r="H154">
        <v>7679</v>
      </c>
      <c r="I154">
        <v>0.79588472818994604</v>
      </c>
      <c r="J154">
        <v>1</v>
      </c>
      <c r="K154">
        <v>0.75916955017301002</v>
      </c>
      <c r="L154" t="s">
        <v>1268</v>
      </c>
      <c r="M154" t="str">
        <f>HYPERLINK("../../3.KEGG_map/SCI_I-vs-NC-Down/rno04722.html","rno04722")</f>
        <v>rno04722</v>
      </c>
    </row>
    <row r="155" spans="1:13" x14ac:dyDescent="0.25">
      <c r="A155" t="s">
        <v>372</v>
      </c>
      <c r="B155" t="s">
        <v>373</v>
      </c>
      <c r="C155" t="s">
        <v>150</v>
      </c>
      <c r="D155" t="s">
        <v>367</v>
      </c>
      <c r="E155">
        <v>12</v>
      </c>
      <c r="F155">
        <v>425</v>
      </c>
      <c r="G155">
        <v>138</v>
      </c>
      <c r="H155">
        <v>7679</v>
      </c>
      <c r="I155">
        <v>7.9730526942401403E-2</v>
      </c>
      <c r="J155">
        <v>0.34592760883074197</v>
      </c>
      <c r="K155">
        <v>1.5711508951406601</v>
      </c>
      <c r="L155" t="s">
        <v>1269</v>
      </c>
      <c r="M155" t="str">
        <f>HYPERLINK("../../3.KEGG_map/SCI_I-vs-NC-Down/rno04723.html","rno04723")</f>
        <v>rno04723</v>
      </c>
    </row>
    <row r="156" spans="1:13" x14ac:dyDescent="0.25">
      <c r="A156" t="s">
        <v>375</v>
      </c>
      <c r="B156" t="s">
        <v>376</v>
      </c>
      <c r="C156" t="s">
        <v>150</v>
      </c>
      <c r="D156" t="s">
        <v>367</v>
      </c>
      <c r="E156">
        <v>16</v>
      </c>
      <c r="F156">
        <v>425</v>
      </c>
      <c r="G156">
        <v>112</v>
      </c>
      <c r="H156">
        <v>7679</v>
      </c>
      <c r="I156">
        <v>4.0946503602283101E-4</v>
      </c>
      <c r="J156">
        <v>9.1788412241784606E-3</v>
      </c>
      <c r="K156">
        <v>2.5811764705882401</v>
      </c>
      <c r="L156" t="s">
        <v>1270</v>
      </c>
      <c r="M156" t="str">
        <f>HYPERLINK("../../3.KEGG_map/SCI_I-vs-NC-Down/rno04724.html","rno04724")</f>
        <v>rno04724</v>
      </c>
    </row>
    <row r="157" spans="1:13" x14ac:dyDescent="0.25">
      <c r="A157" t="s">
        <v>378</v>
      </c>
      <c r="B157" t="s">
        <v>379</v>
      </c>
      <c r="C157" t="s">
        <v>150</v>
      </c>
      <c r="D157" t="s">
        <v>367</v>
      </c>
      <c r="E157">
        <v>12</v>
      </c>
      <c r="F157">
        <v>425</v>
      </c>
      <c r="G157">
        <v>111</v>
      </c>
      <c r="H157">
        <v>7679</v>
      </c>
      <c r="I157">
        <v>1.9335614870659299E-2</v>
      </c>
      <c r="J157">
        <v>0.14347517174608701</v>
      </c>
      <c r="K157">
        <v>1.9533227344992099</v>
      </c>
      <c r="L157" t="s">
        <v>1271</v>
      </c>
      <c r="M157" t="str">
        <f>HYPERLINK("../../3.KEGG_map/SCI_I-vs-NC-Down/rno04725.html","rno04725")</f>
        <v>rno04725</v>
      </c>
    </row>
    <row r="158" spans="1:13" x14ac:dyDescent="0.25">
      <c r="A158" t="s">
        <v>381</v>
      </c>
      <c r="B158" t="s">
        <v>382</v>
      </c>
      <c r="C158" t="s">
        <v>150</v>
      </c>
      <c r="D158" t="s">
        <v>367</v>
      </c>
      <c r="E158">
        <v>17</v>
      </c>
      <c r="F158">
        <v>425</v>
      </c>
      <c r="G158">
        <v>119</v>
      </c>
      <c r="H158">
        <v>7679</v>
      </c>
      <c r="I158">
        <v>2.7220402222067702E-4</v>
      </c>
      <c r="J158">
        <v>6.6566256343056403E-3</v>
      </c>
      <c r="K158">
        <v>2.5811764705882401</v>
      </c>
      <c r="L158" t="s">
        <v>1272</v>
      </c>
      <c r="M158" t="str">
        <f>HYPERLINK("../../3.KEGG_map/SCI_I-vs-NC-Down/rno04726.html","rno04726")</f>
        <v>rno04726</v>
      </c>
    </row>
    <row r="159" spans="1:13" x14ac:dyDescent="0.25">
      <c r="A159" t="s">
        <v>384</v>
      </c>
      <c r="B159" t="s">
        <v>385</v>
      </c>
      <c r="C159" t="s">
        <v>150</v>
      </c>
      <c r="D159" t="s">
        <v>367</v>
      </c>
      <c r="E159">
        <v>9</v>
      </c>
      <c r="F159">
        <v>425</v>
      </c>
      <c r="G159">
        <v>87</v>
      </c>
      <c r="H159">
        <v>7679</v>
      </c>
      <c r="I159">
        <v>5.04516782609905E-2</v>
      </c>
      <c r="J159">
        <v>0.25132410096678598</v>
      </c>
      <c r="K159">
        <v>1.86912778904665</v>
      </c>
      <c r="L159" t="s">
        <v>1273</v>
      </c>
      <c r="M159" t="str">
        <f>HYPERLINK("../../3.KEGG_map/SCI_I-vs-NC-Down/rno04727.html","rno04727")</f>
        <v>rno04727</v>
      </c>
    </row>
    <row r="160" spans="1:13" x14ac:dyDescent="0.25">
      <c r="A160" t="s">
        <v>387</v>
      </c>
      <c r="B160" t="s">
        <v>388</v>
      </c>
      <c r="C160" t="s">
        <v>150</v>
      </c>
      <c r="D160" t="s">
        <v>367</v>
      </c>
      <c r="E160">
        <v>11</v>
      </c>
      <c r="F160">
        <v>425</v>
      </c>
      <c r="G160">
        <v>129</v>
      </c>
      <c r="H160">
        <v>7679</v>
      </c>
      <c r="I160">
        <v>0.100749588311611</v>
      </c>
      <c r="J160">
        <v>0.38282994015448701</v>
      </c>
      <c r="K160">
        <v>1.5407022343821299</v>
      </c>
      <c r="L160" t="s">
        <v>1274</v>
      </c>
      <c r="M160" t="str">
        <f>HYPERLINK("../../3.KEGG_map/SCI_I-vs-NC-Down/rno04728.html","rno04728")</f>
        <v>rno04728</v>
      </c>
    </row>
    <row r="161" spans="1:13" x14ac:dyDescent="0.25">
      <c r="A161" t="s">
        <v>390</v>
      </c>
      <c r="B161" t="s">
        <v>391</v>
      </c>
      <c r="C161" t="s">
        <v>150</v>
      </c>
      <c r="D161" t="s">
        <v>367</v>
      </c>
      <c r="E161">
        <v>6</v>
      </c>
      <c r="F161">
        <v>425</v>
      </c>
      <c r="G161">
        <v>60</v>
      </c>
      <c r="H161">
        <v>7679</v>
      </c>
      <c r="I161">
        <v>0.11292749340830301</v>
      </c>
      <c r="J161">
        <v>0.40503327635778202</v>
      </c>
      <c r="K161">
        <v>1.8068235294117601</v>
      </c>
      <c r="L161" t="s">
        <v>1275</v>
      </c>
      <c r="M161" t="str">
        <f>HYPERLINK("../../3.KEGG_map/SCI_I-vs-NC-Down/rno04730.html","rno04730")</f>
        <v>rno04730</v>
      </c>
    </row>
    <row r="162" spans="1:13" x14ac:dyDescent="0.25">
      <c r="A162" t="s">
        <v>999</v>
      </c>
      <c r="B162" t="s">
        <v>1000</v>
      </c>
      <c r="C162" t="s">
        <v>150</v>
      </c>
      <c r="D162" t="s">
        <v>395</v>
      </c>
      <c r="E162">
        <v>8</v>
      </c>
      <c r="F162">
        <v>425</v>
      </c>
      <c r="G162">
        <v>1088</v>
      </c>
      <c r="H162">
        <v>7679</v>
      </c>
      <c r="I162">
        <v>1</v>
      </c>
      <c r="J162">
        <v>1</v>
      </c>
      <c r="K162">
        <v>0.132854671280277</v>
      </c>
      <c r="L162" t="s">
        <v>1276</v>
      </c>
      <c r="M162" t="str">
        <f>HYPERLINK("../../3.KEGG_map/SCI_I-vs-NC-Down/rno04740.html","rno04740")</f>
        <v>rno04740</v>
      </c>
    </row>
    <row r="163" spans="1:13" x14ac:dyDescent="0.25">
      <c r="A163" t="s">
        <v>393</v>
      </c>
      <c r="B163" t="s">
        <v>394</v>
      </c>
      <c r="C163" t="s">
        <v>150</v>
      </c>
      <c r="D163" t="s">
        <v>395</v>
      </c>
      <c r="E163">
        <v>9</v>
      </c>
      <c r="F163">
        <v>425</v>
      </c>
      <c r="G163">
        <v>86</v>
      </c>
      <c r="H163">
        <v>7679</v>
      </c>
      <c r="I163">
        <v>4.7440603355709703E-2</v>
      </c>
      <c r="J163">
        <v>0.24541389043626699</v>
      </c>
      <c r="K163">
        <v>1.89086183310534</v>
      </c>
      <c r="L163" t="s">
        <v>1277</v>
      </c>
      <c r="M163" t="str">
        <f>HYPERLINK("../../3.KEGG_map/SCI_I-vs-NC-Down/rno04742.html","rno04742")</f>
        <v>rno04742</v>
      </c>
    </row>
    <row r="164" spans="1:13" x14ac:dyDescent="0.25">
      <c r="A164" t="s">
        <v>1278</v>
      </c>
      <c r="B164" t="s">
        <v>1279</v>
      </c>
      <c r="C164" t="s">
        <v>150</v>
      </c>
      <c r="D164" t="s">
        <v>395</v>
      </c>
      <c r="E164">
        <v>1</v>
      </c>
      <c r="F164">
        <v>425</v>
      </c>
      <c r="G164">
        <v>26</v>
      </c>
      <c r="H164">
        <v>7679</v>
      </c>
      <c r="I164">
        <v>0.77300535219894695</v>
      </c>
      <c r="J164">
        <v>1</v>
      </c>
      <c r="K164">
        <v>0.69493212669683302</v>
      </c>
      <c r="L164" t="s">
        <v>1280</v>
      </c>
      <c r="M164" t="str">
        <f>HYPERLINK("../../3.KEGG_map/SCI_I-vs-NC-Down/rno04744.html","rno04744")</f>
        <v>rno04744</v>
      </c>
    </row>
    <row r="165" spans="1:13" x14ac:dyDescent="0.25">
      <c r="A165" t="s">
        <v>396</v>
      </c>
      <c r="B165" t="s">
        <v>397</v>
      </c>
      <c r="C165" t="s">
        <v>150</v>
      </c>
      <c r="D165" t="s">
        <v>395</v>
      </c>
      <c r="E165">
        <v>11</v>
      </c>
      <c r="F165">
        <v>425</v>
      </c>
      <c r="G165">
        <v>111</v>
      </c>
      <c r="H165">
        <v>7679</v>
      </c>
      <c r="I165">
        <v>4.2715868299810403E-2</v>
      </c>
      <c r="J165">
        <v>0.239386845263521</v>
      </c>
      <c r="K165">
        <v>1.7905458399576</v>
      </c>
      <c r="L165" t="s">
        <v>1281</v>
      </c>
      <c r="M165" t="str">
        <f>HYPERLINK("../../3.KEGG_map/SCI_I-vs-NC-Down/rno04750.html","rno04750")</f>
        <v>rno04750</v>
      </c>
    </row>
    <row r="166" spans="1:13" x14ac:dyDescent="0.25">
      <c r="A166" t="s">
        <v>399</v>
      </c>
      <c r="B166" t="s">
        <v>400</v>
      </c>
      <c r="C166" t="s">
        <v>206</v>
      </c>
      <c r="D166" t="s">
        <v>401</v>
      </c>
      <c r="E166">
        <v>9</v>
      </c>
      <c r="F166">
        <v>425</v>
      </c>
      <c r="G166">
        <v>208</v>
      </c>
      <c r="H166">
        <v>7679</v>
      </c>
      <c r="I166">
        <v>0.82159362177513995</v>
      </c>
      <c r="J166">
        <v>1</v>
      </c>
      <c r="K166">
        <v>0.78179864253393705</v>
      </c>
      <c r="L166" t="s">
        <v>1282</v>
      </c>
      <c r="M166" t="str">
        <f>HYPERLINK("../../3.KEGG_map/SCI_I-vs-NC-Down/rno04810.html","rno04810")</f>
        <v>rno04810</v>
      </c>
    </row>
    <row r="167" spans="1:13" x14ac:dyDescent="0.25">
      <c r="A167" t="s">
        <v>403</v>
      </c>
      <c r="B167" t="s">
        <v>404</v>
      </c>
      <c r="C167" t="s">
        <v>150</v>
      </c>
      <c r="D167" t="s">
        <v>151</v>
      </c>
      <c r="E167">
        <v>12</v>
      </c>
      <c r="F167">
        <v>425</v>
      </c>
      <c r="G167">
        <v>134</v>
      </c>
      <c r="H167">
        <v>7679</v>
      </c>
      <c r="I167">
        <v>6.6998402303993704E-2</v>
      </c>
      <c r="J167">
        <v>0.30440175744906001</v>
      </c>
      <c r="K167">
        <v>1.61805092186128</v>
      </c>
      <c r="L167" t="s">
        <v>1283</v>
      </c>
      <c r="M167" t="str">
        <f>HYPERLINK("../../3.KEGG_map/SCI_I-vs-NC-Down/rno04910.html","rno04910")</f>
        <v>rno04910</v>
      </c>
    </row>
    <row r="168" spans="1:13" x14ac:dyDescent="0.25">
      <c r="A168" t="s">
        <v>406</v>
      </c>
      <c r="B168" t="s">
        <v>407</v>
      </c>
      <c r="C168" t="s">
        <v>150</v>
      </c>
      <c r="D168" t="s">
        <v>151</v>
      </c>
      <c r="E168">
        <v>14</v>
      </c>
      <c r="F168">
        <v>425</v>
      </c>
      <c r="G168">
        <v>85</v>
      </c>
      <c r="H168">
        <v>7679</v>
      </c>
      <c r="I168">
        <v>2.0875853795733799E-4</v>
      </c>
      <c r="J168">
        <v>5.6156046710523801E-3</v>
      </c>
      <c r="K168">
        <v>2.9759446366782001</v>
      </c>
      <c r="L168" t="s">
        <v>1284</v>
      </c>
      <c r="M168" t="str">
        <f>HYPERLINK("../../3.KEGG_map/SCI_I-vs-NC-Down/rno04911.html","rno04911")</f>
        <v>rno04911</v>
      </c>
    </row>
    <row r="169" spans="1:13" x14ac:dyDescent="0.25">
      <c r="A169" t="s">
        <v>409</v>
      </c>
      <c r="B169" t="s">
        <v>410</v>
      </c>
      <c r="C169" t="s">
        <v>150</v>
      </c>
      <c r="D169" t="s">
        <v>151</v>
      </c>
      <c r="E169">
        <v>4</v>
      </c>
      <c r="F169">
        <v>425</v>
      </c>
      <c r="G169">
        <v>89</v>
      </c>
      <c r="H169">
        <v>7679</v>
      </c>
      <c r="I169">
        <v>0.73391692130241803</v>
      </c>
      <c r="J169">
        <v>1</v>
      </c>
      <c r="K169">
        <v>0.81205551883674798</v>
      </c>
      <c r="L169" t="s">
        <v>1285</v>
      </c>
      <c r="M169" t="str">
        <f>HYPERLINK("../../3.KEGG_map/SCI_I-vs-NC-Down/rno04912.html","rno04912")</f>
        <v>rno04912</v>
      </c>
    </row>
    <row r="170" spans="1:13" x14ac:dyDescent="0.25">
      <c r="A170" t="s">
        <v>412</v>
      </c>
      <c r="B170" t="s">
        <v>413</v>
      </c>
      <c r="C170" t="s">
        <v>150</v>
      </c>
      <c r="D170" t="s">
        <v>151</v>
      </c>
      <c r="E170">
        <v>7</v>
      </c>
      <c r="F170">
        <v>425</v>
      </c>
      <c r="G170">
        <v>51</v>
      </c>
      <c r="H170">
        <v>7679</v>
      </c>
      <c r="I170">
        <v>2.1264963855550201E-2</v>
      </c>
      <c r="J170">
        <v>0.14454523362324201</v>
      </c>
      <c r="K170">
        <v>2.4799538638984999</v>
      </c>
      <c r="L170" t="s">
        <v>1286</v>
      </c>
      <c r="M170" t="str">
        <f>HYPERLINK("../../3.KEGG_map/SCI_I-vs-NC-Down/rno04913.html","rno04913")</f>
        <v>rno04913</v>
      </c>
    </row>
    <row r="171" spans="1:13" x14ac:dyDescent="0.25">
      <c r="A171" t="s">
        <v>799</v>
      </c>
      <c r="B171" t="s">
        <v>800</v>
      </c>
      <c r="C171" t="s">
        <v>150</v>
      </c>
      <c r="D171" t="s">
        <v>151</v>
      </c>
      <c r="E171">
        <v>5</v>
      </c>
      <c r="F171">
        <v>425</v>
      </c>
      <c r="G171">
        <v>88</v>
      </c>
      <c r="H171">
        <v>7679</v>
      </c>
      <c r="I171">
        <v>0.54182051491980099</v>
      </c>
      <c r="J171">
        <v>1</v>
      </c>
      <c r="K171">
        <v>1.0266042780748701</v>
      </c>
      <c r="L171" t="s">
        <v>1287</v>
      </c>
      <c r="M171" t="str">
        <f>HYPERLINK("../../3.KEGG_map/SCI_I-vs-NC-Down/rno04914.html","rno04914")</f>
        <v>rno04914</v>
      </c>
    </row>
    <row r="172" spans="1:13" x14ac:dyDescent="0.25">
      <c r="A172" t="s">
        <v>415</v>
      </c>
      <c r="B172" t="s">
        <v>416</v>
      </c>
      <c r="C172" t="s">
        <v>150</v>
      </c>
      <c r="D172" t="s">
        <v>151</v>
      </c>
      <c r="E172">
        <v>11</v>
      </c>
      <c r="F172">
        <v>425</v>
      </c>
      <c r="G172">
        <v>130</v>
      </c>
      <c r="H172">
        <v>7679</v>
      </c>
      <c r="I172">
        <v>0.104915995797614</v>
      </c>
      <c r="J172">
        <v>0.38660825848709901</v>
      </c>
      <c r="K172">
        <v>1.52885067873303</v>
      </c>
      <c r="L172" t="s">
        <v>1288</v>
      </c>
      <c r="M172" t="str">
        <f>HYPERLINK("../../3.KEGG_map/SCI_I-vs-NC-Down/rno04915.html","rno04915")</f>
        <v>rno04915</v>
      </c>
    </row>
    <row r="173" spans="1:13" x14ac:dyDescent="0.25">
      <c r="A173" t="s">
        <v>418</v>
      </c>
      <c r="B173" t="s">
        <v>419</v>
      </c>
      <c r="C173" t="s">
        <v>150</v>
      </c>
      <c r="D173" t="s">
        <v>151</v>
      </c>
      <c r="E173">
        <v>8</v>
      </c>
      <c r="F173">
        <v>425</v>
      </c>
      <c r="G173">
        <v>98</v>
      </c>
      <c r="H173">
        <v>7679</v>
      </c>
      <c r="I173">
        <v>0.17442624288616199</v>
      </c>
      <c r="J173">
        <v>0.478782238126301</v>
      </c>
      <c r="K173">
        <v>1.47495798319328</v>
      </c>
      <c r="L173" t="s">
        <v>1289</v>
      </c>
      <c r="M173" t="str">
        <f>HYPERLINK("../../3.KEGG_map/SCI_I-vs-NC-Down/rno04916.html","rno04916")</f>
        <v>rno04916</v>
      </c>
    </row>
    <row r="174" spans="1:13" x14ac:dyDescent="0.25">
      <c r="A174" t="s">
        <v>803</v>
      </c>
      <c r="B174" t="s">
        <v>804</v>
      </c>
      <c r="C174" t="s">
        <v>150</v>
      </c>
      <c r="D174" t="s">
        <v>151</v>
      </c>
      <c r="E174">
        <v>2</v>
      </c>
      <c r="F174">
        <v>425</v>
      </c>
      <c r="G174">
        <v>72</v>
      </c>
      <c r="H174">
        <v>7679</v>
      </c>
      <c r="I174">
        <v>0.91447082063847096</v>
      </c>
      <c r="J174">
        <v>1</v>
      </c>
      <c r="K174">
        <v>0.50189542483660099</v>
      </c>
      <c r="L174" t="s">
        <v>1290</v>
      </c>
      <c r="M174" t="str">
        <f>HYPERLINK("../../3.KEGG_map/SCI_I-vs-NC-Down/rno04917.html","rno04917")</f>
        <v>rno04917</v>
      </c>
    </row>
    <row r="175" spans="1:13" x14ac:dyDescent="0.25">
      <c r="A175" t="s">
        <v>421</v>
      </c>
      <c r="B175" t="s">
        <v>422</v>
      </c>
      <c r="C175" t="s">
        <v>150</v>
      </c>
      <c r="D175" t="s">
        <v>151</v>
      </c>
      <c r="E175">
        <v>10</v>
      </c>
      <c r="F175">
        <v>425</v>
      </c>
      <c r="G175">
        <v>72</v>
      </c>
      <c r="H175">
        <v>7679</v>
      </c>
      <c r="I175">
        <v>5.9509984558411997E-3</v>
      </c>
      <c r="J175">
        <v>6.6892650935245407E-2</v>
      </c>
      <c r="K175">
        <v>2.5094771241830101</v>
      </c>
      <c r="L175" t="s">
        <v>1291</v>
      </c>
      <c r="M175" t="str">
        <f>HYPERLINK("../../3.KEGG_map/SCI_I-vs-NC-Down/rno04918.html","rno04918")</f>
        <v>rno04918</v>
      </c>
    </row>
    <row r="176" spans="1:13" x14ac:dyDescent="0.25">
      <c r="A176" t="s">
        <v>424</v>
      </c>
      <c r="B176" t="s">
        <v>425</v>
      </c>
      <c r="C176" t="s">
        <v>150</v>
      </c>
      <c r="D176" t="s">
        <v>151</v>
      </c>
      <c r="E176">
        <v>10</v>
      </c>
      <c r="F176">
        <v>425</v>
      </c>
      <c r="G176">
        <v>117</v>
      </c>
      <c r="H176">
        <v>7679</v>
      </c>
      <c r="I176">
        <v>0.11270296567091299</v>
      </c>
      <c r="J176">
        <v>0.40503327635778202</v>
      </c>
      <c r="K176">
        <v>1.54429361488185</v>
      </c>
      <c r="L176" t="s">
        <v>1292</v>
      </c>
      <c r="M176" t="str">
        <f>HYPERLINK("../../3.KEGG_map/SCI_I-vs-NC-Down/rno04919.html","rno04919")</f>
        <v>rno04919</v>
      </c>
    </row>
    <row r="177" spans="1:13" x14ac:dyDescent="0.25">
      <c r="A177" t="s">
        <v>807</v>
      </c>
      <c r="B177" t="s">
        <v>808</v>
      </c>
      <c r="C177" t="s">
        <v>150</v>
      </c>
      <c r="D177" t="s">
        <v>151</v>
      </c>
      <c r="E177">
        <v>9</v>
      </c>
      <c r="F177">
        <v>425</v>
      </c>
      <c r="G177">
        <v>71</v>
      </c>
      <c r="H177">
        <v>7679</v>
      </c>
      <c r="I177">
        <v>1.5783511026022001E-2</v>
      </c>
      <c r="J177">
        <v>0.128659529272725</v>
      </c>
      <c r="K177">
        <v>2.2903396851698399</v>
      </c>
      <c r="L177" t="s">
        <v>1293</v>
      </c>
      <c r="M177" t="str">
        <f>HYPERLINK("../../3.KEGG_map/SCI_I-vs-NC-Down/rno04920.html","rno04920")</f>
        <v>rno04920</v>
      </c>
    </row>
    <row r="178" spans="1:13" x14ac:dyDescent="0.25">
      <c r="A178" t="s">
        <v>427</v>
      </c>
      <c r="B178" t="s">
        <v>428</v>
      </c>
      <c r="C178" t="s">
        <v>150</v>
      </c>
      <c r="D178" t="s">
        <v>151</v>
      </c>
      <c r="E178">
        <v>22</v>
      </c>
      <c r="F178">
        <v>425</v>
      </c>
      <c r="G178">
        <v>152</v>
      </c>
      <c r="H178">
        <v>7679</v>
      </c>
      <c r="I178" s="1">
        <v>2.8879970621975899E-5</v>
      </c>
      <c r="J178">
        <v>1.5537424194623001E-3</v>
      </c>
      <c r="K178">
        <v>2.6151393188854501</v>
      </c>
      <c r="L178" t="s">
        <v>1294</v>
      </c>
      <c r="M178" t="str">
        <f>HYPERLINK("../../3.KEGG_map/SCI_I-vs-NC-Down/rno04921.html","rno04921")</f>
        <v>rno04921</v>
      </c>
    </row>
    <row r="179" spans="1:13" x14ac:dyDescent="0.25">
      <c r="A179" t="s">
        <v>430</v>
      </c>
      <c r="B179" t="s">
        <v>431</v>
      </c>
      <c r="C179" t="s">
        <v>150</v>
      </c>
      <c r="D179" t="s">
        <v>151</v>
      </c>
      <c r="E179">
        <v>9</v>
      </c>
      <c r="F179">
        <v>425</v>
      </c>
      <c r="G179">
        <v>100</v>
      </c>
      <c r="H179">
        <v>7679</v>
      </c>
      <c r="I179">
        <v>0.101114070022256</v>
      </c>
      <c r="J179">
        <v>0.38282994015448701</v>
      </c>
      <c r="K179">
        <v>1.62614117647059</v>
      </c>
      <c r="L179" t="s">
        <v>1295</v>
      </c>
      <c r="M179" t="str">
        <f>HYPERLINK("../../3.KEGG_map/SCI_I-vs-NC-Down/rno04922.html","rno04922")</f>
        <v>rno04922</v>
      </c>
    </row>
    <row r="180" spans="1:13" x14ac:dyDescent="0.25">
      <c r="A180" t="s">
        <v>812</v>
      </c>
      <c r="B180" t="s">
        <v>813</v>
      </c>
      <c r="C180" t="s">
        <v>150</v>
      </c>
      <c r="D180" t="s">
        <v>151</v>
      </c>
      <c r="E180">
        <v>8</v>
      </c>
      <c r="F180">
        <v>425</v>
      </c>
      <c r="G180">
        <v>55</v>
      </c>
      <c r="H180">
        <v>7679</v>
      </c>
      <c r="I180">
        <v>1.0151892894557899E-2</v>
      </c>
      <c r="J180">
        <v>9.7293845989513197E-2</v>
      </c>
      <c r="K180">
        <v>2.62810695187166</v>
      </c>
      <c r="L180" t="s">
        <v>1296</v>
      </c>
      <c r="M180" t="str">
        <f>HYPERLINK("../../3.KEGG_map/SCI_I-vs-NC-Down/rno04923.html","rno04923")</f>
        <v>rno04923</v>
      </c>
    </row>
    <row r="181" spans="1:13" x14ac:dyDescent="0.25">
      <c r="A181" t="s">
        <v>433</v>
      </c>
      <c r="B181" t="s">
        <v>434</v>
      </c>
      <c r="C181" t="s">
        <v>150</v>
      </c>
      <c r="D181" t="s">
        <v>151</v>
      </c>
      <c r="E181">
        <v>9</v>
      </c>
      <c r="F181">
        <v>425</v>
      </c>
      <c r="G181">
        <v>68</v>
      </c>
      <c r="H181">
        <v>7679</v>
      </c>
      <c r="I181">
        <v>1.2074470822569501E-2</v>
      </c>
      <c r="J181">
        <v>0.10477524681519999</v>
      </c>
      <c r="K181">
        <v>2.3913840830449802</v>
      </c>
      <c r="L181" t="s">
        <v>1297</v>
      </c>
      <c r="M181" t="str">
        <f>HYPERLINK("../../3.KEGG_map/SCI_I-vs-NC-Down/rno04924.html","rno04924")</f>
        <v>rno04924</v>
      </c>
    </row>
    <row r="182" spans="1:13" x14ac:dyDescent="0.25">
      <c r="A182" t="s">
        <v>435</v>
      </c>
      <c r="B182" t="s">
        <v>436</v>
      </c>
      <c r="C182" t="s">
        <v>150</v>
      </c>
      <c r="D182" t="s">
        <v>151</v>
      </c>
      <c r="E182">
        <v>16</v>
      </c>
      <c r="F182">
        <v>425</v>
      </c>
      <c r="G182">
        <v>94</v>
      </c>
      <c r="H182">
        <v>7679</v>
      </c>
      <c r="I182" s="1">
        <v>4.9451897907228399E-5</v>
      </c>
      <c r="J182">
        <v>1.90036579100635E-3</v>
      </c>
      <c r="K182">
        <v>3.0754443053817302</v>
      </c>
      <c r="L182" t="s">
        <v>1298</v>
      </c>
      <c r="M182" t="str">
        <f>HYPERLINK("../../3.KEGG_map/SCI_I-vs-NC-Down/rno04925.html","rno04925")</f>
        <v>rno04925</v>
      </c>
    </row>
    <row r="183" spans="1:13" x14ac:dyDescent="0.25">
      <c r="A183" t="s">
        <v>438</v>
      </c>
      <c r="B183" t="s">
        <v>439</v>
      </c>
      <c r="C183" t="s">
        <v>150</v>
      </c>
      <c r="D183" t="s">
        <v>151</v>
      </c>
      <c r="E183">
        <v>5</v>
      </c>
      <c r="F183">
        <v>425</v>
      </c>
      <c r="G183">
        <v>126</v>
      </c>
      <c r="H183">
        <v>7679</v>
      </c>
      <c r="I183">
        <v>0.83456284158827299</v>
      </c>
      <c r="J183">
        <v>1</v>
      </c>
      <c r="K183">
        <v>0.71699346405228703</v>
      </c>
      <c r="L183" t="s">
        <v>1299</v>
      </c>
      <c r="M183" t="str">
        <f>HYPERLINK("../../3.KEGG_map/SCI_I-vs-NC-Down/rno04926.html","rno04926")</f>
        <v>rno04926</v>
      </c>
    </row>
    <row r="184" spans="1:13" x14ac:dyDescent="0.25">
      <c r="A184" t="s">
        <v>441</v>
      </c>
      <c r="B184" t="s">
        <v>442</v>
      </c>
      <c r="C184" t="s">
        <v>150</v>
      </c>
      <c r="D184" t="s">
        <v>151</v>
      </c>
      <c r="E184">
        <v>8</v>
      </c>
      <c r="F184">
        <v>425</v>
      </c>
      <c r="G184">
        <v>63</v>
      </c>
      <c r="H184">
        <v>7679</v>
      </c>
      <c r="I184">
        <v>2.2031057912836102E-2</v>
      </c>
      <c r="J184">
        <v>0.14454523362324201</v>
      </c>
      <c r="K184">
        <v>2.29437908496732</v>
      </c>
      <c r="L184" t="s">
        <v>1300</v>
      </c>
      <c r="M184" t="str">
        <f>HYPERLINK("../../3.KEGG_map/SCI_I-vs-NC-Down/rno04927.html","rno04927")</f>
        <v>rno04927</v>
      </c>
    </row>
    <row r="185" spans="1:13" x14ac:dyDescent="0.25">
      <c r="A185" t="s">
        <v>444</v>
      </c>
      <c r="B185" t="s">
        <v>445</v>
      </c>
      <c r="C185" t="s">
        <v>115</v>
      </c>
      <c r="D185" t="s">
        <v>446</v>
      </c>
      <c r="E185">
        <v>3</v>
      </c>
      <c r="F185">
        <v>425</v>
      </c>
      <c r="G185">
        <v>47</v>
      </c>
      <c r="H185">
        <v>7679</v>
      </c>
      <c r="I185">
        <v>0.48661021567804802</v>
      </c>
      <c r="J185">
        <v>1</v>
      </c>
      <c r="K185">
        <v>1.15329161451815</v>
      </c>
      <c r="L185" t="s">
        <v>1301</v>
      </c>
      <c r="M185" t="str">
        <f>HYPERLINK("../../3.KEGG_map/SCI_I-vs-NC-Down/rno04930.html","rno04930")</f>
        <v>rno04930</v>
      </c>
    </row>
    <row r="186" spans="1:13" x14ac:dyDescent="0.25">
      <c r="A186" t="s">
        <v>447</v>
      </c>
      <c r="B186" t="s">
        <v>448</v>
      </c>
      <c r="C186" t="s">
        <v>115</v>
      </c>
      <c r="D186" t="s">
        <v>446</v>
      </c>
      <c r="E186">
        <v>14</v>
      </c>
      <c r="F186">
        <v>425</v>
      </c>
      <c r="G186">
        <v>108</v>
      </c>
      <c r="H186">
        <v>7679</v>
      </c>
      <c r="I186">
        <v>2.4019481217023202E-3</v>
      </c>
      <c r="J186">
        <v>3.2306202236896099E-2</v>
      </c>
      <c r="K186">
        <v>2.3421786492374701</v>
      </c>
      <c r="L186" t="s">
        <v>1302</v>
      </c>
      <c r="M186" t="str">
        <f>HYPERLINK("../../3.KEGG_map/SCI_I-vs-NC-Down/rno04931.html","rno04931")</f>
        <v>rno04931</v>
      </c>
    </row>
    <row r="187" spans="1:13" x14ac:dyDescent="0.25">
      <c r="A187" t="s">
        <v>450</v>
      </c>
      <c r="B187" t="s">
        <v>451</v>
      </c>
      <c r="C187" t="s">
        <v>115</v>
      </c>
      <c r="D187" t="s">
        <v>446</v>
      </c>
      <c r="E187">
        <v>5</v>
      </c>
      <c r="F187">
        <v>425</v>
      </c>
      <c r="G187">
        <v>145</v>
      </c>
      <c r="H187">
        <v>7679</v>
      </c>
      <c r="I187">
        <v>0.91025076911183</v>
      </c>
      <c r="J187">
        <v>1</v>
      </c>
      <c r="K187">
        <v>0.62304259634888404</v>
      </c>
      <c r="L187" t="s">
        <v>1303</v>
      </c>
      <c r="M187" t="str">
        <f>HYPERLINK("../../3.KEGG_map/SCI_I-vs-NC-Down/rno04932.html","rno04932")</f>
        <v>rno04932</v>
      </c>
    </row>
    <row r="188" spans="1:13" x14ac:dyDescent="0.25">
      <c r="A188" t="s">
        <v>453</v>
      </c>
      <c r="B188" t="s">
        <v>454</v>
      </c>
      <c r="C188" t="s">
        <v>115</v>
      </c>
      <c r="D188" t="s">
        <v>446</v>
      </c>
      <c r="E188">
        <v>1</v>
      </c>
      <c r="F188">
        <v>425</v>
      </c>
      <c r="G188">
        <v>99</v>
      </c>
      <c r="H188">
        <v>7679</v>
      </c>
      <c r="I188">
        <v>0.99656601301383296</v>
      </c>
      <c r="J188">
        <v>1</v>
      </c>
      <c r="K188">
        <v>0.18250742721331001</v>
      </c>
      <c r="L188" t="s">
        <v>1304</v>
      </c>
      <c r="M188" t="str">
        <f>HYPERLINK("../../3.KEGG_map/SCI_I-vs-NC-Down/rno04933.html","rno04933")</f>
        <v>rno04933</v>
      </c>
    </row>
    <row r="189" spans="1:13" x14ac:dyDescent="0.25">
      <c r="A189" t="s">
        <v>456</v>
      </c>
      <c r="B189" t="s">
        <v>457</v>
      </c>
      <c r="C189" t="s">
        <v>115</v>
      </c>
      <c r="D189" t="s">
        <v>446</v>
      </c>
      <c r="E189">
        <v>12</v>
      </c>
      <c r="F189">
        <v>425</v>
      </c>
      <c r="G189">
        <v>153</v>
      </c>
      <c r="H189">
        <v>7679</v>
      </c>
      <c r="I189">
        <v>0.14026440115019101</v>
      </c>
      <c r="J189">
        <v>0.44772819163953198</v>
      </c>
      <c r="K189">
        <v>1.4171164936562901</v>
      </c>
      <c r="L189" t="s">
        <v>1305</v>
      </c>
      <c r="M189" t="str">
        <f>HYPERLINK("../../3.KEGG_map/SCI_I-vs-NC-Down/rno04934.html","rno04934")</f>
        <v>rno04934</v>
      </c>
    </row>
    <row r="190" spans="1:13" x14ac:dyDescent="0.25">
      <c r="A190" t="s">
        <v>459</v>
      </c>
      <c r="B190" t="s">
        <v>460</v>
      </c>
      <c r="C190" t="s">
        <v>115</v>
      </c>
      <c r="D190" t="s">
        <v>446</v>
      </c>
      <c r="E190">
        <v>1</v>
      </c>
      <c r="F190">
        <v>425</v>
      </c>
      <c r="G190">
        <v>60</v>
      </c>
      <c r="H190">
        <v>7679</v>
      </c>
      <c r="I190">
        <v>0.96760509591620703</v>
      </c>
      <c r="J190">
        <v>1</v>
      </c>
      <c r="K190">
        <v>0.30113725490196103</v>
      </c>
      <c r="L190" t="s">
        <v>1247</v>
      </c>
      <c r="M190" t="str">
        <f>HYPERLINK("../../3.KEGG_map/SCI_I-vs-NC-Down/rno04940.html","rno04940")</f>
        <v>rno04940</v>
      </c>
    </row>
    <row r="191" spans="1:13" x14ac:dyDescent="0.25">
      <c r="A191" t="s">
        <v>1306</v>
      </c>
      <c r="B191" t="s">
        <v>1307</v>
      </c>
      <c r="C191" t="s">
        <v>115</v>
      </c>
      <c r="D191" t="s">
        <v>446</v>
      </c>
      <c r="E191">
        <v>2</v>
      </c>
      <c r="F191">
        <v>425</v>
      </c>
      <c r="G191">
        <v>27</v>
      </c>
      <c r="H191">
        <v>7679</v>
      </c>
      <c r="I191">
        <v>0.44525272470624599</v>
      </c>
      <c r="J191">
        <v>0.98985936318991896</v>
      </c>
      <c r="K191">
        <v>1.3383877995642699</v>
      </c>
      <c r="L191" t="s">
        <v>1308</v>
      </c>
      <c r="M191" t="str">
        <f>HYPERLINK("../../3.KEGG_map/SCI_I-vs-NC-Down/rno04950.html","rno04950")</f>
        <v>rno04950</v>
      </c>
    </row>
    <row r="192" spans="1:13" x14ac:dyDescent="0.25">
      <c r="A192" t="s">
        <v>822</v>
      </c>
      <c r="B192" t="s">
        <v>823</v>
      </c>
      <c r="C192" t="s">
        <v>150</v>
      </c>
      <c r="D192" t="s">
        <v>464</v>
      </c>
      <c r="E192">
        <v>6</v>
      </c>
      <c r="F192">
        <v>425</v>
      </c>
      <c r="G192">
        <v>38</v>
      </c>
      <c r="H192">
        <v>7679</v>
      </c>
      <c r="I192">
        <v>1.6962990580347798E-2</v>
      </c>
      <c r="J192">
        <v>0.13099879846335299</v>
      </c>
      <c r="K192">
        <v>2.8528792569659398</v>
      </c>
      <c r="L192" t="s">
        <v>1309</v>
      </c>
      <c r="M192" t="str">
        <f>HYPERLINK("../../3.KEGG_map/SCI_I-vs-NC-Down/rno04960.html","rno04960")</f>
        <v>rno04960</v>
      </c>
    </row>
    <row r="193" spans="1:13" x14ac:dyDescent="0.25">
      <c r="A193" t="s">
        <v>462</v>
      </c>
      <c r="B193" t="s">
        <v>463</v>
      </c>
      <c r="C193" t="s">
        <v>150</v>
      </c>
      <c r="D193" t="s">
        <v>464</v>
      </c>
      <c r="E193">
        <v>4</v>
      </c>
      <c r="F193">
        <v>425</v>
      </c>
      <c r="G193">
        <v>52</v>
      </c>
      <c r="H193">
        <v>7679</v>
      </c>
      <c r="I193">
        <v>0.32446342564243502</v>
      </c>
      <c r="J193">
        <v>0.78631226574608204</v>
      </c>
      <c r="K193">
        <v>1.38986425339367</v>
      </c>
      <c r="L193" t="s">
        <v>1310</v>
      </c>
      <c r="M193" t="str">
        <f>HYPERLINK("../../3.KEGG_map/SCI_I-vs-NC-Down/rno04961.html","rno04961")</f>
        <v>rno04961</v>
      </c>
    </row>
    <row r="194" spans="1:13" x14ac:dyDescent="0.25">
      <c r="A194" t="s">
        <v>466</v>
      </c>
      <c r="B194" t="s">
        <v>467</v>
      </c>
      <c r="C194" t="s">
        <v>150</v>
      </c>
      <c r="D194" t="s">
        <v>464</v>
      </c>
      <c r="E194">
        <v>1</v>
      </c>
      <c r="F194">
        <v>425</v>
      </c>
      <c r="G194">
        <v>42</v>
      </c>
      <c r="H194">
        <v>7679</v>
      </c>
      <c r="I194">
        <v>0.90909295538562895</v>
      </c>
      <c r="J194">
        <v>1</v>
      </c>
      <c r="K194">
        <v>0.43019607843137198</v>
      </c>
      <c r="L194" t="s">
        <v>1311</v>
      </c>
      <c r="M194" t="str">
        <f>HYPERLINK("../../3.KEGG_map/SCI_I-vs-NC-Down/rno04962.html","rno04962")</f>
        <v>rno04962</v>
      </c>
    </row>
    <row r="195" spans="1:13" x14ac:dyDescent="0.25">
      <c r="A195" t="s">
        <v>1312</v>
      </c>
      <c r="B195" t="s">
        <v>1313</v>
      </c>
      <c r="C195" t="s">
        <v>150</v>
      </c>
      <c r="D195" t="s">
        <v>464</v>
      </c>
      <c r="E195">
        <v>3</v>
      </c>
      <c r="F195">
        <v>425</v>
      </c>
      <c r="G195">
        <v>22</v>
      </c>
      <c r="H195">
        <v>7679</v>
      </c>
      <c r="I195">
        <v>0.11905729974806099</v>
      </c>
      <c r="J195">
        <v>0.41592744976919999</v>
      </c>
      <c r="K195">
        <v>2.46385026737968</v>
      </c>
      <c r="L195" t="s">
        <v>1314</v>
      </c>
      <c r="M195" t="str">
        <f>HYPERLINK("../../3.KEGG_map/SCI_I-vs-NC-Down/rno04964.html","rno04964")</f>
        <v>rno04964</v>
      </c>
    </row>
    <row r="196" spans="1:13" x14ac:dyDescent="0.25">
      <c r="A196" t="s">
        <v>1315</v>
      </c>
      <c r="B196" t="s">
        <v>1316</v>
      </c>
      <c r="C196" t="s">
        <v>150</v>
      </c>
      <c r="D196" t="s">
        <v>464</v>
      </c>
      <c r="E196">
        <v>3</v>
      </c>
      <c r="F196">
        <v>425</v>
      </c>
      <c r="G196">
        <v>27</v>
      </c>
      <c r="H196">
        <v>7679</v>
      </c>
      <c r="I196">
        <v>0.18573466691564999</v>
      </c>
      <c r="J196">
        <v>0.50467298384151305</v>
      </c>
      <c r="K196">
        <v>2.0075816993464102</v>
      </c>
      <c r="L196" t="s">
        <v>1100</v>
      </c>
      <c r="M196" t="str">
        <f>HYPERLINK("../../3.KEGG_map/SCI_I-vs-NC-Down/rno04966.html","rno04966")</f>
        <v>rno04966</v>
      </c>
    </row>
    <row r="197" spans="1:13" x14ac:dyDescent="0.25">
      <c r="A197" t="s">
        <v>469</v>
      </c>
      <c r="B197" t="s">
        <v>470</v>
      </c>
      <c r="C197" t="s">
        <v>150</v>
      </c>
      <c r="D197" t="s">
        <v>471</v>
      </c>
      <c r="E197">
        <v>16</v>
      </c>
      <c r="F197">
        <v>425</v>
      </c>
      <c r="G197">
        <v>76</v>
      </c>
      <c r="H197">
        <v>7679</v>
      </c>
      <c r="I197" s="1">
        <v>2.9311089399680499E-6</v>
      </c>
      <c r="J197">
        <v>1.9711707621285199E-4</v>
      </c>
      <c r="K197">
        <v>3.80383900928793</v>
      </c>
      <c r="L197" t="s">
        <v>1317</v>
      </c>
      <c r="M197" t="str">
        <f>HYPERLINK("../../3.KEGG_map/SCI_I-vs-NC-Down/rno04970.html","rno04970")</f>
        <v>rno04970</v>
      </c>
    </row>
    <row r="198" spans="1:13" x14ac:dyDescent="0.25">
      <c r="A198" t="s">
        <v>473</v>
      </c>
      <c r="B198" t="s">
        <v>474</v>
      </c>
      <c r="C198" t="s">
        <v>150</v>
      </c>
      <c r="D198" t="s">
        <v>471</v>
      </c>
      <c r="E198">
        <v>9</v>
      </c>
      <c r="F198">
        <v>425</v>
      </c>
      <c r="G198">
        <v>74</v>
      </c>
      <c r="H198">
        <v>7679</v>
      </c>
      <c r="I198">
        <v>2.0267868127700001E-2</v>
      </c>
      <c r="J198">
        <v>0.14347517174608701</v>
      </c>
      <c r="K198">
        <v>2.1974880763116098</v>
      </c>
      <c r="L198" t="s">
        <v>1318</v>
      </c>
      <c r="M198" t="str">
        <f>HYPERLINK("../../3.KEGG_map/SCI_I-vs-NC-Down/rno04971.html","rno04971")</f>
        <v>rno04971</v>
      </c>
    </row>
    <row r="199" spans="1:13" x14ac:dyDescent="0.25">
      <c r="A199" t="s">
        <v>476</v>
      </c>
      <c r="B199" t="s">
        <v>477</v>
      </c>
      <c r="C199" t="s">
        <v>150</v>
      </c>
      <c r="D199" t="s">
        <v>471</v>
      </c>
      <c r="E199">
        <v>13</v>
      </c>
      <c r="F199">
        <v>425</v>
      </c>
      <c r="G199">
        <v>98</v>
      </c>
      <c r="H199">
        <v>7679</v>
      </c>
      <c r="I199">
        <v>2.7628545909432999E-3</v>
      </c>
      <c r="J199">
        <v>3.5390851664940402E-2</v>
      </c>
      <c r="K199">
        <v>2.3968067226890799</v>
      </c>
      <c r="L199" t="s">
        <v>1319</v>
      </c>
      <c r="M199" t="str">
        <f>HYPERLINK("../../3.KEGG_map/SCI_I-vs-NC-Down/rno04972.html","rno04972")</f>
        <v>rno04972</v>
      </c>
    </row>
    <row r="200" spans="1:13" x14ac:dyDescent="0.25">
      <c r="A200" t="s">
        <v>828</v>
      </c>
      <c r="B200" t="s">
        <v>829</v>
      </c>
      <c r="C200" t="s">
        <v>150</v>
      </c>
      <c r="D200" t="s">
        <v>471</v>
      </c>
      <c r="E200">
        <v>4</v>
      </c>
      <c r="F200">
        <v>425</v>
      </c>
      <c r="G200">
        <v>39</v>
      </c>
      <c r="H200">
        <v>7679</v>
      </c>
      <c r="I200">
        <v>0.167336959029943</v>
      </c>
      <c r="J200">
        <v>0.46567288609070001</v>
      </c>
      <c r="K200">
        <v>1.85315233785822</v>
      </c>
      <c r="L200" t="s">
        <v>1320</v>
      </c>
      <c r="M200" t="str">
        <f>HYPERLINK("../../3.KEGG_map/SCI_I-vs-NC-Down/rno04973.html","rno04973")</f>
        <v>rno04973</v>
      </c>
    </row>
    <row r="201" spans="1:13" x14ac:dyDescent="0.25">
      <c r="A201" t="s">
        <v>479</v>
      </c>
      <c r="B201" t="s">
        <v>480</v>
      </c>
      <c r="C201" t="s">
        <v>150</v>
      </c>
      <c r="D201" t="s">
        <v>471</v>
      </c>
      <c r="E201">
        <v>9</v>
      </c>
      <c r="F201">
        <v>425</v>
      </c>
      <c r="G201">
        <v>87</v>
      </c>
      <c r="H201">
        <v>7679</v>
      </c>
      <c r="I201">
        <v>5.04516782609905E-2</v>
      </c>
      <c r="J201">
        <v>0.25132410096678598</v>
      </c>
      <c r="K201">
        <v>1.86912778904665</v>
      </c>
      <c r="L201" t="s">
        <v>1321</v>
      </c>
      <c r="M201" t="str">
        <f>HYPERLINK("../../3.KEGG_map/SCI_I-vs-NC-Down/rno04974.html","rno04974")</f>
        <v>rno04974</v>
      </c>
    </row>
    <row r="202" spans="1:13" x14ac:dyDescent="0.25">
      <c r="A202" t="s">
        <v>1322</v>
      </c>
      <c r="B202" t="s">
        <v>1323</v>
      </c>
      <c r="C202" t="s">
        <v>150</v>
      </c>
      <c r="D202" t="s">
        <v>471</v>
      </c>
      <c r="E202">
        <v>5</v>
      </c>
      <c r="F202">
        <v>425</v>
      </c>
      <c r="G202">
        <v>40</v>
      </c>
      <c r="H202">
        <v>7679</v>
      </c>
      <c r="I202">
        <v>6.7896302776741996E-2</v>
      </c>
      <c r="J202">
        <v>0.30440175744906001</v>
      </c>
      <c r="K202">
        <v>2.2585294117647101</v>
      </c>
      <c r="L202" t="s">
        <v>1324</v>
      </c>
      <c r="M202" t="str">
        <f>HYPERLINK("../../3.KEGG_map/SCI_I-vs-NC-Down/rno04975.html","rno04975")</f>
        <v>rno04975</v>
      </c>
    </row>
    <row r="203" spans="1:13" x14ac:dyDescent="0.25">
      <c r="A203" t="s">
        <v>831</v>
      </c>
      <c r="B203" t="s">
        <v>832</v>
      </c>
      <c r="C203" t="s">
        <v>150</v>
      </c>
      <c r="D203" t="s">
        <v>471</v>
      </c>
      <c r="E203">
        <v>12</v>
      </c>
      <c r="F203">
        <v>425</v>
      </c>
      <c r="G203">
        <v>71</v>
      </c>
      <c r="H203">
        <v>7679</v>
      </c>
      <c r="I203">
        <v>4.59587416317765E-4</v>
      </c>
      <c r="J203">
        <v>9.5099242299598995E-3</v>
      </c>
      <c r="K203">
        <v>3.0537862468931198</v>
      </c>
      <c r="L203" t="s">
        <v>1325</v>
      </c>
      <c r="M203" t="str">
        <f>HYPERLINK("../../3.KEGG_map/SCI_I-vs-NC-Down/rno04976.html","rno04976")</f>
        <v>rno04976</v>
      </c>
    </row>
    <row r="204" spans="1:13" x14ac:dyDescent="0.25">
      <c r="A204" t="s">
        <v>482</v>
      </c>
      <c r="B204" t="s">
        <v>483</v>
      </c>
      <c r="C204" t="s">
        <v>150</v>
      </c>
      <c r="D204" t="s">
        <v>471</v>
      </c>
      <c r="E204">
        <v>3</v>
      </c>
      <c r="F204">
        <v>425</v>
      </c>
      <c r="G204">
        <v>24</v>
      </c>
      <c r="H204">
        <v>7679</v>
      </c>
      <c r="I204">
        <v>0.14456811768859201</v>
      </c>
      <c r="J204">
        <v>0.45219562393292101</v>
      </c>
      <c r="K204">
        <v>2.2585294117647101</v>
      </c>
      <c r="L204" t="s">
        <v>1326</v>
      </c>
      <c r="M204" t="str">
        <f>HYPERLINK("../../3.KEGG_map/SCI_I-vs-NC-Down/rno04977.html","rno04977")</f>
        <v>rno04977</v>
      </c>
    </row>
    <row r="205" spans="1:13" x14ac:dyDescent="0.25">
      <c r="A205" t="s">
        <v>485</v>
      </c>
      <c r="B205" t="s">
        <v>486</v>
      </c>
      <c r="C205" t="s">
        <v>150</v>
      </c>
      <c r="D205" t="s">
        <v>471</v>
      </c>
      <c r="E205">
        <v>5</v>
      </c>
      <c r="F205">
        <v>425</v>
      </c>
      <c r="G205">
        <v>43</v>
      </c>
      <c r="H205">
        <v>7679</v>
      </c>
      <c r="I205">
        <v>8.7022338724498494E-2</v>
      </c>
      <c r="J205">
        <v>0.36013860179830898</v>
      </c>
      <c r="K205">
        <v>2.10095759233926</v>
      </c>
      <c r="L205" t="s">
        <v>1327</v>
      </c>
      <c r="M205" t="str">
        <f>HYPERLINK("../../3.KEGG_map/SCI_I-vs-NC-Down/rno04978.html","rno04978")</f>
        <v>rno04978</v>
      </c>
    </row>
    <row r="206" spans="1:13" x14ac:dyDescent="0.25">
      <c r="A206" t="s">
        <v>1328</v>
      </c>
      <c r="B206" t="s">
        <v>1329</v>
      </c>
      <c r="C206" t="s">
        <v>150</v>
      </c>
      <c r="D206" t="s">
        <v>471</v>
      </c>
      <c r="E206">
        <v>1</v>
      </c>
      <c r="F206">
        <v>425</v>
      </c>
      <c r="G206">
        <v>49</v>
      </c>
      <c r="H206">
        <v>7679</v>
      </c>
      <c r="I206">
        <v>0.93912238695626704</v>
      </c>
      <c r="J206">
        <v>1</v>
      </c>
      <c r="K206">
        <v>0.36873949579831899</v>
      </c>
      <c r="L206" t="s">
        <v>1330</v>
      </c>
      <c r="M206" t="str">
        <f>HYPERLINK("../../3.KEGG_map/SCI_I-vs-NC-Down/rno04979.html","rno04979")</f>
        <v>rno04979</v>
      </c>
    </row>
    <row r="207" spans="1:13" x14ac:dyDescent="0.25">
      <c r="A207" t="s">
        <v>488</v>
      </c>
      <c r="B207" t="s">
        <v>489</v>
      </c>
      <c r="C207" t="s">
        <v>115</v>
      </c>
      <c r="D207" t="s">
        <v>490</v>
      </c>
      <c r="E207">
        <v>6</v>
      </c>
      <c r="F207">
        <v>425</v>
      </c>
      <c r="G207">
        <v>164</v>
      </c>
      <c r="H207">
        <v>7679</v>
      </c>
      <c r="I207">
        <v>0.898096066209632</v>
      </c>
      <c r="J207">
        <v>1</v>
      </c>
      <c r="K207">
        <v>0.66103299856527997</v>
      </c>
      <c r="L207" t="s">
        <v>1331</v>
      </c>
      <c r="M207" t="str">
        <f>HYPERLINK("../../3.KEGG_map/SCI_I-vs-NC-Down/rno05010.html","rno05010")</f>
        <v>rno05010</v>
      </c>
    </row>
    <row r="208" spans="1:13" x14ac:dyDescent="0.25">
      <c r="A208" t="s">
        <v>1332</v>
      </c>
      <c r="B208" t="s">
        <v>1333</v>
      </c>
      <c r="C208" t="s">
        <v>115</v>
      </c>
      <c r="D208" t="s">
        <v>490</v>
      </c>
      <c r="E208">
        <v>2</v>
      </c>
      <c r="F208">
        <v>425</v>
      </c>
      <c r="G208">
        <v>127</v>
      </c>
      <c r="H208">
        <v>7679</v>
      </c>
      <c r="I208">
        <v>0.99416640931503897</v>
      </c>
      <c r="J208">
        <v>1</v>
      </c>
      <c r="K208">
        <v>0.28453913849004198</v>
      </c>
      <c r="L208" t="s">
        <v>1334</v>
      </c>
      <c r="M208" t="str">
        <f>HYPERLINK("../../3.KEGG_map/SCI_I-vs-NC-Down/rno05012.html","rno05012")</f>
        <v>rno05012</v>
      </c>
    </row>
    <row r="209" spans="1:13" x14ac:dyDescent="0.25">
      <c r="A209" t="s">
        <v>491</v>
      </c>
      <c r="B209" t="s">
        <v>492</v>
      </c>
      <c r="C209" t="s">
        <v>115</v>
      </c>
      <c r="D209" t="s">
        <v>490</v>
      </c>
      <c r="E209">
        <v>5</v>
      </c>
      <c r="F209">
        <v>425</v>
      </c>
      <c r="G209">
        <v>53</v>
      </c>
      <c r="H209">
        <v>7679</v>
      </c>
      <c r="I209">
        <v>0.167919219147948</v>
      </c>
      <c r="J209">
        <v>0.46567288609070001</v>
      </c>
      <c r="K209">
        <v>1.70455049944506</v>
      </c>
      <c r="L209" t="s">
        <v>1335</v>
      </c>
      <c r="M209" t="str">
        <f>HYPERLINK("../../3.KEGG_map/SCI_I-vs-NC-Down/rno05014.html","rno05014")</f>
        <v>rno05014</v>
      </c>
    </row>
    <row r="210" spans="1:13" x14ac:dyDescent="0.25">
      <c r="A210" t="s">
        <v>494</v>
      </c>
      <c r="B210" t="s">
        <v>495</v>
      </c>
      <c r="C210" t="s">
        <v>115</v>
      </c>
      <c r="D210" t="s">
        <v>490</v>
      </c>
      <c r="E210">
        <v>6</v>
      </c>
      <c r="F210">
        <v>425</v>
      </c>
      <c r="G210">
        <v>181</v>
      </c>
      <c r="H210">
        <v>7679</v>
      </c>
      <c r="I210">
        <v>0.94093006125267697</v>
      </c>
      <c r="J210">
        <v>1</v>
      </c>
      <c r="K210">
        <v>0.59894702632434205</v>
      </c>
      <c r="L210" t="s">
        <v>1336</v>
      </c>
      <c r="M210" t="str">
        <f>HYPERLINK("../../3.KEGG_map/SCI_I-vs-NC-Down/rno05016.html","rno05016")</f>
        <v>rno05016</v>
      </c>
    </row>
    <row r="211" spans="1:13" x14ac:dyDescent="0.25">
      <c r="A211" t="s">
        <v>1337</v>
      </c>
      <c r="B211" t="s">
        <v>1338</v>
      </c>
      <c r="C211" t="s">
        <v>115</v>
      </c>
      <c r="D211" t="s">
        <v>490</v>
      </c>
      <c r="E211">
        <v>2</v>
      </c>
      <c r="F211">
        <v>425</v>
      </c>
      <c r="G211">
        <v>34</v>
      </c>
      <c r="H211">
        <v>7679</v>
      </c>
      <c r="I211">
        <v>0.56878369181789201</v>
      </c>
      <c r="J211">
        <v>1</v>
      </c>
      <c r="K211">
        <v>1.06283737024221</v>
      </c>
      <c r="L211" t="s">
        <v>1339</v>
      </c>
      <c r="M211" t="str">
        <f>HYPERLINK("../../3.KEGG_map/SCI_I-vs-NC-Down/rno05020.html","rno05020")</f>
        <v>rno05020</v>
      </c>
    </row>
    <row r="212" spans="1:13" x14ac:dyDescent="0.25">
      <c r="A212" t="s">
        <v>496</v>
      </c>
      <c r="B212" t="s">
        <v>497</v>
      </c>
      <c r="C212" t="s">
        <v>115</v>
      </c>
      <c r="D212" t="s">
        <v>498</v>
      </c>
      <c r="E212">
        <v>9</v>
      </c>
      <c r="F212">
        <v>425</v>
      </c>
      <c r="G212">
        <v>47</v>
      </c>
      <c r="H212">
        <v>7679</v>
      </c>
      <c r="I212">
        <v>9.2977096629530604E-4</v>
      </c>
      <c r="J212">
        <v>1.5631774370839801E-2</v>
      </c>
      <c r="K212">
        <v>3.4598748435544402</v>
      </c>
      <c r="L212" t="s">
        <v>1340</v>
      </c>
      <c r="M212" t="str">
        <f>HYPERLINK("../../3.KEGG_map/SCI_I-vs-NC-Down/rno05030.html","rno05030")</f>
        <v>rno05030</v>
      </c>
    </row>
    <row r="213" spans="1:13" x14ac:dyDescent="0.25">
      <c r="A213" t="s">
        <v>499</v>
      </c>
      <c r="B213" t="s">
        <v>500</v>
      </c>
      <c r="C213" t="s">
        <v>115</v>
      </c>
      <c r="D213" t="s">
        <v>498</v>
      </c>
      <c r="E213">
        <v>9</v>
      </c>
      <c r="F213">
        <v>425</v>
      </c>
      <c r="G213">
        <v>66</v>
      </c>
      <c r="H213">
        <v>7679</v>
      </c>
      <c r="I213">
        <v>9.9917811514122594E-3</v>
      </c>
      <c r="J213">
        <v>9.7293845989513197E-2</v>
      </c>
      <c r="K213">
        <v>2.46385026737968</v>
      </c>
      <c r="L213" t="s">
        <v>1341</v>
      </c>
      <c r="M213" t="str">
        <f>HYPERLINK("../../3.KEGG_map/SCI_I-vs-NC-Down/rno05031.html","rno05031")</f>
        <v>rno05031</v>
      </c>
    </row>
    <row r="214" spans="1:13" x14ac:dyDescent="0.25">
      <c r="A214" t="s">
        <v>1031</v>
      </c>
      <c r="B214" t="s">
        <v>1032</v>
      </c>
      <c r="C214" t="s">
        <v>115</v>
      </c>
      <c r="D214" t="s">
        <v>498</v>
      </c>
      <c r="E214">
        <v>11</v>
      </c>
      <c r="F214">
        <v>425</v>
      </c>
      <c r="G214">
        <v>90</v>
      </c>
      <c r="H214">
        <v>7679</v>
      </c>
      <c r="I214">
        <v>1.0488927634557201E-2</v>
      </c>
      <c r="J214">
        <v>9.7293845989513197E-2</v>
      </c>
      <c r="K214">
        <v>2.2083398692810499</v>
      </c>
      <c r="L214" t="s">
        <v>1342</v>
      </c>
      <c r="M214" t="str">
        <f>HYPERLINK("../../3.KEGG_map/SCI_I-vs-NC-Down/rno05032.html","rno05032")</f>
        <v>rno05032</v>
      </c>
    </row>
    <row r="215" spans="1:13" x14ac:dyDescent="0.25">
      <c r="A215" t="s">
        <v>1343</v>
      </c>
      <c r="B215" t="s">
        <v>1344</v>
      </c>
      <c r="C215" t="s">
        <v>115</v>
      </c>
      <c r="D215" t="s">
        <v>498</v>
      </c>
      <c r="E215">
        <v>6</v>
      </c>
      <c r="F215">
        <v>425</v>
      </c>
      <c r="G215">
        <v>40</v>
      </c>
      <c r="H215">
        <v>7679</v>
      </c>
      <c r="I215">
        <v>2.15026013969415E-2</v>
      </c>
      <c r="J215">
        <v>0.14454523362324201</v>
      </c>
      <c r="K215">
        <v>2.7102352941176502</v>
      </c>
      <c r="L215" t="s">
        <v>1345</v>
      </c>
      <c r="M215" t="str">
        <f>HYPERLINK("../../3.KEGG_map/SCI_I-vs-NC-Down/rno05033.html","rno05033")</f>
        <v>rno05033</v>
      </c>
    </row>
    <row r="216" spans="1:13" x14ac:dyDescent="0.25">
      <c r="A216" t="s">
        <v>502</v>
      </c>
      <c r="B216" t="s">
        <v>503</v>
      </c>
      <c r="C216" t="s">
        <v>115</v>
      </c>
      <c r="D216" t="s">
        <v>498</v>
      </c>
      <c r="E216">
        <v>11</v>
      </c>
      <c r="F216">
        <v>425</v>
      </c>
      <c r="G216">
        <v>143</v>
      </c>
      <c r="H216">
        <v>7679</v>
      </c>
      <c r="I216">
        <v>0.16790135861155001</v>
      </c>
      <c r="J216">
        <v>0.46567288609070001</v>
      </c>
      <c r="K216">
        <v>1.38986425339367</v>
      </c>
      <c r="L216" t="s">
        <v>1346</v>
      </c>
      <c r="M216" t="str">
        <f>HYPERLINK("../../3.KEGG_map/SCI_I-vs-NC-Down/rno05034.html","rno05034")</f>
        <v>rno05034</v>
      </c>
    </row>
    <row r="217" spans="1:13" x14ac:dyDescent="0.25">
      <c r="A217" t="s">
        <v>504</v>
      </c>
      <c r="B217" t="s">
        <v>505</v>
      </c>
      <c r="C217" t="s">
        <v>115</v>
      </c>
      <c r="D217" t="s">
        <v>506</v>
      </c>
      <c r="E217">
        <v>3</v>
      </c>
      <c r="F217">
        <v>425</v>
      </c>
      <c r="G217">
        <v>75</v>
      </c>
      <c r="H217">
        <v>7679</v>
      </c>
      <c r="I217">
        <v>0.79285327641741699</v>
      </c>
      <c r="J217">
        <v>1</v>
      </c>
      <c r="K217">
        <v>0.72272941176470595</v>
      </c>
      <c r="L217" t="s">
        <v>1347</v>
      </c>
      <c r="M217" t="str">
        <f>HYPERLINK("../../3.KEGG_map/SCI_I-vs-NC-Down/rno05100.html","rno05100")</f>
        <v>rno05100</v>
      </c>
    </row>
    <row r="218" spans="1:13" x14ac:dyDescent="0.25">
      <c r="A218" t="s">
        <v>511</v>
      </c>
      <c r="B218" t="s">
        <v>512</v>
      </c>
      <c r="C218" t="s">
        <v>115</v>
      </c>
      <c r="D218" t="s">
        <v>506</v>
      </c>
      <c r="E218">
        <v>1</v>
      </c>
      <c r="F218">
        <v>425</v>
      </c>
      <c r="G218">
        <v>72</v>
      </c>
      <c r="H218">
        <v>7679</v>
      </c>
      <c r="I218">
        <v>0.98373988049244698</v>
      </c>
      <c r="J218">
        <v>1</v>
      </c>
      <c r="K218">
        <v>0.25094771241830099</v>
      </c>
      <c r="L218" t="s">
        <v>1247</v>
      </c>
      <c r="M218" t="str">
        <f>HYPERLINK("../../3.KEGG_map/SCI_I-vs-NC-Down/rno05133.html","rno05133")</f>
        <v>rno05133</v>
      </c>
    </row>
    <row r="219" spans="1:13" x14ac:dyDescent="0.25">
      <c r="A219" t="s">
        <v>514</v>
      </c>
      <c r="B219" t="s">
        <v>515</v>
      </c>
      <c r="C219" t="s">
        <v>115</v>
      </c>
      <c r="D219" t="s">
        <v>506</v>
      </c>
      <c r="E219">
        <v>2</v>
      </c>
      <c r="F219">
        <v>425</v>
      </c>
      <c r="G219">
        <v>53</v>
      </c>
      <c r="H219">
        <v>7679</v>
      </c>
      <c r="I219">
        <v>0.80021024266373697</v>
      </c>
      <c r="J219">
        <v>1</v>
      </c>
      <c r="K219">
        <v>0.68182019977802399</v>
      </c>
      <c r="L219" t="s">
        <v>1348</v>
      </c>
      <c r="M219" t="str">
        <f>HYPERLINK("../../3.KEGG_map/SCI_I-vs-NC-Down/rno05134.html","rno05134")</f>
        <v>rno05134</v>
      </c>
    </row>
    <row r="220" spans="1:13" x14ac:dyDescent="0.25">
      <c r="A220" t="s">
        <v>517</v>
      </c>
      <c r="B220" t="s">
        <v>518</v>
      </c>
      <c r="C220" t="s">
        <v>115</v>
      </c>
      <c r="D220" t="s">
        <v>519</v>
      </c>
      <c r="E220">
        <v>1</v>
      </c>
      <c r="F220">
        <v>425</v>
      </c>
      <c r="G220">
        <v>65</v>
      </c>
      <c r="H220">
        <v>7679</v>
      </c>
      <c r="I220">
        <v>0.97568886082754402</v>
      </c>
      <c r="J220">
        <v>1</v>
      </c>
      <c r="K220">
        <v>0.27797285067873301</v>
      </c>
      <c r="L220" t="s">
        <v>1247</v>
      </c>
      <c r="M220" t="str">
        <f>HYPERLINK("../../3.KEGG_map/SCI_I-vs-NC-Down/rno05140.html","rno05140")</f>
        <v>rno05140</v>
      </c>
    </row>
    <row r="221" spans="1:13" x14ac:dyDescent="0.25">
      <c r="A221" t="s">
        <v>521</v>
      </c>
      <c r="B221" t="s">
        <v>522</v>
      </c>
      <c r="C221" t="s">
        <v>115</v>
      </c>
      <c r="D221" t="s">
        <v>519</v>
      </c>
      <c r="E221">
        <v>4</v>
      </c>
      <c r="F221">
        <v>425</v>
      </c>
      <c r="G221">
        <v>101</v>
      </c>
      <c r="H221">
        <v>7679</v>
      </c>
      <c r="I221">
        <v>0.81807832827208105</v>
      </c>
      <c r="J221">
        <v>1</v>
      </c>
      <c r="K221">
        <v>0.71557367501456004</v>
      </c>
      <c r="L221" t="s">
        <v>1349</v>
      </c>
      <c r="M221" t="str">
        <f>HYPERLINK("../../3.KEGG_map/SCI_I-vs-NC-Down/rno05142.html","rno05142")</f>
        <v>rno05142</v>
      </c>
    </row>
    <row r="222" spans="1:13" x14ac:dyDescent="0.25">
      <c r="A222" t="s">
        <v>524</v>
      </c>
      <c r="B222" t="s">
        <v>525</v>
      </c>
      <c r="C222" t="s">
        <v>115</v>
      </c>
      <c r="D222" t="s">
        <v>519</v>
      </c>
      <c r="E222">
        <v>1</v>
      </c>
      <c r="F222">
        <v>425</v>
      </c>
      <c r="G222">
        <v>34</v>
      </c>
      <c r="H222">
        <v>7679</v>
      </c>
      <c r="I222">
        <v>0.85631429276992299</v>
      </c>
      <c r="J222">
        <v>1</v>
      </c>
      <c r="K222">
        <v>0.53141868512110702</v>
      </c>
      <c r="L222" t="s">
        <v>1247</v>
      </c>
      <c r="M222" t="str">
        <f>HYPERLINK("../../3.KEGG_map/SCI_I-vs-NC-Down/rno05143.html","rno05143")</f>
        <v>rno05143</v>
      </c>
    </row>
    <row r="223" spans="1:13" x14ac:dyDescent="0.25">
      <c r="A223" t="s">
        <v>527</v>
      </c>
      <c r="B223" t="s">
        <v>528</v>
      </c>
      <c r="C223" t="s">
        <v>115</v>
      </c>
      <c r="D223" t="s">
        <v>519</v>
      </c>
      <c r="E223">
        <v>1</v>
      </c>
      <c r="F223">
        <v>425</v>
      </c>
      <c r="G223">
        <v>52</v>
      </c>
      <c r="H223">
        <v>7679</v>
      </c>
      <c r="I223">
        <v>0.94874032094716299</v>
      </c>
      <c r="J223">
        <v>1</v>
      </c>
      <c r="K223">
        <v>0.34746606334841601</v>
      </c>
      <c r="L223" t="s">
        <v>1247</v>
      </c>
      <c r="M223" t="str">
        <f>HYPERLINK("../../3.KEGG_map/SCI_I-vs-NC-Down/rno05144.html","rno05144")</f>
        <v>rno05144</v>
      </c>
    </row>
    <row r="224" spans="1:13" x14ac:dyDescent="0.25">
      <c r="A224" t="s">
        <v>530</v>
      </c>
      <c r="B224" t="s">
        <v>531</v>
      </c>
      <c r="C224" t="s">
        <v>115</v>
      </c>
      <c r="D224" t="s">
        <v>519</v>
      </c>
      <c r="E224">
        <v>3</v>
      </c>
      <c r="F224">
        <v>425</v>
      </c>
      <c r="G224">
        <v>107</v>
      </c>
      <c r="H224">
        <v>7679</v>
      </c>
      <c r="I224">
        <v>0.94079748969424903</v>
      </c>
      <c r="J224">
        <v>1</v>
      </c>
      <c r="K224">
        <v>0.50658603628367205</v>
      </c>
      <c r="L224" t="s">
        <v>1350</v>
      </c>
      <c r="M224" t="str">
        <f>HYPERLINK("../../3.KEGG_map/SCI_I-vs-NC-Down/rno05145.html","rno05145")</f>
        <v>rno05145</v>
      </c>
    </row>
    <row r="225" spans="1:13" x14ac:dyDescent="0.25">
      <c r="A225" t="s">
        <v>533</v>
      </c>
      <c r="B225" t="s">
        <v>534</v>
      </c>
      <c r="C225" t="s">
        <v>115</v>
      </c>
      <c r="D225" t="s">
        <v>519</v>
      </c>
      <c r="E225">
        <v>4</v>
      </c>
      <c r="F225">
        <v>425</v>
      </c>
      <c r="G225">
        <v>96</v>
      </c>
      <c r="H225">
        <v>7679</v>
      </c>
      <c r="I225">
        <v>0.78605954043399495</v>
      </c>
      <c r="J225">
        <v>1</v>
      </c>
      <c r="K225">
        <v>0.75284313725490204</v>
      </c>
      <c r="L225" t="s">
        <v>1351</v>
      </c>
      <c r="M225" t="str">
        <f>HYPERLINK("../../3.KEGG_map/SCI_I-vs-NC-Down/rno05146.html","rno05146")</f>
        <v>rno05146</v>
      </c>
    </row>
    <row r="226" spans="1:13" x14ac:dyDescent="0.25">
      <c r="A226" t="s">
        <v>538</v>
      </c>
      <c r="B226" t="s">
        <v>539</v>
      </c>
      <c r="C226" t="s">
        <v>115</v>
      </c>
      <c r="D226" t="s">
        <v>506</v>
      </c>
      <c r="E226">
        <v>6</v>
      </c>
      <c r="F226">
        <v>425</v>
      </c>
      <c r="G226">
        <v>169</v>
      </c>
      <c r="H226">
        <v>7679</v>
      </c>
      <c r="I226">
        <v>0.91285254813886996</v>
      </c>
      <c r="J226">
        <v>1</v>
      </c>
      <c r="K226">
        <v>0.64147580925861503</v>
      </c>
      <c r="L226" t="s">
        <v>1352</v>
      </c>
      <c r="M226" t="str">
        <f>HYPERLINK("../../3.KEGG_map/SCI_I-vs-NC-Down/rno05152.html","rno05152")</f>
        <v>rno05152</v>
      </c>
    </row>
    <row r="227" spans="1:13" x14ac:dyDescent="0.25">
      <c r="A227" t="s">
        <v>540</v>
      </c>
      <c r="B227" t="s">
        <v>541</v>
      </c>
      <c r="C227" t="s">
        <v>115</v>
      </c>
      <c r="D227" t="s">
        <v>542</v>
      </c>
      <c r="E227">
        <v>3</v>
      </c>
      <c r="F227">
        <v>425</v>
      </c>
      <c r="G227">
        <v>122</v>
      </c>
      <c r="H227">
        <v>7679</v>
      </c>
      <c r="I227">
        <v>0.968724290578314</v>
      </c>
      <c r="J227">
        <v>1</v>
      </c>
      <c r="K227">
        <v>0.444300867888139</v>
      </c>
      <c r="L227" t="s">
        <v>1353</v>
      </c>
      <c r="M227" t="str">
        <f>HYPERLINK("../../3.KEGG_map/SCI_I-vs-NC-Down/rno05160.html","rno05160")</f>
        <v>rno05160</v>
      </c>
    </row>
    <row r="228" spans="1:13" x14ac:dyDescent="0.25">
      <c r="A228" t="s">
        <v>547</v>
      </c>
      <c r="B228" t="s">
        <v>548</v>
      </c>
      <c r="C228" t="s">
        <v>115</v>
      </c>
      <c r="D228" t="s">
        <v>542</v>
      </c>
      <c r="E228">
        <v>4</v>
      </c>
      <c r="F228">
        <v>425</v>
      </c>
      <c r="G228">
        <v>125</v>
      </c>
      <c r="H228">
        <v>7679</v>
      </c>
      <c r="I228">
        <v>0.92152013080786799</v>
      </c>
      <c r="J228">
        <v>1</v>
      </c>
      <c r="K228">
        <v>0.57818352941176498</v>
      </c>
      <c r="L228" t="s">
        <v>1354</v>
      </c>
      <c r="M228" t="str">
        <f>HYPERLINK("../../3.KEGG_map/SCI_I-vs-NC-Down/rno05162.html","rno05162")</f>
        <v>rno05162</v>
      </c>
    </row>
    <row r="229" spans="1:13" x14ac:dyDescent="0.25">
      <c r="A229" t="s">
        <v>549</v>
      </c>
      <c r="B229" t="s">
        <v>550</v>
      </c>
      <c r="C229" t="s">
        <v>115</v>
      </c>
      <c r="D229" t="s">
        <v>542</v>
      </c>
      <c r="E229">
        <v>3</v>
      </c>
      <c r="F229">
        <v>425</v>
      </c>
      <c r="G229">
        <v>158</v>
      </c>
      <c r="H229">
        <v>7679</v>
      </c>
      <c r="I229">
        <v>0.99382769910771895</v>
      </c>
      <c r="J229">
        <v>1</v>
      </c>
      <c r="K229">
        <v>0.34306775874906897</v>
      </c>
      <c r="L229" t="s">
        <v>1355</v>
      </c>
      <c r="M229" t="str">
        <f>HYPERLINK("../../3.KEGG_map/SCI_I-vs-NC-Down/rno05164.html","rno05164")</f>
        <v>rno05164</v>
      </c>
    </row>
    <row r="230" spans="1:13" x14ac:dyDescent="0.25">
      <c r="A230" t="s">
        <v>552</v>
      </c>
      <c r="B230" t="s">
        <v>553</v>
      </c>
      <c r="C230" t="s">
        <v>115</v>
      </c>
      <c r="D230" t="s">
        <v>542</v>
      </c>
      <c r="E230">
        <v>9</v>
      </c>
      <c r="F230">
        <v>425</v>
      </c>
      <c r="G230">
        <v>327</v>
      </c>
      <c r="H230">
        <v>7679</v>
      </c>
      <c r="I230">
        <v>0.99512197354226495</v>
      </c>
      <c r="J230">
        <v>1</v>
      </c>
      <c r="K230">
        <v>0.49729087965461399</v>
      </c>
      <c r="L230" t="s">
        <v>1356</v>
      </c>
      <c r="M230" t="str">
        <f>HYPERLINK("../../3.KEGG_map/SCI_I-vs-NC-Down/rno05165.html","rno05165")</f>
        <v>rno05165</v>
      </c>
    </row>
    <row r="231" spans="1:13" x14ac:dyDescent="0.25">
      <c r="A231" t="s">
        <v>555</v>
      </c>
      <c r="B231" t="s">
        <v>556</v>
      </c>
      <c r="C231" t="s">
        <v>115</v>
      </c>
      <c r="D231" t="s">
        <v>542</v>
      </c>
      <c r="E231">
        <v>8</v>
      </c>
      <c r="F231">
        <v>425</v>
      </c>
      <c r="G231">
        <v>269</v>
      </c>
      <c r="H231">
        <v>7679</v>
      </c>
      <c r="I231">
        <v>0.98453301521240899</v>
      </c>
      <c r="J231">
        <v>1</v>
      </c>
      <c r="K231">
        <v>0.53734528755740196</v>
      </c>
      <c r="L231" t="s">
        <v>1357</v>
      </c>
      <c r="M231" t="str">
        <f>HYPERLINK("../../3.KEGG_map/SCI_I-vs-NC-Down/rno05166.html","rno05166")</f>
        <v>rno05166</v>
      </c>
    </row>
    <row r="232" spans="1:13" x14ac:dyDescent="0.25">
      <c r="A232" t="s">
        <v>558</v>
      </c>
      <c r="B232" t="s">
        <v>559</v>
      </c>
      <c r="C232" t="s">
        <v>115</v>
      </c>
      <c r="D232" t="s">
        <v>542</v>
      </c>
      <c r="E232">
        <v>2</v>
      </c>
      <c r="F232">
        <v>425</v>
      </c>
      <c r="G232">
        <v>194</v>
      </c>
      <c r="H232">
        <v>7679</v>
      </c>
      <c r="I232">
        <v>0.99982508659884495</v>
      </c>
      <c r="J232">
        <v>1</v>
      </c>
      <c r="K232">
        <v>0.18627046694966601</v>
      </c>
      <c r="L232" t="s">
        <v>1358</v>
      </c>
      <c r="M232" t="str">
        <f>HYPERLINK("../../3.KEGG_map/SCI_I-vs-NC-Down/rno05167.html","rno05167")</f>
        <v>rno05167</v>
      </c>
    </row>
    <row r="233" spans="1:13" x14ac:dyDescent="0.25">
      <c r="A233" t="s">
        <v>560</v>
      </c>
      <c r="B233" t="s">
        <v>561</v>
      </c>
      <c r="C233" t="s">
        <v>115</v>
      </c>
      <c r="D233" t="s">
        <v>542</v>
      </c>
      <c r="E233">
        <v>1</v>
      </c>
      <c r="F233">
        <v>425</v>
      </c>
      <c r="G233">
        <v>190</v>
      </c>
      <c r="H233">
        <v>7679</v>
      </c>
      <c r="I233">
        <v>0.99998256883604597</v>
      </c>
      <c r="J233">
        <v>1</v>
      </c>
      <c r="K233">
        <v>9.5095975232198093E-2</v>
      </c>
      <c r="L233" t="s">
        <v>1247</v>
      </c>
      <c r="M233" t="str">
        <f>HYPERLINK("../../3.KEGG_map/SCI_I-vs-NC-Down/rno05168.html","rno05168")</f>
        <v>rno05168</v>
      </c>
    </row>
    <row r="234" spans="1:13" x14ac:dyDescent="0.25">
      <c r="A234" t="s">
        <v>562</v>
      </c>
      <c r="B234" t="s">
        <v>563</v>
      </c>
      <c r="C234" t="s">
        <v>115</v>
      </c>
      <c r="D234" t="s">
        <v>542</v>
      </c>
      <c r="E234">
        <v>1</v>
      </c>
      <c r="F234">
        <v>425</v>
      </c>
      <c r="G234">
        <v>204</v>
      </c>
      <c r="H234">
        <v>7679</v>
      </c>
      <c r="I234">
        <v>0.99999231251048204</v>
      </c>
      <c r="J234">
        <v>1</v>
      </c>
      <c r="K234">
        <v>8.8569780853517896E-2</v>
      </c>
      <c r="L234" t="s">
        <v>1180</v>
      </c>
      <c r="M234" t="str">
        <f>HYPERLINK("../../3.KEGG_map/SCI_I-vs-NC-Down/rno05169.html","rno05169")</f>
        <v>rno05169</v>
      </c>
    </row>
    <row r="235" spans="1:13" x14ac:dyDescent="0.25">
      <c r="A235" t="s">
        <v>564</v>
      </c>
      <c r="B235" t="s">
        <v>565</v>
      </c>
      <c r="C235" t="s">
        <v>115</v>
      </c>
      <c r="D235" t="s">
        <v>566</v>
      </c>
      <c r="E235">
        <v>22</v>
      </c>
      <c r="F235">
        <v>425</v>
      </c>
      <c r="G235">
        <v>508</v>
      </c>
      <c r="H235">
        <v>7679</v>
      </c>
      <c r="I235">
        <v>0.91178972237546796</v>
      </c>
      <c r="J235">
        <v>1</v>
      </c>
      <c r="K235">
        <v>0.78248263084761505</v>
      </c>
      <c r="L235" t="s">
        <v>1359</v>
      </c>
      <c r="M235" t="str">
        <f>HYPERLINK("../../3.KEGG_map/SCI_I-vs-NC-Down/rno05200.html","rno05200")</f>
        <v>rno05200</v>
      </c>
    </row>
    <row r="236" spans="1:13" x14ac:dyDescent="0.25">
      <c r="A236" t="s">
        <v>568</v>
      </c>
      <c r="B236" t="s">
        <v>569</v>
      </c>
      <c r="C236" t="s">
        <v>115</v>
      </c>
      <c r="D236" t="s">
        <v>566</v>
      </c>
      <c r="E236">
        <v>9</v>
      </c>
      <c r="F236">
        <v>425</v>
      </c>
      <c r="G236">
        <v>168</v>
      </c>
      <c r="H236">
        <v>7679</v>
      </c>
      <c r="I236">
        <v>0.58943227177111601</v>
      </c>
      <c r="J236">
        <v>1</v>
      </c>
      <c r="K236">
        <v>0.96794117647058797</v>
      </c>
      <c r="L236" t="s">
        <v>1360</v>
      </c>
      <c r="M236" t="str">
        <f>HYPERLINK("../../3.KEGG_map/SCI_I-vs-NC-Down/rno05202.html","rno05202")</f>
        <v>rno05202</v>
      </c>
    </row>
    <row r="237" spans="1:13" x14ac:dyDescent="0.25">
      <c r="A237" t="s">
        <v>571</v>
      </c>
      <c r="B237" t="s">
        <v>572</v>
      </c>
      <c r="C237" t="s">
        <v>115</v>
      </c>
      <c r="D237" t="s">
        <v>566</v>
      </c>
      <c r="E237">
        <v>4</v>
      </c>
      <c r="F237">
        <v>425</v>
      </c>
      <c r="G237">
        <v>201</v>
      </c>
      <c r="H237">
        <v>7679</v>
      </c>
      <c r="I237">
        <v>0.99656106503016595</v>
      </c>
      <c r="J237">
        <v>1</v>
      </c>
      <c r="K237">
        <v>0.35956687152472899</v>
      </c>
      <c r="L237" t="s">
        <v>1361</v>
      </c>
      <c r="M237" t="str">
        <f>HYPERLINK("../../3.KEGG_map/SCI_I-vs-NC-Down/rno05203.html","rno05203")</f>
        <v>rno05203</v>
      </c>
    </row>
    <row r="238" spans="1:13" x14ac:dyDescent="0.25">
      <c r="A238" t="s">
        <v>573</v>
      </c>
      <c r="B238" t="s">
        <v>574</v>
      </c>
      <c r="C238" t="s">
        <v>115</v>
      </c>
      <c r="D238" t="s">
        <v>566</v>
      </c>
      <c r="E238">
        <v>9</v>
      </c>
      <c r="F238">
        <v>425</v>
      </c>
      <c r="G238">
        <v>85</v>
      </c>
      <c r="H238">
        <v>7679</v>
      </c>
      <c r="I238">
        <v>4.45513331142856E-2</v>
      </c>
      <c r="J238">
        <v>0.24457772668862901</v>
      </c>
      <c r="K238">
        <v>1.9131072664359901</v>
      </c>
      <c r="L238" t="s">
        <v>1362</v>
      </c>
      <c r="M238" t="str">
        <f>HYPERLINK("../../3.KEGG_map/SCI_I-vs-NC-Down/rno05204.html","rno05204")</f>
        <v>rno05204</v>
      </c>
    </row>
    <row r="239" spans="1:13" x14ac:dyDescent="0.25">
      <c r="A239" t="s">
        <v>575</v>
      </c>
      <c r="B239" t="s">
        <v>576</v>
      </c>
      <c r="C239" t="s">
        <v>115</v>
      </c>
      <c r="D239" t="s">
        <v>566</v>
      </c>
      <c r="E239">
        <v>10</v>
      </c>
      <c r="F239">
        <v>425</v>
      </c>
      <c r="G239">
        <v>198</v>
      </c>
      <c r="H239">
        <v>7679</v>
      </c>
      <c r="I239">
        <v>0.66387555776440499</v>
      </c>
      <c r="J239">
        <v>1</v>
      </c>
      <c r="K239">
        <v>0.91253713606654796</v>
      </c>
      <c r="L239" t="s">
        <v>1363</v>
      </c>
      <c r="M239" t="str">
        <f>HYPERLINK("../../3.KEGG_map/SCI_I-vs-NC-Down/rno05205.html","rno05205")</f>
        <v>rno05205</v>
      </c>
    </row>
    <row r="240" spans="1:13" x14ac:dyDescent="0.25">
      <c r="A240" t="s">
        <v>578</v>
      </c>
      <c r="B240" t="s">
        <v>579</v>
      </c>
      <c r="C240" t="s">
        <v>115</v>
      </c>
      <c r="D240" t="s">
        <v>566</v>
      </c>
      <c r="E240">
        <v>6</v>
      </c>
      <c r="F240">
        <v>425</v>
      </c>
      <c r="G240">
        <v>141</v>
      </c>
      <c r="H240">
        <v>7679</v>
      </c>
      <c r="I240">
        <v>0.80047162034736496</v>
      </c>
      <c r="J240">
        <v>1</v>
      </c>
      <c r="K240">
        <v>0.76886107634543199</v>
      </c>
      <c r="L240" t="s">
        <v>1364</v>
      </c>
      <c r="M240" t="str">
        <f>HYPERLINK("../../3.KEGG_map/SCI_I-vs-NC-Down/rno05206.html","rno05206")</f>
        <v>rno05206</v>
      </c>
    </row>
    <row r="241" spans="1:13" x14ac:dyDescent="0.25">
      <c r="A241" t="s">
        <v>581</v>
      </c>
      <c r="B241" t="s">
        <v>582</v>
      </c>
      <c r="C241" t="s">
        <v>115</v>
      </c>
      <c r="D241" t="s">
        <v>583</v>
      </c>
      <c r="E241">
        <v>3</v>
      </c>
      <c r="F241">
        <v>425</v>
      </c>
      <c r="G241">
        <v>86</v>
      </c>
      <c r="H241">
        <v>7679</v>
      </c>
      <c r="I241">
        <v>0.86259731236924597</v>
      </c>
      <c r="J241">
        <v>1</v>
      </c>
      <c r="K241">
        <v>0.63028727770177795</v>
      </c>
      <c r="L241" t="s">
        <v>1365</v>
      </c>
      <c r="M241" t="str">
        <f>HYPERLINK("../../3.KEGG_map/SCI_I-vs-NC-Down/rno05210.html","rno05210")</f>
        <v>rno05210</v>
      </c>
    </row>
    <row r="242" spans="1:13" x14ac:dyDescent="0.25">
      <c r="A242" t="s">
        <v>585</v>
      </c>
      <c r="B242" t="s">
        <v>586</v>
      </c>
      <c r="C242" t="s">
        <v>115</v>
      </c>
      <c r="D242" t="s">
        <v>583</v>
      </c>
      <c r="E242">
        <v>2</v>
      </c>
      <c r="F242">
        <v>425</v>
      </c>
      <c r="G242">
        <v>66</v>
      </c>
      <c r="H242">
        <v>7679</v>
      </c>
      <c r="I242">
        <v>0.88748355223296804</v>
      </c>
      <c r="J242">
        <v>1</v>
      </c>
      <c r="K242">
        <v>0.547522281639929</v>
      </c>
      <c r="L242" t="s">
        <v>1366</v>
      </c>
      <c r="M242" t="str">
        <f>HYPERLINK("../../3.KEGG_map/SCI_I-vs-NC-Down/rno05211.html","rno05211")</f>
        <v>rno05211</v>
      </c>
    </row>
    <row r="243" spans="1:13" x14ac:dyDescent="0.25">
      <c r="A243" t="s">
        <v>588</v>
      </c>
      <c r="B243" t="s">
        <v>589</v>
      </c>
      <c r="C243" t="s">
        <v>115</v>
      </c>
      <c r="D243" t="s">
        <v>583</v>
      </c>
      <c r="E243">
        <v>1</v>
      </c>
      <c r="F243">
        <v>425</v>
      </c>
      <c r="G243">
        <v>74</v>
      </c>
      <c r="H243">
        <v>7679</v>
      </c>
      <c r="I243">
        <v>0.98550613127729703</v>
      </c>
      <c r="J243">
        <v>1</v>
      </c>
      <c r="K243">
        <v>0.24416534181240099</v>
      </c>
      <c r="L243" t="s">
        <v>1171</v>
      </c>
      <c r="M243" t="str">
        <f>HYPERLINK("../../3.KEGG_map/SCI_I-vs-NC-Down/rno05212.html","rno05212")</f>
        <v>rno05212</v>
      </c>
    </row>
    <row r="244" spans="1:13" x14ac:dyDescent="0.25">
      <c r="A244" t="s">
        <v>591</v>
      </c>
      <c r="B244" t="s">
        <v>592</v>
      </c>
      <c r="C244" t="s">
        <v>115</v>
      </c>
      <c r="D244" t="s">
        <v>583</v>
      </c>
      <c r="E244">
        <v>3</v>
      </c>
      <c r="F244">
        <v>425</v>
      </c>
      <c r="G244">
        <v>57</v>
      </c>
      <c r="H244">
        <v>7679</v>
      </c>
      <c r="I244">
        <v>0.61844204619281895</v>
      </c>
      <c r="J244">
        <v>1</v>
      </c>
      <c r="K244">
        <v>0.95095975232198104</v>
      </c>
      <c r="L244" t="s">
        <v>1367</v>
      </c>
      <c r="M244" t="str">
        <f>HYPERLINK("../../3.KEGG_map/SCI_I-vs-NC-Down/rno05213.html","rno05213")</f>
        <v>rno05213</v>
      </c>
    </row>
    <row r="245" spans="1:13" x14ac:dyDescent="0.25">
      <c r="A245" t="s">
        <v>593</v>
      </c>
      <c r="B245" t="s">
        <v>594</v>
      </c>
      <c r="C245" t="s">
        <v>115</v>
      </c>
      <c r="D245" t="s">
        <v>583</v>
      </c>
      <c r="E245">
        <v>1</v>
      </c>
      <c r="F245">
        <v>425</v>
      </c>
      <c r="G245">
        <v>71</v>
      </c>
      <c r="H245">
        <v>7679</v>
      </c>
      <c r="I245">
        <v>0.98277781021669797</v>
      </c>
      <c r="J245">
        <v>1</v>
      </c>
      <c r="K245">
        <v>0.254482187241094</v>
      </c>
      <c r="L245" t="s">
        <v>1171</v>
      </c>
      <c r="M245" t="str">
        <f>HYPERLINK("../../3.KEGG_map/SCI_I-vs-NC-Down/rno05214.html","rno05214")</f>
        <v>rno05214</v>
      </c>
    </row>
    <row r="246" spans="1:13" x14ac:dyDescent="0.25">
      <c r="A246" t="s">
        <v>595</v>
      </c>
      <c r="B246" t="s">
        <v>596</v>
      </c>
      <c r="C246" t="s">
        <v>115</v>
      </c>
      <c r="D246" t="s">
        <v>583</v>
      </c>
      <c r="E246">
        <v>2</v>
      </c>
      <c r="F246">
        <v>425</v>
      </c>
      <c r="G246">
        <v>96</v>
      </c>
      <c r="H246">
        <v>7679</v>
      </c>
      <c r="I246">
        <v>0.97264890669312298</v>
      </c>
      <c r="J246">
        <v>1</v>
      </c>
      <c r="K246">
        <v>0.37642156862745102</v>
      </c>
      <c r="L246" t="s">
        <v>1368</v>
      </c>
      <c r="M246" t="str">
        <f>HYPERLINK("../../3.KEGG_map/SCI_I-vs-NC-Down/rno05215.html","rno05215")</f>
        <v>rno05215</v>
      </c>
    </row>
    <row r="247" spans="1:13" x14ac:dyDescent="0.25">
      <c r="A247" t="s">
        <v>1055</v>
      </c>
      <c r="B247" t="s">
        <v>1056</v>
      </c>
      <c r="C247" t="s">
        <v>115</v>
      </c>
      <c r="D247" t="s">
        <v>583</v>
      </c>
      <c r="E247">
        <v>1</v>
      </c>
      <c r="F247">
        <v>425</v>
      </c>
      <c r="G247">
        <v>37</v>
      </c>
      <c r="H247">
        <v>7679</v>
      </c>
      <c r="I247">
        <v>0.87897289099819598</v>
      </c>
      <c r="J247">
        <v>1</v>
      </c>
      <c r="K247">
        <v>0.48833068362480098</v>
      </c>
      <c r="L247" t="s">
        <v>1369</v>
      </c>
      <c r="M247" t="str">
        <f>HYPERLINK("../../3.KEGG_map/SCI_I-vs-NC-Down/rno05216.html","rno05216")</f>
        <v>rno05216</v>
      </c>
    </row>
    <row r="248" spans="1:13" x14ac:dyDescent="0.25">
      <c r="A248" t="s">
        <v>858</v>
      </c>
      <c r="B248" t="s">
        <v>859</v>
      </c>
      <c r="C248" t="s">
        <v>115</v>
      </c>
      <c r="D248" t="s">
        <v>583</v>
      </c>
      <c r="E248">
        <v>4</v>
      </c>
      <c r="F248">
        <v>425</v>
      </c>
      <c r="G248">
        <v>60</v>
      </c>
      <c r="H248">
        <v>7679</v>
      </c>
      <c r="I248">
        <v>0.42646289720772901</v>
      </c>
      <c r="J248">
        <v>0.96402117099898299</v>
      </c>
      <c r="K248">
        <v>1.2045490196078401</v>
      </c>
      <c r="L248" t="s">
        <v>1370</v>
      </c>
      <c r="M248" t="str">
        <f>HYPERLINK("../../3.KEGG_map/SCI_I-vs-NC-Down/rno05217.html","rno05217")</f>
        <v>rno05217</v>
      </c>
    </row>
    <row r="249" spans="1:13" x14ac:dyDescent="0.25">
      <c r="A249" t="s">
        <v>598</v>
      </c>
      <c r="B249" t="s">
        <v>599</v>
      </c>
      <c r="C249" t="s">
        <v>115</v>
      </c>
      <c r="D249" t="s">
        <v>583</v>
      </c>
      <c r="E249">
        <v>1</v>
      </c>
      <c r="F249">
        <v>425</v>
      </c>
      <c r="G249">
        <v>72</v>
      </c>
      <c r="H249">
        <v>7679</v>
      </c>
      <c r="I249">
        <v>0.98373988049244698</v>
      </c>
      <c r="J249">
        <v>1</v>
      </c>
      <c r="K249">
        <v>0.25094771241830099</v>
      </c>
      <c r="L249" t="s">
        <v>1171</v>
      </c>
      <c r="M249" t="str">
        <f>HYPERLINK("../../3.KEGG_map/SCI_I-vs-NC-Down/rno05218.html","rno05218")</f>
        <v>rno05218</v>
      </c>
    </row>
    <row r="250" spans="1:13" x14ac:dyDescent="0.25">
      <c r="A250" t="s">
        <v>600</v>
      </c>
      <c r="B250" t="s">
        <v>601</v>
      </c>
      <c r="C250" t="s">
        <v>115</v>
      </c>
      <c r="D250" t="s">
        <v>583</v>
      </c>
      <c r="E250">
        <v>1</v>
      </c>
      <c r="F250">
        <v>425</v>
      </c>
      <c r="G250">
        <v>40</v>
      </c>
      <c r="H250">
        <v>7679</v>
      </c>
      <c r="I250">
        <v>0.89806539766813998</v>
      </c>
      <c r="J250">
        <v>1</v>
      </c>
      <c r="K250">
        <v>0.45170588235294101</v>
      </c>
      <c r="L250" t="s">
        <v>1171</v>
      </c>
      <c r="M250" t="str">
        <f>HYPERLINK("../../3.KEGG_map/SCI_I-vs-NC-Down/rno05219.html","rno05219")</f>
        <v>rno05219</v>
      </c>
    </row>
    <row r="251" spans="1:13" x14ac:dyDescent="0.25">
      <c r="A251" t="s">
        <v>865</v>
      </c>
      <c r="B251" t="s">
        <v>866</v>
      </c>
      <c r="C251" t="s">
        <v>115</v>
      </c>
      <c r="D251" t="s">
        <v>583</v>
      </c>
      <c r="E251">
        <v>2</v>
      </c>
      <c r="F251">
        <v>425</v>
      </c>
      <c r="G251">
        <v>66</v>
      </c>
      <c r="H251">
        <v>7679</v>
      </c>
      <c r="I251">
        <v>0.88748355223296804</v>
      </c>
      <c r="J251">
        <v>1</v>
      </c>
      <c r="K251">
        <v>0.547522281639929</v>
      </c>
      <c r="L251" t="s">
        <v>1371</v>
      </c>
      <c r="M251" t="str">
        <f>HYPERLINK("../../3.KEGG_map/SCI_I-vs-NC-Down/rno05221.html","rno05221")</f>
        <v>rno05221</v>
      </c>
    </row>
    <row r="252" spans="1:13" x14ac:dyDescent="0.25">
      <c r="A252" t="s">
        <v>603</v>
      </c>
      <c r="B252" t="s">
        <v>604</v>
      </c>
      <c r="C252" t="s">
        <v>115</v>
      </c>
      <c r="D252" t="s">
        <v>583</v>
      </c>
      <c r="E252">
        <v>2</v>
      </c>
      <c r="F252">
        <v>425</v>
      </c>
      <c r="G252">
        <v>91</v>
      </c>
      <c r="H252">
        <v>7679</v>
      </c>
      <c r="I252">
        <v>0.96514762968408896</v>
      </c>
      <c r="J252">
        <v>1</v>
      </c>
      <c r="K252">
        <v>0.39710407239819001</v>
      </c>
      <c r="L252" t="s">
        <v>1372</v>
      </c>
      <c r="M252" t="str">
        <f>HYPERLINK("../../3.KEGG_map/SCI_I-vs-NC-Down/rno05222.html","rno05222")</f>
        <v>rno05222</v>
      </c>
    </row>
    <row r="253" spans="1:13" x14ac:dyDescent="0.25">
      <c r="A253" t="s">
        <v>868</v>
      </c>
      <c r="B253" t="s">
        <v>869</v>
      </c>
      <c r="C253" t="s">
        <v>115</v>
      </c>
      <c r="D253" t="s">
        <v>583</v>
      </c>
      <c r="E253">
        <v>2</v>
      </c>
      <c r="F253">
        <v>425</v>
      </c>
      <c r="G253">
        <v>66</v>
      </c>
      <c r="H253">
        <v>7679</v>
      </c>
      <c r="I253">
        <v>0.88748355223296804</v>
      </c>
      <c r="J253">
        <v>1</v>
      </c>
      <c r="K253">
        <v>0.547522281639929</v>
      </c>
      <c r="L253" t="s">
        <v>1373</v>
      </c>
      <c r="M253" t="str">
        <f>HYPERLINK("../../3.KEGG_map/SCI_I-vs-NC-Down/rno05223.html","rno05223")</f>
        <v>rno05223</v>
      </c>
    </row>
    <row r="254" spans="1:13" x14ac:dyDescent="0.25">
      <c r="A254" t="s">
        <v>606</v>
      </c>
      <c r="B254" t="s">
        <v>607</v>
      </c>
      <c r="C254" t="s">
        <v>115</v>
      </c>
      <c r="D254" t="s">
        <v>583</v>
      </c>
      <c r="E254">
        <v>7</v>
      </c>
      <c r="F254">
        <v>425</v>
      </c>
      <c r="G254">
        <v>145</v>
      </c>
      <c r="H254">
        <v>7679</v>
      </c>
      <c r="I254">
        <v>0.69902717282438498</v>
      </c>
      <c r="J254">
        <v>1</v>
      </c>
      <c r="K254">
        <v>0.87225963488843805</v>
      </c>
      <c r="L254" t="s">
        <v>1374</v>
      </c>
      <c r="M254" t="str">
        <f>HYPERLINK("../../3.KEGG_map/SCI_I-vs-NC-Down/rno05224.html","rno05224")</f>
        <v>rno05224</v>
      </c>
    </row>
    <row r="255" spans="1:13" x14ac:dyDescent="0.25">
      <c r="A255" t="s">
        <v>608</v>
      </c>
      <c r="B255" t="s">
        <v>609</v>
      </c>
      <c r="C255" t="s">
        <v>115</v>
      </c>
      <c r="D255" t="s">
        <v>583</v>
      </c>
      <c r="E255">
        <v>8</v>
      </c>
      <c r="F255">
        <v>425</v>
      </c>
      <c r="G255">
        <v>169</v>
      </c>
      <c r="H255">
        <v>7679</v>
      </c>
      <c r="I255">
        <v>0.72587698772498299</v>
      </c>
      <c r="J255">
        <v>1</v>
      </c>
      <c r="K255">
        <v>0.855301079011486</v>
      </c>
      <c r="L255" t="s">
        <v>1375</v>
      </c>
      <c r="M255" t="str">
        <f>HYPERLINK("../../3.KEGG_map/SCI_I-vs-NC-Down/rno05225.html","rno05225")</f>
        <v>rno05225</v>
      </c>
    </row>
    <row r="256" spans="1:13" x14ac:dyDescent="0.25">
      <c r="A256" t="s">
        <v>611</v>
      </c>
      <c r="B256" t="s">
        <v>612</v>
      </c>
      <c r="C256" t="s">
        <v>115</v>
      </c>
      <c r="D256" t="s">
        <v>583</v>
      </c>
      <c r="E256">
        <v>10</v>
      </c>
      <c r="F256">
        <v>425</v>
      </c>
      <c r="G256">
        <v>147</v>
      </c>
      <c r="H256">
        <v>7679</v>
      </c>
      <c r="I256">
        <v>0.29602989373871202</v>
      </c>
      <c r="J256">
        <v>0.72392764923375896</v>
      </c>
      <c r="K256">
        <v>1.2291316526610601</v>
      </c>
      <c r="L256" t="s">
        <v>1376</v>
      </c>
      <c r="M256" t="str">
        <f>HYPERLINK("../../3.KEGG_map/SCI_I-vs-NC-Down/rno05226.html","rno05226")</f>
        <v>rno05226</v>
      </c>
    </row>
    <row r="257" spans="1:13" x14ac:dyDescent="0.25">
      <c r="A257" t="s">
        <v>614</v>
      </c>
      <c r="B257" t="s">
        <v>615</v>
      </c>
      <c r="C257" t="s">
        <v>115</v>
      </c>
      <c r="D257" t="s">
        <v>566</v>
      </c>
      <c r="E257">
        <v>1</v>
      </c>
      <c r="F257">
        <v>425</v>
      </c>
      <c r="G257">
        <v>61</v>
      </c>
      <c r="H257">
        <v>7679</v>
      </c>
      <c r="I257">
        <v>0.96941213545362803</v>
      </c>
      <c r="J257">
        <v>1</v>
      </c>
      <c r="K257">
        <v>0.29620057859209298</v>
      </c>
      <c r="L257" t="s">
        <v>1377</v>
      </c>
      <c r="M257" t="str">
        <f>HYPERLINK("../../3.KEGG_map/SCI_I-vs-NC-Down/rno05230.html","rno05230")</f>
        <v>rno05230</v>
      </c>
    </row>
    <row r="258" spans="1:13" x14ac:dyDescent="0.25">
      <c r="A258" t="s">
        <v>617</v>
      </c>
      <c r="B258" t="s">
        <v>618</v>
      </c>
      <c r="C258" t="s">
        <v>115</v>
      </c>
      <c r="D258" t="s">
        <v>566</v>
      </c>
      <c r="E258">
        <v>8</v>
      </c>
      <c r="F258">
        <v>425</v>
      </c>
      <c r="G258">
        <v>97</v>
      </c>
      <c r="H258">
        <v>7679</v>
      </c>
      <c r="I258">
        <v>0.16769006497514199</v>
      </c>
      <c r="J258">
        <v>0.46567288609070001</v>
      </c>
      <c r="K258">
        <v>1.4901637355973301</v>
      </c>
      <c r="L258" t="s">
        <v>1378</v>
      </c>
      <c r="M258" t="str">
        <f>HYPERLINK("../../3.KEGG_map/SCI_I-vs-NC-Down/rno05231.html","rno05231")</f>
        <v>rno05231</v>
      </c>
    </row>
    <row r="259" spans="1:13" x14ac:dyDescent="0.25">
      <c r="A259" t="s">
        <v>1379</v>
      </c>
      <c r="B259" t="s">
        <v>1380</v>
      </c>
      <c r="C259" t="s">
        <v>115</v>
      </c>
      <c r="D259" t="s">
        <v>621</v>
      </c>
      <c r="E259">
        <v>1</v>
      </c>
      <c r="F259">
        <v>425</v>
      </c>
      <c r="G259">
        <v>24</v>
      </c>
      <c r="H259">
        <v>7679</v>
      </c>
      <c r="I259">
        <v>0.74553225095304099</v>
      </c>
      <c r="J259">
        <v>1</v>
      </c>
      <c r="K259">
        <v>0.75284313725490204</v>
      </c>
      <c r="L259" t="s">
        <v>1381</v>
      </c>
      <c r="M259" t="str">
        <f>HYPERLINK("../../3.KEGG_map/SCI_I-vs-NC-Down/rno05310.html","rno05310")</f>
        <v>rno05310</v>
      </c>
    </row>
    <row r="260" spans="1:13" x14ac:dyDescent="0.25">
      <c r="A260" t="s">
        <v>619</v>
      </c>
      <c r="B260" t="s">
        <v>620</v>
      </c>
      <c r="C260" t="s">
        <v>115</v>
      </c>
      <c r="D260" t="s">
        <v>621</v>
      </c>
      <c r="E260">
        <v>1</v>
      </c>
      <c r="F260">
        <v>425</v>
      </c>
      <c r="G260">
        <v>60</v>
      </c>
      <c r="H260">
        <v>7679</v>
      </c>
      <c r="I260">
        <v>0.96760509591620703</v>
      </c>
      <c r="J260">
        <v>1</v>
      </c>
      <c r="K260">
        <v>0.30113725490196103</v>
      </c>
      <c r="L260" t="s">
        <v>1382</v>
      </c>
      <c r="M260" t="str">
        <f>HYPERLINK("../../3.KEGG_map/SCI_I-vs-NC-Down/rno05320.html","rno05320")</f>
        <v>rno05320</v>
      </c>
    </row>
    <row r="261" spans="1:13" x14ac:dyDescent="0.25">
      <c r="A261" t="s">
        <v>622</v>
      </c>
      <c r="B261" t="s">
        <v>623</v>
      </c>
      <c r="C261" t="s">
        <v>115</v>
      </c>
      <c r="D261" t="s">
        <v>621</v>
      </c>
      <c r="E261">
        <v>3</v>
      </c>
      <c r="F261">
        <v>425</v>
      </c>
      <c r="G261">
        <v>59</v>
      </c>
      <c r="H261">
        <v>7679</v>
      </c>
      <c r="I261">
        <v>0.641890826641343</v>
      </c>
      <c r="J261">
        <v>1</v>
      </c>
      <c r="K261">
        <v>0.918723828514457</v>
      </c>
      <c r="L261" t="s">
        <v>1383</v>
      </c>
      <c r="M261" t="str">
        <f>HYPERLINK("../../3.KEGG_map/SCI_I-vs-NC-Down/rno05321.html","rno05321")</f>
        <v>rno05321</v>
      </c>
    </row>
    <row r="262" spans="1:13" x14ac:dyDescent="0.25">
      <c r="A262" t="s">
        <v>625</v>
      </c>
      <c r="B262" t="s">
        <v>626</v>
      </c>
      <c r="C262" t="s">
        <v>115</v>
      </c>
      <c r="D262" t="s">
        <v>621</v>
      </c>
      <c r="E262">
        <v>1</v>
      </c>
      <c r="F262">
        <v>425</v>
      </c>
      <c r="G262">
        <v>91</v>
      </c>
      <c r="H262">
        <v>7679</v>
      </c>
      <c r="I262">
        <v>0.99455305785590498</v>
      </c>
      <c r="J262">
        <v>1</v>
      </c>
      <c r="K262">
        <v>0.19855203619909501</v>
      </c>
      <c r="L262" t="s">
        <v>1241</v>
      </c>
      <c r="M262" t="str">
        <f>HYPERLINK("../../3.KEGG_map/SCI_I-vs-NC-Down/rno05322.html","rno05322")</f>
        <v>rno05322</v>
      </c>
    </row>
    <row r="263" spans="1:13" x14ac:dyDescent="0.25">
      <c r="A263" t="s">
        <v>627</v>
      </c>
      <c r="B263" t="s">
        <v>628</v>
      </c>
      <c r="C263" t="s">
        <v>115</v>
      </c>
      <c r="D263" t="s">
        <v>621</v>
      </c>
      <c r="E263">
        <v>3</v>
      </c>
      <c r="F263">
        <v>425</v>
      </c>
      <c r="G263">
        <v>81</v>
      </c>
      <c r="H263">
        <v>7679</v>
      </c>
      <c r="I263">
        <v>0.83391396035510801</v>
      </c>
      <c r="J263">
        <v>1</v>
      </c>
      <c r="K263">
        <v>0.66919389978213495</v>
      </c>
      <c r="L263" t="s">
        <v>1100</v>
      </c>
      <c r="M263" t="str">
        <f>HYPERLINK("../../3.KEGG_map/SCI_I-vs-NC-Down/rno05323.html","rno05323")</f>
        <v>rno05323</v>
      </c>
    </row>
    <row r="264" spans="1:13" x14ac:dyDescent="0.25">
      <c r="A264" t="s">
        <v>629</v>
      </c>
      <c r="B264" t="s">
        <v>630</v>
      </c>
      <c r="C264" t="s">
        <v>115</v>
      </c>
      <c r="D264" t="s">
        <v>621</v>
      </c>
      <c r="E264">
        <v>1</v>
      </c>
      <c r="F264">
        <v>425</v>
      </c>
      <c r="G264">
        <v>53</v>
      </c>
      <c r="H264">
        <v>7679</v>
      </c>
      <c r="I264">
        <v>0.95159666860645997</v>
      </c>
      <c r="J264">
        <v>1</v>
      </c>
      <c r="K264">
        <v>0.340910099889012</v>
      </c>
      <c r="L264" t="s">
        <v>1247</v>
      </c>
      <c r="M264" t="str">
        <f>HYPERLINK("../../3.KEGG_map/SCI_I-vs-NC-Down/rno05330.html","rno05330")</f>
        <v>rno05330</v>
      </c>
    </row>
    <row r="265" spans="1:13" x14ac:dyDescent="0.25">
      <c r="A265" t="s">
        <v>1384</v>
      </c>
      <c r="B265" t="s">
        <v>1385</v>
      </c>
      <c r="C265" t="s">
        <v>115</v>
      </c>
      <c r="D265" t="s">
        <v>621</v>
      </c>
      <c r="E265">
        <v>2</v>
      </c>
      <c r="F265">
        <v>425</v>
      </c>
      <c r="G265">
        <v>36</v>
      </c>
      <c r="H265">
        <v>7679</v>
      </c>
      <c r="I265">
        <v>0.600237824100465</v>
      </c>
      <c r="J265">
        <v>1</v>
      </c>
      <c r="K265">
        <v>1.0037908496732</v>
      </c>
      <c r="L265" t="s">
        <v>1386</v>
      </c>
      <c r="M265" t="str">
        <f>HYPERLINK("../../3.KEGG_map/SCI_I-vs-NC-Down/rno05340.html","rno05340")</f>
        <v>rno05340</v>
      </c>
    </row>
    <row r="266" spans="1:13" x14ac:dyDescent="0.25">
      <c r="A266" t="s">
        <v>633</v>
      </c>
      <c r="B266" t="s">
        <v>634</v>
      </c>
      <c r="C266" t="s">
        <v>115</v>
      </c>
      <c r="D266" t="s">
        <v>635</v>
      </c>
      <c r="E266">
        <v>9</v>
      </c>
      <c r="F266">
        <v>425</v>
      </c>
      <c r="G266">
        <v>86</v>
      </c>
      <c r="H266">
        <v>7679</v>
      </c>
      <c r="I266">
        <v>4.7440603355709703E-2</v>
      </c>
      <c r="J266">
        <v>0.24541389043626699</v>
      </c>
      <c r="K266">
        <v>1.89086183310534</v>
      </c>
      <c r="L266" t="s">
        <v>1387</v>
      </c>
      <c r="M266" t="str">
        <f>HYPERLINK("../../3.KEGG_map/SCI_I-vs-NC-Down/rno05410.html","rno05410")</f>
        <v>rno05410</v>
      </c>
    </row>
    <row r="267" spans="1:13" x14ac:dyDescent="0.25">
      <c r="A267" t="s">
        <v>637</v>
      </c>
      <c r="B267" t="s">
        <v>638</v>
      </c>
      <c r="C267" t="s">
        <v>115</v>
      </c>
      <c r="D267" t="s">
        <v>635</v>
      </c>
      <c r="E267">
        <v>7</v>
      </c>
      <c r="F267">
        <v>425</v>
      </c>
      <c r="G267">
        <v>72</v>
      </c>
      <c r="H267">
        <v>7679</v>
      </c>
      <c r="I267">
        <v>0.10212863765274199</v>
      </c>
      <c r="J267">
        <v>0.38282994015448701</v>
      </c>
      <c r="K267">
        <v>1.7566339869281</v>
      </c>
      <c r="L267" t="s">
        <v>1388</v>
      </c>
      <c r="M267" t="str">
        <f>HYPERLINK("../../3.KEGG_map/SCI_I-vs-NC-Down/rno05412.html","rno05412")</f>
        <v>rno05412</v>
      </c>
    </row>
    <row r="268" spans="1:13" x14ac:dyDescent="0.25">
      <c r="A268" t="s">
        <v>640</v>
      </c>
      <c r="B268" t="s">
        <v>641</v>
      </c>
      <c r="C268" t="s">
        <v>115</v>
      </c>
      <c r="D268" t="s">
        <v>635</v>
      </c>
      <c r="E268">
        <v>11</v>
      </c>
      <c r="F268">
        <v>425</v>
      </c>
      <c r="G268">
        <v>88</v>
      </c>
      <c r="H268">
        <v>7679</v>
      </c>
      <c r="I268">
        <v>8.9043442483067604E-3</v>
      </c>
      <c r="J268">
        <v>9.2125715492096902E-2</v>
      </c>
      <c r="K268">
        <v>2.2585294117647101</v>
      </c>
      <c r="L268" t="s">
        <v>1389</v>
      </c>
      <c r="M268" t="str">
        <f>HYPERLINK("../../3.KEGG_map/SCI_I-vs-NC-Down/rno05414.html","rno05414")</f>
        <v>rno05414</v>
      </c>
    </row>
    <row r="269" spans="1:13" x14ac:dyDescent="0.25">
      <c r="A269" t="s">
        <v>642</v>
      </c>
      <c r="B269" t="s">
        <v>643</v>
      </c>
      <c r="C269" t="s">
        <v>115</v>
      </c>
      <c r="D269" t="s">
        <v>635</v>
      </c>
      <c r="E269">
        <v>3</v>
      </c>
      <c r="F269">
        <v>425</v>
      </c>
      <c r="G269">
        <v>73</v>
      </c>
      <c r="H269">
        <v>7679</v>
      </c>
      <c r="I269">
        <v>0.77740786692188601</v>
      </c>
      <c r="J269">
        <v>1</v>
      </c>
      <c r="K269">
        <v>0.74253021756647897</v>
      </c>
      <c r="L269" t="s">
        <v>1390</v>
      </c>
      <c r="M269" t="str">
        <f>HYPERLINK("../../3.KEGG_map/SCI_I-vs-NC-Down/rno05416.html","rno05416")</f>
        <v>rno05416</v>
      </c>
    </row>
    <row r="270" spans="1:13" x14ac:dyDescent="0.25">
      <c r="A270" t="s">
        <v>645</v>
      </c>
      <c r="B270" t="s">
        <v>646</v>
      </c>
      <c r="C270" t="s">
        <v>115</v>
      </c>
      <c r="D270" t="s">
        <v>635</v>
      </c>
      <c r="E270">
        <v>2</v>
      </c>
      <c r="F270">
        <v>425</v>
      </c>
      <c r="G270">
        <v>141</v>
      </c>
      <c r="H270">
        <v>7679</v>
      </c>
      <c r="I270">
        <v>0.99715180831920303</v>
      </c>
      <c r="J270">
        <v>1</v>
      </c>
      <c r="K270">
        <v>0.25628702544847698</v>
      </c>
      <c r="L270" t="s">
        <v>1391</v>
      </c>
      <c r="M270" t="str">
        <f>HYPERLINK("../../3.KEGG_map/SCI_I-vs-NC-Down/rno05418.html","rno05418")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096E-2708-46C8-B307-59563712DA01}">
  <dimension ref="A1:M272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6</v>
      </c>
      <c r="F2">
        <v>444</v>
      </c>
      <c r="G2">
        <v>64</v>
      </c>
      <c r="H2">
        <v>7679</v>
      </c>
      <c r="I2">
        <v>0.16352215398293199</v>
      </c>
      <c r="J2">
        <v>0.48826199337027898</v>
      </c>
      <c r="K2">
        <v>1.6214104729729699</v>
      </c>
      <c r="L2" t="s">
        <v>1392</v>
      </c>
      <c r="M2" t="str">
        <f>HYPERLINK("../../3.KEGG_map/SCI_II-vs-NC-Down/rno00010.html","rno00010")</f>
        <v>rno00010</v>
      </c>
    </row>
    <row r="3" spans="1:13" x14ac:dyDescent="0.25">
      <c r="A3" t="s">
        <v>1073</v>
      </c>
      <c r="B3" t="s">
        <v>1074</v>
      </c>
      <c r="C3" t="s">
        <v>15</v>
      </c>
      <c r="D3" t="s">
        <v>16</v>
      </c>
      <c r="E3">
        <v>2</v>
      </c>
      <c r="F3">
        <v>444</v>
      </c>
      <c r="G3">
        <v>29</v>
      </c>
      <c r="H3">
        <v>7679</v>
      </c>
      <c r="I3">
        <v>0.50620862089596397</v>
      </c>
      <c r="J3">
        <v>0.96825295804851697</v>
      </c>
      <c r="K3">
        <v>1.1927617272444899</v>
      </c>
      <c r="L3" t="s">
        <v>1393</v>
      </c>
      <c r="M3" t="str">
        <f>HYPERLINK("../../3.KEGG_map/SCI_II-vs-NC-Down/rno00030.html","rno00030")</f>
        <v>rno00030</v>
      </c>
    </row>
    <row r="4" spans="1:13" x14ac:dyDescent="0.25">
      <c r="A4" t="s">
        <v>1077</v>
      </c>
      <c r="B4" t="s">
        <v>1078</v>
      </c>
      <c r="C4" t="s">
        <v>15</v>
      </c>
      <c r="D4" t="s">
        <v>16</v>
      </c>
      <c r="E4">
        <v>1</v>
      </c>
      <c r="F4">
        <v>444</v>
      </c>
      <c r="G4">
        <v>34</v>
      </c>
      <c r="H4">
        <v>7679</v>
      </c>
      <c r="I4">
        <v>0.86859903430068797</v>
      </c>
      <c r="J4">
        <v>1</v>
      </c>
      <c r="K4">
        <v>0.50867779544250102</v>
      </c>
      <c r="L4" t="s">
        <v>1394</v>
      </c>
      <c r="M4" t="str">
        <f>HYPERLINK("../../3.KEGG_map/SCI_II-vs-NC-Down/rno00051.html","rno00051")</f>
        <v>rno00051</v>
      </c>
    </row>
    <row r="5" spans="1:13" x14ac:dyDescent="0.25">
      <c r="A5" t="s">
        <v>1395</v>
      </c>
      <c r="B5" t="s">
        <v>1396</v>
      </c>
      <c r="C5" t="s">
        <v>15</v>
      </c>
      <c r="D5" t="s">
        <v>16</v>
      </c>
      <c r="E5">
        <v>1</v>
      </c>
      <c r="F5">
        <v>444</v>
      </c>
      <c r="G5">
        <v>30</v>
      </c>
      <c r="H5">
        <v>7679</v>
      </c>
      <c r="I5">
        <v>0.83308235069510395</v>
      </c>
      <c r="J5">
        <v>1</v>
      </c>
      <c r="K5">
        <v>0.57650150150150103</v>
      </c>
      <c r="L5" t="s">
        <v>1397</v>
      </c>
      <c r="M5" t="str">
        <f>HYPERLINK("../../3.KEGG_map/SCI_II-vs-NC-Down/rno00052.html","rno00052")</f>
        <v>rno00052</v>
      </c>
    </row>
    <row r="6" spans="1:13" x14ac:dyDescent="0.25">
      <c r="A6" t="s">
        <v>21</v>
      </c>
      <c r="B6" t="s">
        <v>22</v>
      </c>
      <c r="C6" t="s">
        <v>15</v>
      </c>
      <c r="D6" t="s">
        <v>16</v>
      </c>
      <c r="E6">
        <v>1</v>
      </c>
      <c r="F6">
        <v>444</v>
      </c>
      <c r="G6">
        <v>26</v>
      </c>
      <c r="H6">
        <v>7679</v>
      </c>
      <c r="I6">
        <v>0.78799310359469199</v>
      </c>
      <c r="J6">
        <v>1</v>
      </c>
      <c r="K6">
        <v>0.66519404019404005</v>
      </c>
      <c r="L6" t="s">
        <v>1398</v>
      </c>
      <c r="M6" t="str">
        <f>HYPERLINK("../../3.KEGG_map/SCI_II-vs-NC-Down/rno00053.html","rno00053")</f>
        <v>rno00053</v>
      </c>
    </row>
    <row r="7" spans="1:13" x14ac:dyDescent="0.25">
      <c r="A7" t="s">
        <v>1081</v>
      </c>
      <c r="B7" t="s">
        <v>1082</v>
      </c>
      <c r="C7" t="s">
        <v>15</v>
      </c>
      <c r="D7" t="s">
        <v>25</v>
      </c>
      <c r="E7">
        <v>3</v>
      </c>
      <c r="F7">
        <v>444</v>
      </c>
      <c r="G7">
        <v>13</v>
      </c>
      <c r="H7">
        <v>7679</v>
      </c>
      <c r="I7">
        <v>3.5577009474648501E-2</v>
      </c>
      <c r="J7">
        <v>0.15550596076822201</v>
      </c>
      <c r="K7">
        <v>3.9911642411642401</v>
      </c>
      <c r="L7" t="s">
        <v>1399</v>
      </c>
      <c r="M7" t="str">
        <f>HYPERLINK("../../3.KEGG_map/SCI_II-vs-NC-Down/rno00061.html","rno00061")</f>
        <v>rno00061</v>
      </c>
    </row>
    <row r="8" spans="1:13" x14ac:dyDescent="0.25">
      <c r="A8" t="s">
        <v>1084</v>
      </c>
      <c r="B8" t="s">
        <v>1085</v>
      </c>
      <c r="C8" t="s">
        <v>15</v>
      </c>
      <c r="D8" t="s">
        <v>25</v>
      </c>
      <c r="E8">
        <v>3</v>
      </c>
      <c r="F8">
        <v>444</v>
      </c>
      <c r="G8">
        <v>28</v>
      </c>
      <c r="H8">
        <v>7679</v>
      </c>
      <c r="I8">
        <v>0.218255167288124</v>
      </c>
      <c r="J8">
        <v>0.56467070032746502</v>
      </c>
      <c r="K8">
        <v>1.8530405405405399</v>
      </c>
      <c r="L8" t="s">
        <v>1400</v>
      </c>
      <c r="M8" t="str">
        <f>HYPERLINK("../../3.KEGG_map/SCI_II-vs-NC-Down/rno00062.html","rno00062")</f>
        <v>rno00062</v>
      </c>
    </row>
    <row r="9" spans="1:13" x14ac:dyDescent="0.25">
      <c r="A9" t="s">
        <v>1087</v>
      </c>
      <c r="B9" t="s">
        <v>1088</v>
      </c>
      <c r="C9" t="s">
        <v>15</v>
      </c>
      <c r="D9" t="s">
        <v>25</v>
      </c>
      <c r="E9">
        <v>4</v>
      </c>
      <c r="F9">
        <v>444</v>
      </c>
      <c r="G9">
        <v>44</v>
      </c>
      <c r="H9">
        <v>7679</v>
      </c>
      <c r="I9">
        <v>0.24851576820447199</v>
      </c>
      <c r="J9">
        <v>0.623590492439</v>
      </c>
      <c r="K9">
        <v>1.57227682227682</v>
      </c>
      <c r="L9" t="s">
        <v>1401</v>
      </c>
      <c r="M9" t="str">
        <f>HYPERLINK("../../3.KEGG_map/SCI_II-vs-NC-Down/rno00071.html","rno00071")</f>
        <v>rno00071</v>
      </c>
    </row>
    <row r="10" spans="1:13" x14ac:dyDescent="0.25">
      <c r="A10" t="s">
        <v>1093</v>
      </c>
      <c r="B10" t="s">
        <v>1094</v>
      </c>
      <c r="C10" t="s">
        <v>15</v>
      </c>
      <c r="D10" t="s">
        <v>25</v>
      </c>
      <c r="E10">
        <v>1</v>
      </c>
      <c r="F10">
        <v>444</v>
      </c>
      <c r="G10">
        <v>19</v>
      </c>
      <c r="H10">
        <v>7679</v>
      </c>
      <c r="I10">
        <v>0.67793093989479802</v>
      </c>
      <c r="J10">
        <v>1</v>
      </c>
      <c r="K10">
        <v>0.91026552868658095</v>
      </c>
      <c r="L10" t="s">
        <v>1095</v>
      </c>
      <c r="M10" t="str">
        <f>HYPERLINK("../../3.KEGG_map/SCI_II-vs-NC-Down/rno00100.html","rno00100")</f>
        <v>rno00100</v>
      </c>
    </row>
    <row r="11" spans="1:13" x14ac:dyDescent="0.25">
      <c r="A11" t="s">
        <v>1096</v>
      </c>
      <c r="B11" t="s">
        <v>1097</v>
      </c>
      <c r="C11" t="s">
        <v>15</v>
      </c>
      <c r="D11" t="s">
        <v>25</v>
      </c>
      <c r="E11">
        <v>2</v>
      </c>
      <c r="F11">
        <v>444</v>
      </c>
      <c r="G11">
        <v>16</v>
      </c>
      <c r="H11">
        <v>7679</v>
      </c>
      <c r="I11">
        <v>0.23572099179119901</v>
      </c>
      <c r="J11">
        <v>0.59701297920948504</v>
      </c>
      <c r="K11">
        <v>2.16188063063063</v>
      </c>
      <c r="L11" t="s">
        <v>1402</v>
      </c>
      <c r="M11" t="str">
        <f>HYPERLINK("../../3.KEGG_map/SCI_II-vs-NC-Down/rno00120.html","rno00120")</f>
        <v>rno00120</v>
      </c>
    </row>
    <row r="12" spans="1:13" x14ac:dyDescent="0.25">
      <c r="A12" t="s">
        <v>23</v>
      </c>
      <c r="B12" t="s">
        <v>24</v>
      </c>
      <c r="C12" t="s">
        <v>15</v>
      </c>
      <c r="D12" t="s">
        <v>25</v>
      </c>
      <c r="E12">
        <v>7</v>
      </c>
      <c r="F12">
        <v>444</v>
      </c>
      <c r="G12">
        <v>75</v>
      </c>
      <c r="H12">
        <v>7679</v>
      </c>
      <c r="I12">
        <v>0.141490940547771</v>
      </c>
      <c r="J12">
        <v>0.440736148143058</v>
      </c>
      <c r="K12">
        <v>1.6142042042042</v>
      </c>
      <c r="L12" t="s">
        <v>1403</v>
      </c>
      <c r="M12" t="str">
        <f>HYPERLINK("../../3.KEGG_map/SCI_II-vs-NC-Down/rno00140.html","rno00140")</f>
        <v>rno00140</v>
      </c>
    </row>
    <row r="13" spans="1:13" x14ac:dyDescent="0.25">
      <c r="A13" t="s">
        <v>649</v>
      </c>
      <c r="B13" t="s">
        <v>650</v>
      </c>
      <c r="C13" t="s">
        <v>15</v>
      </c>
      <c r="D13" t="s">
        <v>651</v>
      </c>
      <c r="E13">
        <v>3</v>
      </c>
      <c r="F13">
        <v>444</v>
      </c>
      <c r="G13">
        <v>119</v>
      </c>
      <c r="H13">
        <v>7679</v>
      </c>
      <c r="I13">
        <v>0.97183065178425898</v>
      </c>
      <c r="J13">
        <v>1</v>
      </c>
      <c r="K13">
        <v>0.43600953895071498</v>
      </c>
      <c r="L13" t="s">
        <v>1404</v>
      </c>
      <c r="M13" t="str">
        <f>HYPERLINK("../../3.KEGG_map/SCI_II-vs-NC-Down/rno00190.html","rno00190")</f>
        <v>rno00190</v>
      </c>
    </row>
    <row r="14" spans="1:13" x14ac:dyDescent="0.25">
      <c r="A14" t="s">
        <v>27</v>
      </c>
      <c r="B14" t="s">
        <v>28</v>
      </c>
      <c r="C14" t="s">
        <v>15</v>
      </c>
      <c r="D14" t="s">
        <v>29</v>
      </c>
      <c r="E14">
        <v>1</v>
      </c>
      <c r="F14">
        <v>444</v>
      </c>
      <c r="G14">
        <v>19</v>
      </c>
      <c r="H14">
        <v>7679</v>
      </c>
      <c r="I14">
        <v>0.67793093989479802</v>
      </c>
      <c r="J14">
        <v>1</v>
      </c>
      <c r="K14">
        <v>0.91026552868658095</v>
      </c>
      <c r="L14" t="s">
        <v>1405</v>
      </c>
      <c r="M14" t="str">
        <f>HYPERLINK("../../3.KEGG_map/SCI_II-vs-NC-Down/rno00220.html","rno00220")</f>
        <v>rno00220</v>
      </c>
    </row>
    <row r="15" spans="1:13" x14ac:dyDescent="0.25">
      <c r="A15" t="s">
        <v>31</v>
      </c>
      <c r="B15" t="s">
        <v>32</v>
      </c>
      <c r="C15" t="s">
        <v>15</v>
      </c>
      <c r="D15" t="s">
        <v>33</v>
      </c>
      <c r="E15">
        <v>13</v>
      </c>
      <c r="F15">
        <v>444</v>
      </c>
      <c r="G15">
        <v>169</v>
      </c>
      <c r="H15">
        <v>7679</v>
      </c>
      <c r="I15">
        <v>0.17890821535746201</v>
      </c>
      <c r="J15">
        <v>0.51578857831778901</v>
      </c>
      <c r="K15">
        <v>1.3303880803880801</v>
      </c>
      <c r="L15" t="s">
        <v>1406</v>
      </c>
      <c r="M15" t="str">
        <f>HYPERLINK("../../3.KEGG_map/SCI_II-vs-NC-Down/rno00230.html","rno00230")</f>
        <v>rno00230</v>
      </c>
    </row>
    <row r="16" spans="1:13" x14ac:dyDescent="0.25">
      <c r="A16" t="s">
        <v>35</v>
      </c>
      <c r="B16" t="s">
        <v>36</v>
      </c>
      <c r="C16" t="s">
        <v>15</v>
      </c>
      <c r="D16" t="s">
        <v>33</v>
      </c>
      <c r="E16">
        <v>2</v>
      </c>
      <c r="F16">
        <v>444</v>
      </c>
      <c r="G16">
        <v>96</v>
      </c>
      <c r="H16">
        <v>7679</v>
      </c>
      <c r="I16">
        <v>0.97791460463107005</v>
      </c>
      <c r="J16">
        <v>1</v>
      </c>
      <c r="K16">
        <v>0.36031343843843799</v>
      </c>
      <c r="L16" t="s">
        <v>1407</v>
      </c>
      <c r="M16" t="str">
        <f>HYPERLINK("../../3.KEGG_map/SCI_II-vs-NC-Down/rno00240.html","rno00240")</f>
        <v>rno00240</v>
      </c>
    </row>
    <row r="17" spans="1:13" x14ac:dyDescent="0.25">
      <c r="A17" t="s">
        <v>38</v>
      </c>
      <c r="B17" t="s">
        <v>39</v>
      </c>
      <c r="C17" t="s">
        <v>15</v>
      </c>
      <c r="D17" t="s">
        <v>29</v>
      </c>
      <c r="E17">
        <v>3</v>
      </c>
      <c r="F17">
        <v>444</v>
      </c>
      <c r="G17">
        <v>35</v>
      </c>
      <c r="H17">
        <v>7679</v>
      </c>
      <c r="I17">
        <v>0.32983110695465401</v>
      </c>
      <c r="J17">
        <v>0.75749347444670601</v>
      </c>
      <c r="K17">
        <v>1.4824324324324301</v>
      </c>
      <c r="L17" t="s">
        <v>1408</v>
      </c>
      <c r="M17" t="str">
        <f>HYPERLINK("../../3.KEGG_map/SCI_II-vs-NC-Down/rno00250.html","rno00250")</f>
        <v>rno00250</v>
      </c>
    </row>
    <row r="18" spans="1:13" x14ac:dyDescent="0.25">
      <c r="A18" t="s">
        <v>1104</v>
      </c>
      <c r="B18" t="s">
        <v>1105</v>
      </c>
      <c r="C18" t="s">
        <v>15</v>
      </c>
      <c r="D18" t="s">
        <v>29</v>
      </c>
      <c r="E18">
        <v>5</v>
      </c>
      <c r="F18">
        <v>444</v>
      </c>
      <c r="G18">
        <v>38</v>
      </c>
      <c r="H18">
        <v>7679</v>
      </c>
      <c r="I18">
        <v>6.5882748645457206E-2</v>
      </c>
      <c r="J18">
        <v>0.24797534559609599</v>
      </c>
      <c r="K18">
        <v>2.2756638217164502</v>
      </c>
      <c r="L18" t="s">
        <v>1409</v>
      </c>
      <c r="M18" t="str">
        <f>HYPERLINK("../../3.KEGG_map/SCI_II-vs-NC-Down/rno00260.html","rno00260")</f>
        <v>rno00260</v>
      </c>
    </row>
    <row r="19" spans="1:13" x14ac:dyDescent="0.25">
      <c r="A19" t="s">
        <v>40</v>
      </c>
      <c r="B19" t="s">
        <v>41</v>
      </c>
      <c r="C19" t="s">
        <v>15</v>
      </c>
      <c r="D19" t="s">
        <v>29</v>
      </c>
      <c r="E19">
        <v>2</v>
      </c>
      <c r="F19">
        <v>444</v>
      </c>
      <c r="G19">
        <v>45</v>
      </c>
      <c r="H19">
        <v>7679</v>
      </c>
      <c r="I19">
        <v>0.74302516510175598</v>
      </c>
      <c r="J19">
        <v>1</v>
      </c>
      <c r="K19">
        <v>0.76866866866866901</v>
      </c>
      <c r="L19" t="s">
        <v>1410</v>
      </c>
      <c r="M19" t="str">
        <f>HYPERLINK("../../3.KEGG_map/SCI_II-vs-NC-Down/rno00270.html","rno00270")</f>
        <v>rno00270</v>
      </c>
    </row>
    <row r="20" spans="1:13" x14ac:dyDescent="0.25">
      <c r="A20" t="s">
        <v>655</v>
      </c>
      <c r="B20" t="s">
        <v>656</v>
      </c>
      <c r="C20" t="s">
        <v>15</v>
      </c>
      <c r="D20" t="s">
        <v>29</v>
      </c>
      <c r="E20">
        <v>5</v>
      </c>
      <c r="F20">
        <v>444</v>
      </c>
      <c r="G20">
        <v>53</v>
      </c>
      <c r="H20">
        <v>7679</v>
      </c>
      <c r="I20">
        <v>0.19018055042090001</v>
      </c>
      <c r="J20">
        <v>0.525907440449631</v>
      </c>
      <c r="K20">
        <v>1.6316080231174599</v>
      </c>
      <c r="L20" t="s">
        <v>1108</v>
      </c>
      <c r="M20" t="str">
        <f>HYPERLINK("../../3.KEGG_map/SCI_II-vs-NC-Down/rno00280.html","rno00280")</f>
        <v>rno00280</v>
      </c>
    </row>
    <row r="21" spans="1:13" x14ac:dyDescent="0.25">
      <c r="A21" t="s">
        <v>42</v>
      </c>
      <c r="B21" t="s">
        <v>43</v>
      </c>
      <c r="C21" t="s">
        <v>15</v>
      </c>
      <c r="D21" t="s">
        <v>29</v>
      </c>
      <c r="E21">
        <v>5</v>
      </c>
      <c r="F21">
        <v>444</v>
      </c>
      <c r="G21">
        <v>54</v>
      </c>
      <c r="H21">
        <v>7679</v>
      </c>
      <c r="I21">
        <v>0.20041619306698299</v>
      </c>
      <c r="J21">
        <v>0.53916475893087601</v>
      </c>
      <c r="K21">
        <v>1.6013930597263899</v>
      </c>
      <c r="L21" t="s">
        <v>1411</v>
      </c>
      <c r="M21" t="str">
        <f>HYPERLINK("../../3.KEGG_map/SCI_II-vs-NC-Down/rno00310.html","rno00310")</f>
        <v>rno00310</v>
      </c>
    </row>
    <row r="22" spans="1:13" x14ac:dyDescent="0.25">
      <c r="A22" t="s">
        <v>1110</v>
      </c>
      <c r="B22" t="s">
        <v>1111</v>
      </c>
      <c r="C22" t="s">
        <v>15</v>
      </c>
      <c r="D22" t="s">
        <v>29</v>
      </c>
      <c r="E22">
        <v>7</v>
      </c>
      <c r="F22">
        <v>444</v>
      </c>
      <c r="G22">
        <v>48</v>
      </c>
      <c r="H22">
        <v>7679</v>
      </c>
      <c r="I22">
        <v>1.9378041062627801E-2</v>
      </c>
      <c r="J22">
        <v>0.11669886951049201</v>
      </c>
      <c r="K22">
        <v>2.5221940690690698</v>
      </c>
      <c r="L22" t="s">
        <v>1412</v>
      </c>
      <c r="M22" t="str">
        <f>HYPERLINK("../../3.KEGG_map/SCI_II-vs-NC-Down/rno00330.html","rno00330")</f>
        <v>rno00330</v>
      </c>
    </row>
    <row r="23" spans="1:13" x14ac:dyDescent="0.25">
      <c r="A23" t="s">
        <v>1113</v>
      </c>
      <c r="B23" t="s">
        <v>1114</v>
      </c>
      <c r="C23" t="s">
        <v>15</v>
      </c>
      <c r="D23" t="s">
        <v>29</v>
      </c>
      <c r="E23">
        <v>4</v>
      </c>
      <c r="F23">
        <v>444</v>
      </c>
      <c r="G23">
        <v>23</v>
      </c>
      <c r="H23">
        <v>7679</v>
      </c>
      <c r="I23">
        <v>4.0715854630793601E-2</v>
      </c>
      <c r="J23">
        <v>0.172406196952267</v>
      </c>
      <c r="K23">
        <v>3.0078339208773999</v>
      </c>
      <c r="L23" t="s">
        <v>1413</v>
      </c>
      <c r="M23" t="str">
        <f>HYPERLINK("../../3.KEGG_map/SCI_II-vs-NC-Down/rno00340.html","rno00340")</f>
        <v>rno00340</v>
      </c>
    </row>
    <row r="24" spans="1:13" x14ac:dyDescent="0.25">
      <c r="A24" t="s">
        <v>1116</v>
      </c>
      <c r="B24" t="s">
        <v>1117</v>
      </c>
      <c r="C24" t="s">
        <v>15</v>
      </c>
      <c r="D24" t="s">
        <v>29</v>
      </c>
      <c r="E24">
        <v>9</v>
      </c>
      <c r="F24">
        <v>444</v>
      </c>
      <c r="G24">
        <v>38</v>
      </c>
      <c r="H24">
        <v>7679</v>
      </c>
      <c r="I24">
        <v>2.4106003976256501E-4</v>
      </c>
      <c r="J24">
        <v>3.8427806338620701E-3</v>
      </c>
      <c r="K24">
        <v>4.0961948790896203</v>
      </c>
      <c r="L24" t="s">
        <v>1414</v>
      </c>
      <c r="M24" t="str">
        <f>HYPERLINK("../../3.KEGG_map/SCI_II-vs-NC-Down/rno00350.html","rno00350")</f>
        <v>rno00350</v>
      </c>
    </row>
    <row r="25" spans="1:13" x14ac:dyDescent="0.25">
      <c r="A25" t="s">
        <v>1119</v>
      </c>
      <c r="B25" t="s">
        <v>1120</v>
      </c>
      <c r="C25" t="s">
        <v>15</v>
      </c>
      <c r="D25" t="s">
        <v>29</v>
      </c>
      <c r="E25">
        <v>5</v>
      </c>
      <c r="F25">
        <v>444</v>
      </c>
      <c r="G25">
        <v>20</v>
      </c>
      <c r="H25">
        <v>7679</v>
      </c>
      <c r="I25">
        <v>4.7484183334216704E-3</v>
      </c>
      <c r="J25">
        <v>3.8994586919917397E-2</v>
      </c>
      <c r="K25">
        <v>4.3237612612612599</v>
      </c>
      <c r="L25" t="s">
        <v>1415</v>
      </c>
      <c r="M25" t="str">
        <f>HYPERLINK("../../3.KEGG_map/SCI_II-vs-NC-Down/rno00360.html","rno00360")</f>
        <v>rno00360</v>
      </c>
    </row>
    <row r="26" spans="1:13" x14ac:dyDescent="0.25">
      <c r="A26" t="s">
        <v>1122</v>
      </c>
      <c r="B26" t="s">
        <v>1123</v>
      </c>
      <c r="C26" t="s">
        <v>15</v>
      </c>
      <c r="D26" t="s">
        <v>29</v>
      </c>
      <c r="E26">
        <v>7</v>
      </c>
      <c r="F26">
        <v>444</v>
      </c>
      <c r="G26">
        <v>45</v>
      </c>
      <c r="H26">
        <v>7679</v>
      </c>
      <c r="I26">
        <v>1.3847420923121899E-2</v>
      </c>
      <c r="J26">
        <v>8.7270955120140603E-2</v>
      </c>
      <c r="K26">
        <v>2.6903403403403399</v>
      </c>
      <c r="L26" t="s">
        <v>1416</v>
      </c>
      <c r="M26" t="str">
        <f>HYPERLINK("../../3.KEGG_map/SCI_II-vs-NC-Down/rno00380.html","rno00380")</f>
        <v>rno00380</v>
      </c>
    </row>
    <row r="27" spans="1:13" x14ac:dyDescent="0.25">
      <c r="A27" t="s">
        <v>659</v>
      </c>
      <c r="B27" t="s">
        <v>660</v>
      </c>
      <c r="C27" t="s">
        <v>15</v>
      </c>
      <c r="D27" t="s">
        <v>47</v>
      </c>
      <c r="E27">
        <v>6</v>
      </c>
      <c r="F27">
        <v>444</v>
      </c>
      <c r="G27">
        <v>30</v>
      </c>
      <c r="H27">
        <v>7679</v>
      </c>
      <c r="I27">
        <v>6.5424759171291104E-3</v>
      </c>
      <c r="J27">
        <v>5.2147381574764402E-2</v>
      </c>
      <c r="K27">
        <v>3.45900900900901</v>
      </c>
      <c r="L27" t="s">
        <v>1417</v>
      </c>
      <c r="M27" t="str">
        <f>HYPERLINK("../../3.KEGG_map/SCI_II-vs-NC-Down/rno00410.html","rno00410")</f>
        <v>rno00410</v>
      </c>
    </row>
    <row r="28" spans="1:13" x14ac:dyDescent="0.25">
      <c r="A28" t="s">
        <v>1418</v>
      </c>
      <c r="B28" t="s">
        <v>1419</v>
      </c>
      <c r="C28" t="s">
        <v>15</v>
      </c>
      <c r="D28" t="s">
        <v>47</v>
      </c>
      <c r="E28">
        <v>1</v>
      </c>
      <c r="F28">
        <v>444</v>
      </c>
      <c r="G28">
        <v>17</v>
      </c>
      <c r="H28">
        <v>7679</v>
      </c>
      <c r="I28">
        <v>0.63708657600513696</v>
      </c>
      <c r="J28">
        <v>1</v>
      </c>
      <c r="K28">
        <v>1.017355590885</v>
      </c>
      <c r="L28" t="s">
        <v>1420</v>
      </c>
      <c r="M28" t="str">
        <f>HYPERLINK("../../3.KEGG_map/SCI_II-vs-NC-Down/rno00450.html","rno00450")</f>
        <v>rno00450</v>
      </c>
    </row>
    <row r="29" spans="1:13" x14ac:dyDescent="0.25">
      <c r="A29" t="s">
        <v>45</v>
      </c>
      <c r="B29" t="s">
        <v>46</v>
      </c>
      <c r="C29" t="s">
        <v>15</v>
      </c>
      <c r="D29" t="s">
        <v>47</v>
      </c>
      <c r="E29">
        <v>4</v>
      </c>
      <c r="F29">
        <v>444</v>
      </c>
      <c r="G29">
        <v>58</v>
      </c>
      <c r="H29">
        <v>7679</v>
      </c>
      <c r="I29">
        <v>0.43400587991380601</v>
      </c>
      <c r="J29">
        <v>0.90473533428185604</v>
      </c>
      <c r="K29">
        <v>1.1927617272444899</v>
      </c>
      <c r="L29" t="s">
        <v>1421</v>
      </c>
      <c r="M29" t="str">
        <f>HYPERLINK("../../3.KEGG_map/SCI_II-vs-NC-Down/rno00480.html","rno00480")</f>
        <v>rno00480</v>
      </c>
    </row>
    <row r="30" spans="1:13" x14ac:dyDescent="0.25">
      <c r="A30" t="s">
        <v>662</v>
      </c>
      <c r="B30" t="s">
        <v>663</v>
      </c>
      <c r="C30" t="s">
        <v>15</v>
      </c>
      <c r="D30" t="s">
        <v>16</v>
      </c>
      <c r="E30">
        <v>2</v>
      </c>
      <c r="F30">
        <v>444</v>
      </c>
      <c r="G30">
        <v>29</v>
      </c>
      <c r="H30">
        <v>7679</v>
      </c>
      <c r="I30">
        <v>0.50620862089596397</v>
      </c>
      <c r="J30">
        <v>0.96825295804851697</v>
      </c>
      <c r="K30">
        <v>1.1927617272444899</v>
      </c>
      <c r="L30" t="s">
        <v>1422</v>
      </c>
      <c r="M30" t="str">
        <f>HYPERLINK("../../3.KEGG_map/SCI_II-vs-NC-Down/rno00500.html","rno00500")</f>
        <v>rno00500</v>
      </c>
    </row>
    <row r="31" spans="1:13" x14ac:dyDescent="0.25">
      <c r="A31" t="s">
        <v>885</v>
      </c>
      <c r="B31" t="s">
        <v>886</v>
      </c>
      <c r="C31" t="s">
        <v>15</v>
      </c>
      <c r="D31" t="s">
        <v>51</v>
      </c>
      <c r="E31">
        <v>1</v>
      </c>
      <c r="F31">
        <v>444</v>
      </c>
      <c r="G31">
        <v>48</v>
      </c>
      <c r="H31">
        <v>7679</v>
      </c>
      <c r="I31">
        <v>0.94318095568044003</v>
      </c>
      <c r="J31">
        <v>1</v>
      </c>
      <c r="K31">
        <v>0.36031343843843799</v>
      </c>
      <c r="L31" t="s">
        <v>1128</v>
      </c>
      <c r="M31" t="str">
        <f>HYPERLINK("../../3.KEGG_map/SCI_II-vs-NC-Down/rno00510.html","rno00510")</f>
        <v>rno00510</v>
      </c>
    </row>
    <row r="32" spans="1:13" x14ac:dyDescent="0.25">
      <c r="A32" t="s">
        <v>1423</v>
      </c>
      <c r="B32" t="s">
        <v>1424</v>
      </c>
      <c r="C32" t="s">
        <v>15</v>
      </c>
      <c r="D32" t="s">
        <v>51</v>
      </c>
      <c r="E32">
        <v>1</v>
      </c>
      <c r="F32">
        <v>444</v>
      </c>
      <c r="G32">
        <v>19</v>
      </c>
      <c r="H32">
        <v>7679</v>
      </c>
      <c r="I32">
        <v>0.67793093989479802</v>
      </c>
      <c r="J32">
        <v>1</v>
      </c>
      <c r="K32">
        <v>0.91026552868658095</v>
      </c>
      <c r="L32" t="s">
        <v>1425</v>
      </c>
      <c r="M32" t="str">
        <f>HYPERLINK("../../3.KEGG_map/SCI_II-vs-NC-Down/rno00511.html","rno00511")</f>
        <v>rno00511</v>
      </c>
    </row>
    <row r="33" spans="1:13" x14ac:dyDescent="0.25">
      <c r="A33" t="s">
        <v>888</v>
      </c>
      <c r="B33" t="s">
        <v>889</v>
      </c>
      <c r="C33" t="s">
        <v>15</v>
      </c>
      <c r="D33" t="s">
        <v>51</v>
      </c>
      <c r="E33">
        <v>3</v>
      </c>
      <c r="F33">
        <v>444</v>
      </c>
      <c r="G33">
        <v>27</v>
      </c>
      <c r="H33">
        <v>7679</v>
      </c>
      <c r="I33">
        <v>0.202932861295016</v>
      </c>
      <c r="J33">
        <v>0.53916475893087601</v>
      </c>
      <c r="K33">
        <v>1.92167167167167</v>
      </c>
      <c r="L33" t="s">
        <v>1426</v>
      </c>
      <c r="M33" t="str">
        <f>HYPERLINK("../../3.KEGG_map/SCI_II-vs-NC-Down/rno00512.html","rno00512")</f>
        <v>rno00512</v>
      </c>
    </row>
    <row r="34" spans="1:13" x14ac:dyDescent="0.25">
      <c r="A34" t="s">
        <v>49</v>
      </c>
      <c r="B34" t="s">
        <v>50</v>
      </c>
      <c r="C34" t="s">
        <v>15</v>
      </c>
      <c r="D34" t="s">
        <v>51</v>
      </c>
      <c r="E34">
        <v>2</v>
      </c>
      <c r="F34">
        <v>444</v>
      </c>
      <c r="G34">
        <v>22</v>
      </c>
      <c r="H34">
        <v>7679</v>
      </c>
      <c r="I34">
        <v>0.36619669250838399</v>
      </c>
      <c r="J34">
        <v>0.805187633328451</v>
      </c>
      <c r="K34">
        <v>1.57227682227682</v>
      </c>
      <c r="L34" t="s">
        <v>1427</v>
      </c>
      <c r="M34" t="str">
        <f>HYPERLINK("../../3.KEGG_map/SCI_II-vs-NC-Down/rno00514.html","rno00514")</f>
        <v>rno00514</v>
      </c>
    </row>
    <row r="35" spans="1:13" x14ac:dyDescent="0.25">
      <c r="A35" t="s">
        <v>53</v>
      </c>
      <c r="B35" t="s">
        <v>54</v>
      </c>
      <c r="C35" t="s">
        <v>15</v>
      </c>
      <c r="D35" t="s">
        <v>16</v>
      </c>
      <c r="E35">
        <v>2</v>
      </c>
      <c r="F35">
        <v>444</v>
      </c>
      <c r="G35">
        <v>47</v>
      </c>
      <c r="H35">
        <v>7679</v>
      </c>
      <c r="I35">
        <v>0.76455093695190401</v>
      </c>
      <c r="J35">
        <v>1</v>
      </c>
      <c r="K35">
        <v>0.73595936361893799</v>
      </c>
      <c r="L35" t="s">
        <v>1130</v>
      </c>
      <c r="M35" t="str">
        <f>HYPERLINK("../../3.KEGG_map/SCI_II-vs-NC-Down/rno00520.html","rno00520")</f>
        <v>rno00520</v>
      </c>
    </row>
    <row r="36" spans="1:13" x14ac:dyDescent="0.25">
      <c r="A36" t="s">
        <v>1131</v>
      </c>
      <c r="B36" t="s">
        <v>1132</v>
      </c>
      <c r="C36" t="s">
        <v>15</v>
      </c>
      <c r="D36" t="s">
        <v>51</v>
      </c>
      <c r="E36">
        <v>1</v>
      </c>
      <c r="F36">
        <v>444</v>
      </c>
      <c r="G36">
        <v>20</v>
      </c>
      <c r="H36">
        <v>7679</v>
      </c>
      <c r="I36">
        <v>0.69659917262152204</v>
      </c>
      <c r="J36">
        <v>1</v>
      </c>
      <c r="K36">
        <v>0.86475225225225205</v>
      </c>
      <c r="L36" t="s">
        <v>1133</v>
      </c>
      <c r="M36" t="str">
        <f>HYPERLINK("../../3.KEGG_map/SCI_II-vs-NC-Down/rno00531.html","rno00531")</f>
        <v>rno00531</v>
      </c>
    </row>
    <row r="37" spans="1:13" x14ac:dyDescent="0.25">
      <c r="A37" t="s">
        <v>56</v>
      </c>
      <c r="B37" t="s">
        <v>57</v>
      </c>
      <c r="C37" t="s">
        <v>15</v>
      </c>
      <c r="D37" t="s">
        <v>51</v>
      </c>
      <c r="E37">
        <v>2</v>
      </c>
      <c r="F37">
        <v>444</v>
      </c>
      <c r="G37">
        <v>21</v>
      </c>
      <c r="H37">
        <v>7679</v>
      </c>
      <c r="I37">
        <v>0.34483009740009901</v>
      </c>
      <c r="J37">
        <v>0.77874130329522395</v>
      </c>
      <c r="K37">
        <v>1.6471471471471499</v>
      </c>
      <c r="L37" t="s">
        <v>1428</v>
      </c>
      <c r="M37" t="str">
        <f>HYPERLINK("../../3.KEGG_map/SCI_II-vs-NC-Down/rno00532.html","rno00532")</f>
        <v>rno00532</v>
      </c>
    </row>
    <row r="38" spans="1:13" x14ac:dyDescent="0.25">
      <c r="A38" t="s">
        <v>1134</v>
      </c>
      <c r="B38" t="s">
        <v>1135</v>
      </c>
      <c r="C38" t="s">
        <v>15</v>
      </c>
      <c r="D38" t="s">
        <v>51</v>
      </c>
      <c r="E38">
        <v>3</v>
      </c>
      <c r="F38">
        <v>444</v>
      </c>
      <c r="G38">
        <v>25</v>
      </c>
      <c r="H38">
        <v>7679</v>
      </c>
      <c r="I38">
        <v>0.17313123098490199</v>
      </c>
      <c r="J38">
        <v>0.50450068383772595</v>
      </c>
      <c r="K38">
        <v>2.0754054054054101</v>
      </c>
      <c r="L38" t="s">
        <v>1136</v>
      </c>
      <c r="M38" t="str">
        <f>HYPERLINK("../../3.KEGG_map/SCI_II-vs-NC-Down/rno00534.html","rno00534")</f>
        <v>rno00534</v>
      </c>
    </row>
    <row r="39" spans="1:13" x14ac:dyDescent="0.25">
      <c r="A39" t="s">
        <v>59</v>
      </c>
      <c r="B39" t="s">
        <v>60</v>
      </c>
      <c r="C39" t="s">
        <v>15</v>
      </c>
      <c r="D39" t="s">
        <v>25</v>
      </c>
      <c r="E39">
        <v>5</v>
      </c>
      <c r="F39">
        <v>444</v>
      </c>
      <c r="G39">
        <v>61</v>
      </c>
      <c r="H39">
        <v>7679</v>
      </c>
      <c r="I39">
        <v>0.27648172525021902</v>
      </c>
      <c r="J39">
        <v>0.67501394182711205</v>
      </c>
      <c r="K39">
        <v>1.4176266430364799</v>
      </c>
      <c r="L39" t="s">
        <v>1429</v>
      </c>
      <c r="M39" t="str">
        <f>HYPERLINK("../../3.KEGG_map/SCI_II-vs-NC-Down/rno00561.html","rno00561")</f>
        <v>rno00561</v>
      </c>
    </row>
    <row r="40" spans="1:13" x14ac:dyDescent="0.25">
      <c r="A40" t="s">
        <v>62</v>
      </c>
      <c r="B40" t="s">
        <v>63</v>
      </c>
      <c r="C40" t="s">
        <v>15</v>
      </c>
      <c r="D40" t="s">
        <v>16</v>
      </c>
      <c r="E40">
        <v>7</v>
      </c>
      <c r="F40">
        <v>444</v>
      </c>
      <c r="G40">
        <v>73</v>
      </c>
      <c r="H40">
        <v>7679</v>
      </c>
      <c r="I40">
        <v>0.127731264269135</v>
      </c>
      <c r="J40">
        <v>0.422136251426042</v>
      </c>
      <c r="K40">
        <v>1.6584289769221301</v>
      </c>
      <c r="L40" t="s">
        <v>1430</v>
      </c>
      <c r="M40" t="str">
        <f>HYPERLINK("../../3.KEGG_map/SCI_II-vs-NC-Down/rno00562.html","rno00562")</f>
        <v>rno00562</v>
      </c>
    </row>
    <row r="41" spans="1:13" x14ac:dyDescent="0.25">
      <c r="A41" t="s">
        <v>68</v>
      </c>
      <c r="B41" t="s">
        <v>69</v>
      </c>
      <c r="C41" t="s">
        <v>15</v>
      </c>
      <c r="D41" t="s">
        <v>25</v>
      </c>
      <c r="E41">
        <v>8</v>
      </c>
      <c r="F41">
        <v>444</v>
      </c>
      <c r="G41">
        <v>96</v>
      </c>
      <c r="H41">
        <v>7679</v>
      </c>
      <c r="I41">
        <v>0.190112923036245</v>
      </c>
      <c r="J41">
        <v>0.525907440449631</v>
      </c>
      <c r="K41">
        <v>1.44125375375375</v>
      </c>
      <c r="L41" t="s">
        <v>1431</v>
      </c>
      <c r="M41" t="str">
        <f>HYPERLINK("../../3.KEGG_map/SCI_II-vs-NC-Down/rno00564.html","rno00564")</f>
        <v>rno00564</v>
      </c>
    </row>
    <row r="42" spans="1:13" x14ac:dyDescent="0.25">
      <c r="A42" t="s">
        <v>71</v>
      </c>
      <c r="B42" t="s">
        <v>72</v>
      </c>
      <c r="C42" t="s">
        <v>15</v>
      </c>
      <c r="D42" t="s">
        <v>25</v>
      </c>
      <c r="E42">
        <v>6</v>
      </c>
      <c r="F42">
        <v>444</v>
      </c>
      <c r="G42">
        <v>45</v>
      </c>
      <c r="H42">
        <v>7679</v>
      </c>
      <c r="I42">
        <v>4.3454249389919597E-2</v>
      </c>
      <c r="J42">
        <v>0.18117079361027999</v>
      </c>
      <c r="K42">
        <v>2.3060060060060099</v>
      </c>
      <c r="L42" t="s">
        <v>1432</v>
      </c>
      <c r="M42" t="str">
        <f>HYPERLINK("../../3.KEGG_map/SCI_II-vs-NC-Down/rno00565.html","rno00565")</f>
        <v>rno00565</v>
      </c>
    </row>
    <row r="43" spans="1:13" x14ac:dyDescent="0.25">
      <c r="A43" t="s">
        <v>74</v>
      </c>
      <c r="B43" t="s">
        <v>75</v>
      </c>
      <c r="C43" t="s">
        <v>15</v>
      </c>
      <c r="D43" t="s">
        <v>25</v>
      </c>
      <c r="E43">
        <v>9</v>
      </c>
      <c r="F43">
        <v>444</v>
      </c>
      <c r="G43">
        <v>77</v>
      </c>
      <c r="H43">
        <v>7679</v>
      </c>
      <c r="I43">
        <v>3.2715277199335001E-2</v>
      </c>
      <c r="J43">
        <v>0.15285931243137599</v>
      </c>
      <c r="K43">
        <v>2.02149877149877</v>
      </c>
      <c r="L43" t="s">
        <v>1433</v>
      </c>
      <c r="M43" t="str">
        <f>HYPERLINK("../../3.KEGG_map/SCI_II-vs-NC-Down/rno00590.html","rno00590")</f>
        <v>rno00590</v>
      </c>
    </row>
    <row r="44" spans="1:13" x14ac:dyDescent="0.25">
      <c r="A44" t="s">
        <v>77</v>
      </c>
      <c r="B44" t="s">
        <v>78</v>
      </c>
      <c r="C44" t="s">
        <v>15</v>
      </c>
      <c r="D44" t="s">
        <v>25</v>
      </c>
      <c r="E44">
        <v>6</v>
      </c>
      <c r="F44">
        <v>444</v>
      </c>
      <c r="G44">
        <v>39</v>
      </c>
      <c r="H44">
        <v>7679</v>
      </c>
      <c r="I44">
        <v>2.3221548912756199E-2</v>
      </c>
      <c r="J44">
        <v>0.128429382762386</v>
      </c>
      <c r="K44">
        <v>2.6607761607761602</v>
      </c>
      <c r="L44" t="s">
        <v>1434</v>
      </c>
      <c r="M44" t="str">
        <f>HYPERLINK("../../3.KEGG_map/SCI_II-vs-NC-Down/rno00591.html","rno00591")</f>
        <v>rno00591</v>
      </c>
    </row>
    <row r="45" spans="1:13" x14ac:dyDescent="0.25">
      <c r="A45" t="s">
        <v>79</v>
      </c>
      <c r="B45" t="s">
        <v>80</v>
      </c>
      <c r="C45" t="s">
        <v>15</v>
      </c>
      <c r="D45" t="s">
        <v>25</v>
      </c>
      <c r="E45">
        <v>3</v>
      </c>
      <c r="F45">
        <v>444</v>
      </c>
      <c r="G45">
        <v>23</v>
      </c>
      <c r="H45">
        <v>7679</v>
      </c>
      <c r="I45">
        <v>0.14473139007022001</v>
      </c>
      <c r="J45">
        <v>0.44570689442078998</v>
      </c>
      <c r="K45">
        <v>2.2558754406580501</v>
      </c>
      <c r="L45" t="s">
        <v>1435</v>
      </c>
      <c r="M45" t="str">
        <f>HYPERLINK("../../3.KEGG_map/SCI_II-vs-NC-Down/rno00592.html","rno00592")</f>
        <v>rno00592</v>
      </c>
    </row>
    <row r="46" spans="1:13" x14ac:dyDescent="0.25">
      <c r="A46" t="s">
        <v>82</v>
      </c>
      <c r="B46" t="s">
        <v>83</v>
      </c>
      <c r="C46" t="s">
        <v>15</v>
      </c>
      <c r="D46" t="s">
        <v>25</v>
      </c>
      <c r="E46">
        <v>6</v>
      </c>
      <c r="F46">
        <v>444</v>
      </c>
      <c r="G46">
        <v>49</v>
      </c>
      <c r="H46">
        <v>7679</v>
      </c>
      <c r="I46">
        <v>6.1651403763955399E-2</v>
      </c>
      <c r="J46">
        <v>0.24213812202944801</v>
      </c>
      <c r="K46">
        <v>2.1177606177606201</v>
      </c>
      <c r="L46" t="s">
        <v>1436</v>
      </c>
      <c r="M46" t="str">
        <f>HYPERLINK("../../3.KEGG_map/SCI_II-vs-NC-Down/rno00600.html","rno00600")</f>
        <v>rno00600</v>
      </c>
    </row>
    <row r="47" spans="1:13" x14ac:dyDescent="0.25">
      <c r="A47" t="s">
        <v>85</v>
      </c>
      <c r="B47" t="s">
        <v>86</v>
      </c>
      <c r="C47" t="s">
        <v>15</v>
      </c>
      <c r="D47" t="s">
        <v>51</v>
      </c>
      <c r="E47">
        <v>2</v>
      </c>
      <c r="F47">
        <v>444</v>
      </c>
      <c r="G47">
        <v>29</v>
      </c>
      <c r="H47">
        <v>7679</v>
      </c>
      <c r="I47">
        <v>0.50620862089596397</v>
      </c>
      <c r="J47">
        <v>0.96825295804851697</v>
      </c>
      <c r="K47">
        <v>1.1927617272444899</v>
      </c>
      <c r="L47" t="s">
        <v>1437</v>
      </c>
      <c r="M47" t="str">
        <f>HYPERLINK("../../3.KEGG_map/SCI_II-vs-NC-Down/rno00601.html","rno00601")</f>
        <v>rno00601</v>
      </c>
    </row>
    <row r="48" spans="1:13" x14ac:dyDescent="0.25">
      <c r="A48" t="s">
        <v>1146</v>
      </c>
      <c r="B48" t="s">
        <v>1147</v>
      </c>
      <c r="C48" t="s">
        <v>15</v>
      </c>
      <c r="D48" t="s">
        <v>51</v>
      </c>
      <c r="E48">
        <v>1</v>
      </c>
      <c r="F48">
        <v>444</v>
      </c>
      <c r="G48">
        <v>15</v>
      </c>
      <c r="H48">
        <v>7679</v>
      </c>
      <c r="I48">
        <v>0.59107551529515101</v>
      </c>
      <c r="J48">
        <v>1</v>
      </c>
      <c r="K48">
        <v>1.1530030030030001</v>
      </c>
      <c r="L48" t="s">
        <v>1438</v>
      </c>
      <c r="M48" t="str">
        <f>HYPERLINK("../../3.KEGG_map/SCI_II-vs-NC-Down/rno00603.html","rno00603")</f>
        <v>rno00603</v>
      </c>
    </row>
    <row r="49" spans="1:13" x14ac:dyDescent="0.25">
      <c r="A49" t="s">
        <v>91</v>
      </c>
      <c r="B49" t="s">
        <v>92</v>
      </c>
      <c r="C49" t="s">
        <v>15</v>
      </c>
      <c r="D49" t="s">
        <v>16</v>
      </c>
      <c r="E49">
        <v>2</v>
      </c>
      <c r="F49">
        <v>444</v>
      </c>
      <c r="G49">
        <v>39</v>
      </c>
      <c r="H49">
        <v>7679</v>
      </c>
      <c r="I49">
        <v>0.668193350870253</v>
      </c>
      <c r="J49">
        <v>1</v>
      </c>
      <c r="K49">
        <v>0.88692538692538703</v>
      </c>
      <c r="L49" t="s">
        <v>1439</v>
      </c>
      <c r="M49" t="str">
        <f>HYPERLINK("../../3.KEGG_map/SCI_II-vs-NC-Down/rno00620.html","rno00620")</f>
        <v>rno00620</v>
      </c>
    </row>
    <row r="50" spans="1:13" x14ac:dyDescent="0.25">
      <c r="A50" t="s">
        <v>675</v>
      </c>
      <c r="B50" t="s">
        <v>676</v>
      </c>
      <c r="C50" t="s">
        <v>15</v>
      </c>
      <c r="D50" t="s">
        <v>16</v>
      </c>
      <c r="E50">
        <v>3</v>
      </c>
      <c r="F50">
        <v>444</v>
      </c>
      <c r="G50">
        <v>31</v>
      </c>
      <c r="H50">
        <v>7679</v>
      </c>
      <c r="I50">
        <v>0.265434727979102</v>
      </c>
      <c r="J50">
        <v>0.65393464802124102</v>
      </c>
      <c r="K50">
        <v>1.67371403661726</v>
      </c>
      <c r="L50" t="s">
        <v>1440</v>
      </c>
      <c r="M50" t="str">
        <f>HYPERLINK("../../3.KEGG_map/SCI_II-vs-NC-Down/rno00640.html","rno00640")</f>
        <v>rno00640</v>
      </c>
    </row>
    <row r="51" spans="1:13" x14ac:dyDescent="0.25">
      <c r="A51" t="s">
        <v>1151</v>
      </c>
      <c r="B51" t="s">
        <v>1152</v>
      </c>
      <c r="C51" t="s">
        <v>15</v>
      </c>
      <c r="D51" t="s">
        <v>16</v>
      </c>
      <c r="E51">
        <v>2</v>
      </c>
      <c r="F51">
        <v>444</v>
      </c>
      <c r="G51">
        <v>25</v>
      </c>
      <c r="H51">
        <v>7679</v>
      </c>
      <c r="I51">
        <v>0.42849537594428899</v>
      </c>
      <c r="J51">
        <v>0.900172456441103</v>
      </c>
      <c r="K51">
        <v>1.3836036036035999</v>
      </c>
      <c r="L51" t="s">
        <v>1441</v>
      </c>
      <c r="M51" t="str">
        <f>HYPERLINK("../../3.KEGG_map/SCI_II-vs-NC-Down/rno00650.html","rno00650")</f>
        <v>rno00650</v>
      </c>
    </row>
    <row r="52" spans="1:13" x14ac:dyDescent="0.25">
      <c r="A52" t="s">
        <v>1154</v>
      </c>
      <c r="B52" t="s">
        <v>1155</v>
      </c>
      <c r="C52" t="s">
        <v>15</v>
      </c>
      <c r="D52" t="s">
        <v>96</v>
      </c>
      <c r="E52">
        <v>1</v>
      </c>
      <c r="F52">
        <v>444</v>
      </c>
      <c r="G52">
        <v>15</v>
      </c>
      <c r="H52">
        <v>7679</v>
      </c>
      <c r="I52">
        <v>0.59107551529515101</v>
      </c>
      <c r="J52">
        <v>1</v>
      </c>
      <c r="K52">
        <v>1.1530030030030001</v>
      </c>
      <c r="L52" t="s">
        <v>1156</v>
      </c>
      <c r="M52" t="str">
        <f>HYPERLINK("../../3.KEGG_map/SCI_II-vs-NC-Down/rno00730.html","rno00730")</f>
        <v>rno00730</v>
      </c>
    </row>
    <row r="53" spans="1:13" x14ac:dyDescent="0.25">
      <c r="A53" t="s">
        <v>1157</v>
      </c>
      <c r="B53" t="s">
        <v>1158</v>
      </c>
      <c r="C53" t="s">
        <v>15</v>
      </c>
      <c r="D53" t="s">
        <v>96</v>
      </c>
      <c r="E53">
        <v>2</v>
      </c>
      <c r="F53">
        <v>444</v>
      </c>
      <c r="G53">
        <v>10</v>
      </c>
      <c r="H53">
        <v>7679</v>
      </c>
      <c r="I53">
        <v>0.11037623361744001</v>
      </c>
      <c r="J53">
        <v>0.37389949137907702</v>
      </c>
      <c r="K53">
        <v>3.45900900900901</v>
      </c>
      <c r="L53" t="s">
        <v>1159</v>
      </c>
      <c r="M53" t="str">
        <f>HYPERLINK("../../3.KEGG_map/SCI_II-vs-NC-Down/rno00750.html","rno00750")</f>
        <v>rno00750</v>
      </c>
    </row>
    <row r="54" spans="1:13" x14ac:dyDescent="0.25">
      <c r="A54" t="s">
        <v>677</v>
      </c>
      <c r="B54" t="s">
        <v>678</v>
      </c>
      <c r="C54" t="s">
        <v>15</v>
      </c>
      <c r="D54" t="s">
        <v>96</v>
      </c>
      <c r="E54">
        <v>5</v>
      </c>
      <c r="F54">
        <v>444</v>
      </c>
      <c r="G54">
        <v>32</v>
      </c>
      <c r="H54">
        <v>7679</v>
      </c>
      <c r="I54">
        <v>3.4950267324852902E-2</v>
      </c>
      <c r="J54">
        <v>0.15550596076822201</v>
      </c>
      <c r="K54">
        <v>2.7023507882882898</v>
      </c>
      <c r="L54" t="s">
        <v>1442</v>
      </c>
      <c r="M54" t="str">
        <f>HYPERLINK("../../3.KEGG_map/SCI_II-vs-NC-Down/rno00760.html","rno00760")</f>
        <v>rno00760</v>
      </c>
    </row>
    <row r="55" spans="1:13" x14ac:dyDescent="0.25">
      <c r="A55" t="s">
        <v>679</v>
      </c>
      <c r="B55" t="s">
        <v>680</v>
      </c>
      <c r="C55" t="s">
        <v>15</v>
      </c>
      <c r="D55" t="s">
        <v>96</v>
      </c>
      <c r="E55">
        <v>1</v>
      </c>
      <c r="F55">
        <v>444</v>
      </c>
      <c r="G55">
        <v>19</v>
      </c>
      <c r="H55">
        <v>7679</v>
      </c>
      <c r="I55">
        <v>0.67793093989479802</v>
      </c>
      <c r="J55">
        <v>1</v>
      </c>
      <c r="K55">
        <v>0.91026552868658095</v>
      </c>
      <c r="L55" t="s">
        <v>1443</v>
      </c>
      <c r="M55" t="str">
        <f>HYPERLINK("../../3.KEGG_map/SCI_II-vs-NC-Down/rno00770.html","rno00770")</f>
        <v>rno00770</v>
      </c>
    </row>
    <row r="56" spans="1:13" x14ac:dyDescent="0.25">
      <c r="A56" t="s">
        <v>1161</v>
      </c>
      <c r="B56" t="s">
        <v>1162</v>
      </c>
      <c r="C56" t="s">
        <v>15</v>
      </c>
      <c r="D56" t="s">
        <v>96</v>
      </c>
      <c r="E56">
        <v>1</v>
      </c>
      <c r="F56">
        <v>444</v>
      </c>
      <c r="G56">
        <v>26</v>
      </c>
      <c r="H56">
        <v>7679</v>
      </c>
      <c r="I56">
        <v>0.78799310359469199</v>
      </c>
      <c r="J56">
        <v>1</v>
      </c>
      <c r="K56">
        <v>0.66519404019404005</v>
      </c>
      <c r="L56" t="s">
        <v>1156</v>
      </c>
      <c r="M56" t="str">
        <f>HYPERLINK("../../3.KEGG_map/SCI_II-vs-NC-Down/rno00790.html","rno00790")</f>
        <v>rno00790</v>
      </c>
    </row>
    <row r="57" spans="1:13" x14ac:dyDescent="0.25">
      <c r="A57" t="s">
        <v>94</v>
      </c>
      <c r="B57" t="s">
        <v>95</v>
      </c>
      <c r="C57" t="s">
        <v>15</v>
      </c>
      <c r="D57" t="s">
        <v>96</v>
      </c>
      <c r="E57">
        <v>5</v>
      </c>
      <c r="F57">
        <v>444</v>
      </c>
      <c r="G57">
        <v>80</v>
      </c>
      <c r="H57">
        <v>7679</v>
      </c>
      <c r="I57">
        <v>0.49561196798551199</v>
      </c>
      <c r="J57">
        <v>0.96825295804851697</v>
      </c>
      <c r="K57">
        <v>1.0809403153153201</v>
      </c>
      <c r="L57" t="s">
        <v>1444</v>
      </c>
      <c r="M57" t="str">
        <f>HYPERLINK("../../3.KEGG_map/SCI_II-vs-NC-Down/rno00830.html","rno00830")</f>
        <v>rno00830</v>
      </c>
    </row>
    <row r="58" spans="1:13" x14ac:dyDescent="0.25">
      <c r="A58" t="s">
        <v>1164</v>
      </c>
      <c r="B58" t="s">
        <v>1165</v>
      </c>
      <c r="C58" t="s">
        <v>15</v>
      </c>
      <c r="D58" t="s">
        <v>651</v>
      </c>
      <c r="E58">
        <v>2</v>
      </c>
      <c r="F58">
        <v>444</v>
      </c>
      <c r="G58">
        <v>17</v>
      </c>
      <c r="H58">
        <v>7679</v>
      </c>
      <c r="I58">
        <v>0.25763367057318998</v>
      </c>
      <c r="J58">
        <v>0.64053875894802403</v>
      </c>
      <c r="K58">
        <v>2.0347111817700099</v>
      </c>
      <c r="L58" t="s">
        <v>1445</v>
      </c>
      <c r="M58" t="str">
        <f>HYPERLINK("../../3.KEGG_map/SCI_II-vs-NC-Down/rno00910.html","rno00910")</f>
        <v>rno00910</v>
      </c>
    </row>
    <row r="59" spans="1:13" x14ac:dyDescent="0.25">
      <c r="A59" t="s">
        <v>1446</v>
      </c>
      <c r="B59" t="s">
        <v>1447</v>
      </c>
      <c r="C59" t="s">
        <v>15</v>
      </c>
      <c r="D59" t="s">
        <v>651</v>
      </c>
      <c r="E59">
        <v>1</v>
      </c>
      <c r="F59">
        <v>444</v>
      </c>
      <c r="G59">
        <v>12</v>
      </c>
      <c r="H59">
        <v>7679</v>
      </c>
      <c r="I59">
        <v>0.51092314760493696</v>
      </c>
      <c r="J59">
        <v>0.96825295804851697</v>
      </c>
      <c r="K59">
        <v>1.44125375375375</v>
      </c>
      <c r="L59" t="s">
        <v>1448</v>
      </c>
      <c r="M59" t="str">
        <f>HYPERLINK("../../3.KEGG_map/SCI_II-vs-NC-Down/rno00920.html","rno00920")</f>
        <v>rno00920</v>
      </c>
    </row>
    <row r="60" spans="1:13" x14ac:dyDescent="0.25">
      <c r="A60" t="s">
        <v>101</v>
      </c>
      <c r="B60" t="s">
        <v>102</v>
      </c>
      <c r="C60" t="s">
        <v>15</v>
      </c>
      <c r="D60" t="s">
        <v>103</v>
      </c>
      <c r="E60">
        <v>4</v>
      </c>
      <c r="F60">
        <v>444</v>
      </c>
      <c r="G60">
        <v>64</v>
      </c>
      <c r="H60">
        <v>7679</v>
      </c>
      <c r="I60">
        <v>0.51088281095405996</v>
      </c>
      <c r="J60">
        <v>0.96825295804851697</v>
      </c>
      <c r="K60">
        <v>1.0809403153153201</v>
      </c>
      <c r="L60" t="s">
        <v>1449</v>
      </c>
      <c r="M60" t="str">
        <f>HYPERLINK("../../3.KEGG_map/SCI_II-vs-NC-Down/rno00980.html","rno00980")</f>
        <v>rno00980</v>
      </c>
    </row>
    <row r="61" spans="1:13" x14ac:dyDescent="0.25">
      <c r="A61" t="s">
        <v>105</v>
      </c>
      <c r="B61" t="s">
        <v>106</v>
      </c>
      <c r="C61" t="s">
        <v>15</v>
      </c>
      <c r="D61" t="s">
        <v>103</v>
      </c>
      <c r="E61">
        <v>11</v>
      </c>
      <c r="F61">
        <v>444</v>
      </c>
      <c r="G61">
        <v>65</v>
      </c>
      <c r="H61">
        <v>7679</v>
      </c>
      <c r="I61">
        <v>1.11672342913882E-3</v>
      </c>
      <c r="J61">
        <v>1.1639694203716199E-2</v>
      </c>
      <c r="K61">
        <v>2.9268537768537799</v>
      </c>
      <c r="L61" t="s">
        <v>1450</v>
      </c>
      <c r="M61" t="str">
        <f>HYPERLINK("../../3.KEGG_map/SCI_II-vs-NC-Down/rno00982.html","rno00982")</f>
        <v>rno00982</v>
      </c>
    </row>
    <row r="62" spans="1:13" x14ac:dyDescent="0.25">
      <c r="A62" t="s">
        <v>107</v>
      </c>
      <c r="B62" t="s">
        <v>108</v>
      </c>
      <c r="C62" t="s">
        <v>15</v>
      </c>
      <c r="D62" t="s">
        <v>103</v>
      </c>
      <c r="E62">
        <v>4</v>
      </c>
      <c r="F62">
        <v>444</v>
      </c>
      <c r="G62">
        <v>83</v>
      </c>
      <c r="H62">
        <v>7679</v>
      </c>
      <c r="I62">
        <v>0.71521853296127402</v>
      </c>
      <c r="J62">
        <v>1</v>
      </c>
      <c r="K62">
        <v>0.83349614674915895</v>
      </c>
      <c r="L62" t="s">
        <v>1451</v>
      </c>
      <c r="M62" t="str">
        <f>HYPERLINK("../../3.KEGG_map/SCI_II-vs-NC-Down/rno00983.html","rno00983")</f>
        <v>rno00983</v>
      </c>
    </row>
    <row r="63" spans="1:13" x14ac:dyDescent="0.25">
      <c r="A63" t="s">
        <v>110</v>
      </c>
      <c r="B63" t="s">
        <v>111</v>
      </c>
      <c r="C63" t="s">
        <v>15</v>
      </c>
      <c r="D63" t="s">
        <v>25</v>
      </c>
      <c r="E63">
        <v>3</v>
      </c>
      <c r="F63">
        <v>444</v>
      </c>
      <c r="G63">
        <v>26</v>
      </c>
      <c r="H63">
        <v>7679</v>
      </c>
      <c r="I63">
        <v>0.18787789313176001</v>
      </c>
      <c r="J63">
        <v>0.525907440449631</v>
      </c>
      <c r="K63">
        <v>1.99558212058212</v>
      </c>
      <c r="L63" t="s">
        <v>1452</v>
      </c>
      <c r="M63" t="str">
        <f>HYPERLINK("../../3.KEGG_map/SCI_II-vs-NC-Down/rno01040.html","rno01040")</f>
        <v>rno01040</v>
      </c>
    </row>
    <row r="64" spans="1:13" x14ac:dyDescent="0.25">
      <c r="A64" t="s">
        <v>113</v>
      </c>
      <c r="B64" t="s">
        <v>114</v>
      </c>
      <c r="C64" t="s">
        <v>115</v>
      </c>
      <c r="D64" t="s">
        <v>116</v>
      </c>
      <c r="E64">
        <v>1</v>
      </c>
      <c r="F64">
        <v>444</v>
      </c>
      <c r="G64">
        <v>79</v>
      </c>
      <c r="H64">
        <v>7679</v>
      </c>
      <c r="I64">
        <v>0.99117313568918797</v>
      </c>
      <c r="J64">
        <v>1</v>
      </c>
      <c r="K64">
        <v>0.21892462082335501</v>
      </c>
      <c r="L64" t="s">
        <v>1171</v>
      </c>
      <c r="M64" t="str">
        <f>HYPERLINK("../../3.KEGG_map/SCI_II-vs-NC-Down/rno01521.html","rno01521")</f>
        <v>rno01521</v>
      </c>
    </row>
    <row r="65" spans="1:13" x14ac:dyDescent="0.25">
      <c r="A65" t="s">
        <v>683</v>
      </c>
      <c r="B65" t="s">
        <v>684</v>
      </c>
      <c r="C65" t="s">
        <v>115</v>
      </c>
      <c r="D65" t="s">
        <v>116</v>
      </c>
      <c r="E65">
        <v>3</v>
      </c>
      <c r="F65">
        <v>444</v>
      </c>
      <c r="G65">
        <v>93</v>
      </c>
      <c r="H65">
        <v>7679</v>
      </c>
      <c r="I65">
        <v>0.91163554754965204</v>
      </c>
      <c r="J65">
        <v>1</v>
      </c>
      <c r="K65">
        <v>0.55790467887242101</v>
      </c>
      <c r="L65" t="s">
        <v>1172</v>
      </c>
      <c r="M65" t="str">
        <f>HYPERLINK("../../3.KEGG_map/SCI_II-vs-NC-Down/rno01522.html","rno01522")</f>
        <v>rno01522</v>
      </c>
    </row>
    <row r="66" spans="1:13" x14ac:dyDescent="0.25">
      <c r="A66" t="s">
        <v>686</v>
      </c>
      <c r="B66" t="s">
        <v>687</v>
      </c>
      <c r="C66" t="s">
        <v>115</v>
      </c>
      <c r="D66" t="s">
        <v>116</v>
      </c>
      <c r="E66">
        <v>1</v>
      </c>
      <c r="F66">
        <v>444</v>
      </c>
      <c r="G66">
        <v>30</v>
      </c>
      <c r="H66">
        <v>7679</v>
      </c>
      <c r="I66">
        <v>0.83308235069510395</v>
      </c>
      <c r="J66">
        <v>1</v>
      </c>
      <c r="K66">
        <v>0.57650150150150103</v>
      </c>
      <c r="L66" t="s">
        <v>1173</v>
      </c>
      <c r="M66" t="str">
        <f>HYPERLINK("../../3.KEGG_map/SCI_II-vs-NC-Down/rno01523.html","rno01523")</f>
        <v>rno01523</v>
      </c>
    </row>
    <row r="67" spans="1:13" x14ac:dyDescent="0.25">
      <c r="A67" t="s">
        <v>118</v>
      </c>
      <c r="B67" t="s">
        <v>119</v>
      </c>
      <c r="C67" t="s">
        <v>115</v>
      </c>
      <c r="D67" t="s">
        <v>116</v>
      </c>
      <c r="E67">
        <v>1</v>
      </c>
      <c r="F67">
        <v>444</v>
      </c>
      <c r="G67">
        <v>76</v>
      </c>
      <c r="H67">
        <v>7679</v>
      </c>
      <c r="I67">
        <v>0.989426592625131</v>
      </c>
      <c r="J67">
        <v>1</v>
      </c>
      <c r="K67">
        <v>0.22756638217164499</v>
      </c>
      <c r="L67" t="s">
        <v>1174</v>
      </c>
      <c r="M67" t="str">
        <f>HYPERLINK("../../3.KEGG_map/SCI_II-vs-NC-Down/rno01524.html","rno01524")</f>
        <v>rno01524</v>
      </c>
    </row>
    <row r="68" spans="1:13" x14ac:dyDescent="0.25">
      <c r="A68" t="s">
        <v>121</v>
      </c>
      <c r="B68" t="s">
        <v>122</v>
      </c>
      <c r="C68" t="s">
        <v>123</v>
      </c>
      <c r="D68" t="s">
        <v>124</v>
      </c>
      <c r="E68">
        <v>7</v>
      </c>
      <c r="F68">
        <v>444</v>
      </c>
      <c r="G68">
        <v>47</v>
      </c>
      <c r="H68">
        <v>7679</v>
      </c>
      <c r="I68">
        <v>1.7387761823447999E-2</v>
      </c>
      <c r="J68">
        <v>0.10709280577623601</v>
      </c>
      <c r="K68">
        <v>2.5758577726662799</v>
      </c>
      <c r="L68" t="s">
        <v>1175</v>
      </c>
      <c r="M68" t="str">
        <f>HYPERLINK("../../3.KEGG_map/SCI_II-vs-NC-Down/rno02010.html","rno02010")</f>
        <v>rno02010</v>
      </c>
    </row>
    <row r="69" spans="1:13" x14ac:dyDescent="0.25">
      <c r="A69" t="s">
        <v>137</v>
      </c>
      <c r="B69" t="s">
        <v>138</v>
      </c>
      <c r="C69" t="s">
        <v>128</v>
      </c>
      <c r="D69" t="s">
        <v>139</v>
      </c>
      <c r="E69">
        <v>2</v>
      </c>
      <c r="F69">
        <v>444</v>
      </c>
      <c r="G69">
        <v>80</v>
      </c>
      <c r="H69">
        <v>7679</v>
      </c>
      <c r="I69">
        <v>0.95043483403575901</v>
      </c>
      <c r="J69">
        <v>1</v>
      </c>
      <c r="K69">
        <v>0.43237612612612603</v>
      </c>
      <c r="L69" t="s">
        <v>1453</v>
      </c>
      <c r="M69" t="str">
        <f>HYPERLINK("../../3.KEGG_map/SCI_II-vs-NC-Down/rno03018.html","rno03018")</f>
        <v>rno03018</v>
      </c>
    </row>
    <row r="70" spans="1:13" x14ac:dyDescent="0.25">
      <c r="A70" t="s">
        <v>694</v>
      </c>
      <c r="B70" t="s">
        <v>695</v>
      </c>
      <c r="C70" t="s">
        <v>128</v>
      </c>
      <c r="D70" t="s">
        <v>143</v>
      </c>
      <c r="E70">
        <v>1</v>
      </c>
      <c r="F70">
        <v>444</v>
      </c>
      <c r="G70">
        <v>41</v>
      </c>
      <c r="H70">
        <v>7679</v>
      </c>
      <c r="I70">
        <v>0.91357642915829995</v>
      </c>
      <c r="J70">
        <v>1</v>
      </c>
      <c r="K70">
        <v>0.42183036695231801</v>
      </c>
      <c r="L70" t="s">
        <v>1454</v>
      </c>
      <c r="M70" t="str">
        <f>HYPERLINK("../../3.KEGG_map/SCI_II-vs-NC-Down/rno03022.html","rno03022")</f>
        <v>rno03022</v>
      </c>
    </row>
    <row r="71" spans="1:13" x14ac:dyDescent="0.25">
      <c r="A71" t="s">
        <v>141</v>
      </c>
      <c r="B71" t="s">
        <v>142</v>
      </c>
      <c r="C71" t="s">
        <v>128</v>
      </c>
      <c r="D71" t="s">
        <v>143</v>
      </c>
      <c r="E71">
        <v>2</v>
      </c>
      <c r="F71">
        <v>444</v>
      </c>
      <c r="G71">
        <v>129</v>
      </c>
      <c r="H71">
        <v>7679</v>
      </c>
      <c r="I71">
        <v>0.996097297143128</v>
      </c>
      <c r="J71">
        <v>1</v>
      </c>
      <c r="K71">
        <v>0.26814023325651198</v>
      </c>
      <c r="L71" t="s">
        <v>1455</v>
      </c>
      <c r="M71" t="str">
        <f>HYPERLINK("../../3.KEGG_map/SCI_II-vs-NC-Down/rno03040.html","rno03040")</f>
        <v>rno03040</v>
      </c>
    </row>
    <row r="72" spans="1:13" x14ac:dyDescent="0.25">
      <c r="A72" t="s">
        <v>148</v>
      </c>
      <c r="B72" t="s">
        <v>149</v>
      </c>
      <c r="C72" t="s">
        <v>150</v>
      </c>
      <c r="D72" t="s">
        <v>151</v>
      </c>
      <c r="E72">
        <v>7</v>
      </c>
      <c r="F72">
        <v>444</v>
      </c>
      <c r="G72">
        <v>79</v>
      </c>
      <c r="H72">
        <v>7679</v>
      </c>
      <c r="I72">
        <v>0.171022044266462</v>
      </c>
      <c r="J72">
        <v>0.50377145648055599</v>
      </c>
      <c r="K72">
        <v>1.5324723457634899</v>
      </c>
      <c r="L72" t="s">
        <v>1456</v>
      </c>
      <c r="M72" t="str">
        <f>HYPERLINK("../../3.KEGG_map/SCI_II-vs-NC-Down/rno03320.html","rno03320")</f>
        <v>rno03320</v>
      </c>
    </row>
    <row r="73" spans="1:13" x14ac:dyDescent="0.25">
      <c r="A73" t="s">
        <v>700</v>
      </c>
      <c r="B73" t="s">
        <v>701</v>
      </c>
      <c r="C73" t="s">
        <v>128</v>
      </c>
      <c r="D73" t="s">
        <v>155</v>
      </c>
      <c r="E73">
        <v>1</v>
      </c>
      <c r="F73">
        <v>444</v>
      </c>
      <c r="G73">
        <v>13</v>
      </c>
      <c r="H73">
        <v>7679</v>
      </c>
      <c r="I73">
        <v>0.53924584520026797</v>
      </c>
      <c r="J73">
        <v>1</v>
      </c>
      <c r="K73">
        <v>1.3303880803880801</v>
      </c>
      <c r="L73" t="s">
        <v>1182</v>
      </c>
      <c r="M73" t="str">
        <f>HYPERLINK("../../3.KEGG_map/SCI_II-vs-NC-Down/rno03450.html","rno03450")</f>
        <v>rno03450</v>
      </c>
    </row>
    <row r="74" spans="1:13" x14ac:dyDescent="0.25">
      <c r="A74" t="s">
        <v>160</v>
      </c>
      <c r="B74" t="s">
        <v>161</v>
      </c>
      <c r="C74" t="s">
        <v>123</v>
      </c>
      <c r="D74" t="s">
        <v>162</v>
      </c>
      <c r="E74">
        <v>19</v>
      </c>
      <c r="F74">
        <v>444</v>
      </c>
      <c r="G74">
        <v>288</v>
      </c>
      <c r="H74">
        <v>7679</v>
      </c>
      <c r="I74">
        <v>0.30765865854604102</v>
      </c>
      <c r="J74">
        <v>0.73136400408752</v>
      </c>
      <c r="K74">
        <v>1.1409925550550599</v>
      </c>
      <c r="L74" t="s">
        <v>1457</v>
      </c>
      <c r="M74" t="str">
        <f>HYPERLINK("../../3.KEGG_map/SCI_II-vs-NC-Down/rno04010.html","rno04010")</f>
        <v>rno04010</v>
      </c>
    </row>
    <row r="75" spans="1:13" x14ac:dyDescent="0.25">
      <c r="A75" t="s">
        <v>164</v>
      </c>
      <c r="B75" t="s">
        <v>165</v>
      </c>
      <c r="C75" t="s">
        <v>123</v>
      </c>
      <c r="D75" t="s">
        <v>162</v>
      </c>
      <c r="E75">
        <v>3</v>
      </c>
      <c r="F75">
        <v>444</v>
      </c>
      <c r="G75">
        <v>85</v>
      </c>
      <c r="H75">
        <v>7679</v>
      </c>
      <c r="I75">
        <v>0.87695002830963698</v>
      </c>
      <c r="J75">
        <v>1</v>
      </c>
      <c r="K75">
        <v>0.61041335453100198</v>
      </c>
      <c r="L75" t="s">
        <v>1458</v>
      </c>
      <c r="M75" t="str">
        <f>HYPERLINK("../../3.KEGG_map/SCI_II-vs-NC-Down/rno04012.html","rno04012")</f>
        <v>rno04012</v>
      </c>
    </row>
    <row r="76" spans="1:13" x14ac:dyDescent="0.25">
      <c r="A76" t="s">
        <v>167</v>
      </c>
      <c r="B76" t="s">
        <v>168</v>
      </c>
      <c r="C76" t="s">
        <v>123</v>
      </c>
      <c r="D76" t="s">
        <v>162</v>
      </c>
      <c r="E76">
        <v>17</v>
      </c>
      <c r="F76">
        <v>444</v>
      </c>
      <c r="G76">
        <v>227</v>
      </c>
      <c r="H76">
        <v>7679</v>
      </c>
      <c r="I76">
        <v>0.16395513430514899</v>
      </c>
      <c r="J76">
        <v>0.48826199337027898</v>
      </c>
      <c r="K76">
        <v>1.29522363773465</v>
      </c>
      <c r="L76" t="s">
        <v>1459</v>
      </c>
      <c r="M76" t="str">
        <f>HYPERLINK("../../3.KEGG_map/SCI_II-vs-NC-Down/rno04014.html","rno04014")</f>
        <v>rno04014</v>
      </c>
    </row>
    <row r="77" spans="1:13" x14ac:dyDescent="0.25">
      <c r="A77" t="s">
        <v>170</v>
      </c>
      <c r="B77" t="s">
        <v>171</v>
      </c>
      <c r="C77" t="s">
        <v>123</v>
      </c>
      <c r="D77" t="s">
        <v>162</v>
      </c>
      <c r="E77">
        <v>16</v>
      </c>
      <c r="F77">
        <v>444</v>
      </c>
      <c r="G77">
        <v>205</v>
      </c>
      <c r="H77">
        <v>7679</v>
      </c>
      <c r="I77">
        <v>0.135549494651244</v>
      </c>
      <c r="J77">
        <v>0.43216368294690799</v>
      </c>
      <c r="K77">
        <v>1.3498571742474199</v>
      </c>
      <c r="L77" t="s">
        <v>1460</v>
      </c>
      <c r="M77" t="str">
        <f>HYPERLINK("../../3.KEGG_map/SCI_II-vs-NC-Down/rno04015.html","rno04015")</f>
        <v>rno04015</v>
      </c>
    </row>
    <row r="78" spans="1:13" x14ac:dyDescent="0.25">
      <c r="A78" t="s">
        <v>173</v>
      </c>
      <c r="B78" t="s">
        <v>174</v>
      </c>
      <c r="C78" t="s">
        <v>123</v>
      </c>
      <c r="D78" t="s">
        <v>162</v>
      </c>
      <c r="E78">
        <v>37</v>
      </c>
      <c r="F78">
        <v>444</v>
      </c>
      <c r="G78">
        <v>182</v>
      </c>
      <c r="H78">
        <v>7679</v>
      </c>
      <c r="I78" s="1">
        <v>9.2645079643077399E-12</v>
      </c>
      <c r="J78" s="1">
        <v>2.5106816583274001E-9</v>
      </c>
      <c r="K78">
        <v>3.5160256410256401</v>
      </c>
      <c r="L78" t="s">
        <v>1461</v>
      </c>
      <c r="M78" t="str">
        <f>HYPERLINK("../../3.KEGG_map/SCI_II-vs-NC-Down/rno04020.html","rno04020")</f>
        <v>rno04020</v>
      </c>
    </row>
    <row r="79" spans="1:13" x14ac:dyDescent="0.25">
      <c r="A79" t="s">
        <v>176</v>
      </c>
      <c r="B79" t="s">
        <v>177</v>
      </c>
      <c r="C79" t="s">
        <v>123</v>
      </c>
      <c r="D79" t="s">
        <v>162</v>
      </c>
      <c r="E79">
        <v>34</v>
      </c>
      <c r="F79">
        <v>444</v>
      </c>
      <c r="G79">
        <v>164</v>
      </c>
      <c r="H79">
        <v>7679</v>
      </c>
      <c r="I79" s="1">
        <v>3.7977289456220003E-11</v>
      </c>
      <c r="J79" s="1">
        <v>5.1459227213178096E-9</v>
      </c>
      <c r="K79">
        <v>3.5855581190947001</v>
      </c>
      <c r="L79" t="s">
        <v>1462</v>
      </c>
      <c r="M79" t="str">
        <f>HYPERLINK("../../3.KEGG_map/SCI_II-vs-NC-Down/rno04022.html","rno04022")</f>
        <v>rno04022</v>
      </c>
    </row>
    <row r="80" spans="1:13" x14ac:dyDescent="0.25">
      <c r="A80" t="s">
        <v>179</v>
      </c>
      <c r="B80" t="s">
        <v>180</v>
      </c>
      <c r="C80" t="s">
        <v>123</v>
      </c>
      <c r="D80" t="s">
        <v>162</v>
      </c>
      <c r="E80">
        <v>26</v>
      </c>
      <c r="F80">
        <v>444</v>
      </c>
      <c r="G80">
        <v>194</v>
      </c>
      <c r="H80">
        <v>7679</v>
      </c>
      <c r="I80" s="1">
        <v>4.7046673312367297E-5</v>
      </c>
      <c r="J80">
        <v>1.06247070563763E-3</v>
      </c>
      <c r="K80">
        <v>2.3178926349029401</v>
      </c>
      <c r="L80" t="s">
        <v>1463</v>
      </c>
      <c r="M80" t="str">
        <f>HYPERLINK("../../3.KEGG_map/SCI_II-vs-NC-Down/rno04024.html","rno04024")</f>
        <v>rno04024</v>
      </c>
    </row>
    <row r="81" spans="1:13" x14ac:dyDescent="0.25">
      <c r="A81" t="s">
        <v>182</v>
      </c>
      <c r="B81" t="s">
        <v>183</v>
      </c>
      <c r="C81" t="s">
        <v>123</v>
      </c>
      <c r="D81" t="s">
        <v>184</v>
      </c>
      <c r="E81">
        <v>16</v>
      </c>
      <c r="F81">
        <v>444</v>
      </c>
      <c r="G81">
        <v>240</v>
      </c>
      <c r="H81">
        <v>7679</v>
      </c>
      <c r="I81">
        <v>0.313249157888084</v>
      </c>
      <c r="J81">
        <v>0.732801906725281</v>
      </c>
      <c r="K81">
        <v>1.1530030030030001</v>
      </c>
      <c r="L81" t="s">
        <v>1464</v>
      </c>
      <c r="M81" t="str">
        <f>HYPERLINK("../../3.KEGG_map/SCI_II-vs-NC-Down/rno04060.html","rno04060")</f>
        <v>rno04060</v>
      </c>
    </row>
    <row r="82" spans="1:13" x14ac:dyDescent="0.25">
      <c r="A82" t="s">
        <v>186</v>
      </c>
      <c r="B82" t="s">
        <v>187</v>
      </c>
      <c r="C82" t="s">
        <v>150</v>
      </c>
      <c r="D82" t="s">
        <v>188</v>
      </c>
      <c r="E82">
        <v>9</v>
      </c>
      <c r="F82">
        <v>444</v>
      </c>
      <c r="G82">
        <v>172</v>
      </c>
      <c r="H82">
        <v>7679</v>
      </c>
      <c r="I82">
        <v>0.67007587859386797</v>
      </c>
      <c r="J82">
        <v>1</v>
      </c>
      <c r="K82">
        <v>0.90497328724072901</v>
      </c>
      <c r="L82" t="s">
        <v>1465</v>
      </c>
      <c r="M82" t="str">
        <f>HYPERLINK("../../3.KEGG_map/SCI_II-vs-NC-Down/rno04062.html","rno04062")</f>
        <v>rno04062</v>
      </c>
    </row>
    <row r="83" spans="1:13" x14ac:dyDescent="0.25">
      <c r="A83" t="s">
        <v>712</v>
      </c>
      <c r="B83" t="s">
        <v>713</v>
      </c>
      <c r="C83" t="s">
        <v>123</v>
      </c>
      <c r="D83" t="s">
        <v>162</v>
      </c>
      <c r="E83">
        <v>1</v>
      </c>
      <c r="F83">
        <v>444</v>
      </c>
      <c r="G83">
        <v>89</v>
      </c>
      <c r="H83">
        <v>7679</v>
      </c>
      <c r="I83">
        <v>0.99516702932689705</v>
      </c>
      <c r="J83">
        <v>1</v>
      </c>
      <c r="K83">
        <v>0.19432634882073099</v>
      </c>
      <c r="L83" t="s">
        <v>1466</v>
      </c>
      <c r="M83" t="str">
        <f>HYPERLINK("../../3.KEGG_map/SCI_II-vs-NC-Down/rno04064.html","rno04064")</f>
        <v>rno04064</v>
      </c>
    </row>
    <row r="84" spans="1:13" x14ac:dyDescent="0.25">
      <c r="A84" t="s">
        <v>190</v>
      </c>
      <c r="B84" t="s">
        <v>191</v>
      </c>
      <c r="C84" t="s">
        <v>123</v>
      </c>
      <c r="D84" t="s">
        <v>162</v>
      </c>
      <c r="E84">
        <v>4</v>
      </c>
      <c r="F84">
        <v>444</v>
      </c>
      <c r="G84">
        <v>99</v>
      </c>
      <c r="H84">
        <v>7679</v>
      </c>
      <c r="I84">
        <v>0.83241525727089305</v>
      </c>
      <c r="J84">
        <v>1</v>
      </c>
      <c r="K84">
        <v>0.69878969878969899</v>
      </c>
      <c r="L84" t="s">
        <v>1467</v>
      </c>
      <c r="M84" t="str">
        <f>HYPERLINK("../../3.KEGG_map/SCI_II-vs-NC-Down/rno04066.html","rno04066")</f>
        <v>rno04066</v>
      </c>
    </row>
    <row r="85" spans="1:13" x14ac:dyDescent="0.25">
      <c r="A85" t="s">
        <v>192</v>
      </c>
      <c r="B85" t="s">
        <v>193</v>
      </c>
      <c r="C85" t="s">
        <v>123</v>
      </c>
      <c r="D85" t="s">
        <v>162</v>
      </c>
      <c r="E85">
        <v>10</v>
      </c>
      <c r="F85">
        <v>444</v>
      </c>
      <c r="G85">
        <v>130</v>
      </c>
      <c r="H85">
        <v>7679</v>
      </c>
      <c r="I85">
        <v>0.218783850680383</v>
      </c>
      <c r="J85">
        <v>0.56467070032746502</v>
      </c>
      <c r="K85">
        <v>1.3303880803880801</v>
      </c>
      <c r="L85" t="s">
        <v>1468</v>
      </c>
      <c r="M85" t="str">
        <f>HYPERLINK("../../3.KEGG_map/SCI_II-vs-NC-Down/rno04068.html","rno04068")</f>
        <v>rno04068</v>
      </c>
    </row>
    <row r="86" spans="1:13" x14ac:dyDescent="0.25">
      <c r="A86" t="s">
        <v>195</v>
      </c>
      <c r="B86" t="s">
        <v>196</v>
      </c>
      <c r="C86" t="s">
        <v>123</v>
      </c>
      <c r="D86" t="s">
        <v>162</v>
      </c>
      <c r="E86">
        <v>11</v>
      </c>
      <c r="F86">
        <v>444</v>
      </c>
      <c r="G86">
        <v>97</v>
      </c>
      <c r="H86">
        <v>7679</v>
      </c>
      <c r="I86">
        <v>2.3748494461042199E-2</v>
      </c>
      <c r="J86">
        <v>0.128716839978848</v>
      </c>
      <c r="K86">
        <v>1.9612937679947999</v>
      </c>
      <c r="L86" t="s">
        <v>1469</v>
      </c>
      <c r="M86" t="str">
        <f>HYPERLINK("../../3.KEGG_map/SCI_II-vs-NC-Down/rno04070.html","rno04070")</f>
        <v>rno04070</v>
      </c>
    </row>
    <row r="87" spans="1:13" x14ac:dyDescent="0.25">
      <c r="A87" t="s">
        <v>198</v>
      </c>
      <c r="B87" t="s">
        <v>199</v>
      </c>
      <c r="C87" t="s">
        <v>123</v>
      </c>
      <c r="D87" t="s">
        <v>162</v>
      </c>
      <c r="E87">
        <v>4</v>
      </c>
      <c r="F87">
        <v>444</v>
      </c>
      <c r="G87">
        <v>119</v>
      </c>
      <c r="H87">
        <v>7679</v>
      </c>
      <c r="I87">
        <v>0.91972327723647795</v>
      </c>
      <c r="J87">
        <v>1</v>
      </c>
      <c r="K87">
        <v>0.58134605193428701</v>
      </c>
      <c r="L87" t="s">
        <v>1470</v>
      </c>
      <c r="M87" t="str">
        <f>HYPERLINK("../../3.KEGG_map/SCI_II-vs-NC-Down/rno04071.html","rno04071")</f>
        <v>rno04071</v>
      </c>
    </row>
    <row r="88" spans="1:13" x14ac:dyDescent="0.25">
      <c r="A88" t="s">
        <v>201</v>
      </c>
      <c r="B88" t="s">
        <v>202</v>
      </c>
      <c r="C88" t="s">
        <v>123</v>
      </c>
      <c r="D88" t="s">
        <v>162</v>
      </c>
      <c r="E88">
        <v>12</v>
      </c>
      <c r="F88">
        <v>444</v>
      </c>
      <c r="G88">
        <v>146</v>
      </c>
      <c r="H88">
        <v>7679</v>
      </c>
      <c r="I88">
        <v>0.137859338057428</v>
      </c>
      <c r="J88">
        <v>0.434417216436779</v>
      </c>
      <c r="K88">
        <v>1.4215105516475399</v>
      </c>
      <c r="L88" t="s">
        <v>1471</v>
      </c>
      <c r="M88" t="str">
        <f>HYPERLINK("../../3.KEGG_map/SCI_II-vs-NC-Down/rno04072.html","rno04072")</f>
        <v>rno04072</v>
      </c>
    </row>
    <row r="89" spans="1:13" x14ac:dyDescent="0.25">
      <c r="A89" t="s">
        <v>1198</v>
      </c>
      <c r="B89" t="s">
        <v>1199</v>
      </c>
      <c r="C89" t="s">
        <v>123</v>
      </c>
      <c r="D89" t="s">
        <v>184</v>
      </c>
      <c r="E89">
        <v>46</v>
      </c>
      <c r="F89">
        <v>444</v>
      </c>
      <c r="G89">
        <v>313</v>
      </c>
      <c r="H89">
        <v>7679</v>
      </c>
      <c r="I89" s="1">
        <v>2.8379348231594502E-9</v>
      </c>
      <c r="J89" s="1">
        <v>2.5636011235873702E-7</v>
      </c>
      <c r="K89">
        <v>2.5417638085369698</v>
      </c>
      <c r="L89" t="s">
        <v>1472</v>
      </c>
      <c r="M89" t="str">
        <f>HYPERLINK("../../3.KEGG_map/SCI_II-vs-NC-Down/rno04080.html","rno04080")</f>
        <v>rno04080</v>
      </c>
    </row>
    <row r="90" spans="1:13" x14ac:dyDescent="0.25">
      <c r="A90" t="s">
        <v>204</v>
      </c>
      <c r="B90" t="s">
        <v>205</v>
      </c>
      <c r="C90" t="s">
        <v>206</v>
      </c>
      <c r="D90" t="s">
        <v>207</v>
      </c>
      <c r="E90">
        <v>3</v>
      </c>
      <c r="F90">
        <v>444</v>
      </c>
      <c r="G90">
        <v>123</v>
      </c>
      <c r="H90">
        <v>7679</v>
      </c>
      <c r="I90">
        <v>0.97655160053472001</v>
      </c>
      <c r="J90">
        <v>1</v>
      </c>
      <c r="K90">
        <v>0.42183036695231801</v>
      </c>
      <c r="L90" t="s">
        <v>1473</v>
      </c>
      <c r="M90" t="str">
        <f>HYPERLINK("../../3.KEGG_map/SCI_II-vs-NC-Down/rno04110.html","rno04110")</f>
        <v>rno04110</v>
      </c>
    </row>
    <row r="91" spans="1:13" x14ac:dyDescent="0.25">
      <c r="A91" t="s">
        <v>209</v>
      </c>
      <c r="B91" t="s">
        <v>210</v>
      </c>
      <c r="C91" t="s">
        <v>206</v>
      </c>
      <c r="D91" t="s">
        <v>207</v>
      </c>
      <c r="E91">
        <v>8</v>
      </c>
      <c r="F91">
        <v>444</v>
      </c>
      <c r="G91">
        <v>112</v>
      </c>
      <c r="H91">
        <v>7679</v>
      </c>
      <c r="I91">
        <v>0.32070909064344499</v>
      </c>
      <c r="J91">
        <v>0.74283900482370502</v>
      </c>
      <c r="K91">
        <v>1.23536036036036</v>
      </c>
      <c r="L91" t="s">
        <v>1202</v>
      </c>
      <c r="M91" t="str">
        <f>HYPERLINK("../../3.KEGG_map/SCI_II-vs-NC-Down/rno04114.html","rno04114")</f>
        <v>rno04114</v>
      </c>
    </row>
    <row r="92" spans="1:13" x14ac:dyDescent="0.25">
      <c r="A92" t="s">
        <v>212</v>
      </c>
      <c r="B92" t="s">
        <v>213</v>
      </c>
      <c r="C92" t="s">
        <v>206</v>
      </c>
      <c r="D92" t="s">
        <v>207</v>
      </c>
      <c r="E92">
        <v>3</v>
      </c>
      <c r="F92">
        <v>444</v>
      </c>
      <c r="G92">
        <v>66</v>
      </c>
      <c r="H92">
        <v>7679</v>
      </c>
      <c r="I92">
        <v>0.74357496522851996</v>
      </c>
      <c r="J92">
        <v>1</v>
      </c>
      <c r="K92">
        <v>0.78613841113841099</v>
      </c>
      <c r="L92" t="s">
        <v>1474</v>
      </c>
      <c r="M92" t="str">
        <f>HYPERLINK("../../3.KEGG_map/SCI_II-vs-NC-Down/rno04115.html","rno04115")</f>
        <v>rno04115</v>
      </c>
    </row>
    <row r="93" spans="1:13" x14ac:dyDescent="0.25">
      <c r="A93" t="s">
        <v>215</v>
      </c>
      <c r="B93" t="s">
        <v>216</v>
      </c>
      <c r="C93" t="s">
        <v>128</v>
      </c>
      <c r="D93" t="s">
        <v>139</v>
      </c>
      <c r="E93">
        <v>1</v>
      </c>
      <c r="F93">
        <v>444</v>
      </c>
      <c r="G93">
        <v>132</v>
      </c>
      <c r="H93">
        <v>7679</v>
      </c>
      <c r="I93">
        <v>0.99964082627217599</v>
      </c>
      <c r="J93">
        <v>1</v>
      </c>
      <c r="K93">
        <v>0.131023068523069</v>
      </c>
      <c r="L93" t="s">
        <v>1205</v>
      </c>
      <c r="M93" t="str">
        <f>HYPERLINK("../../3.KEGG_map/SCI_II-vs-NC-Down/rno04120.html","rno04120")</f>
        <v>rno04120</v>
      </c>
    </row>
    <row r="94" spans="1:13" x14ac:dyDescent="0.25">
      <c r="A94" t="s">
        <v>1475</v>
      </c>
      <c r="B94" t="s">
        <v>1476</v>
      </c>
      <c r="C94" t="s">
        <v>128</v>
      </c>
      <c r="D94" t="s">
        <v>139</v>
      </c>
      <c r="E94">
        <v>1</v>
      </c>
      <c r="F94">
        <v>444</v>
      </c>
      <c r="G94">
        <v>8</v>
      </c>
      <c r="H94">
        <v>7679</v>
      </c>
      <c r="I94">
        <v>0.37916856822309802</v>
      </c>
      <c r="J94">
        <v>0.82203745590767596</v>
      </c>
      <c r="K94">
        <v>2.16188063063063</v>
      </c>
      <c r="L94" t="s">
        <v>1448</v>
      </c>
      <c r="M94" t="str">
        <f>HYPERLINK("../../3.KEGG_map/SCI_II-vs-NC-Down/rno04122.html","rno04122")</f>
        <v>rno04122</v>
      </c>
    </row>
    <row r="95" spans="1:13" x14ac:dyDescent="0.25">
      <c r="A95" t="s">
        <v>939</v>
      </c>
      <c r="B95" t="s">
        <v>940</v>
      </c>
      <c r="C95" t="s">
        <v>206</v>
      </c>
      <c r="D95" t="s">
        <v>220</v>
      </c>
      <c r="E95">
        <v>1</v>
      </c>
      <c r="F95">
        <v>444</v>
      </c>
      <c r="G95">
        <v>63</v>
      </c>
      <c r="H95">
        <v>7679</v>
      </c>
      <c r="I95">
        <v>0.976899725504633</v>
      </c>
      <c r="J95">
        <v>1</v>
      </c>
      <c r="K95">
        <v>0.27452452452452503</v>
      </c>
      <c r="L95" t="s">
        <v>1205</v>
      </c>
      <c r="M95" t="str">
        <f>HYPERLINK("../../3.KEGG_map/SCI_II-vs-NC-Down/rno04137.html","rno04137")</f>
        <v>rno04137</v>
      </c>
    </row>
    <row r="96" spans="1:13" x14ac:dyDescent="0.25">
      <c r="A96" t="s">
        <v>218</v>
      </c>
      <c r="B96" t="s">
        <v>219</v>
      </c>
      <c r="C96" t="s">
        <v>206</v>
      </c>
      <c r="D96" t="s">
        <v>220</v>
      </c>
      <c r="E96">
        <v>5</v>
      </c>
      <c r="F96">
        <v>444</v>
      </c>
      <c r="G96">
        <v>129</v>
      </c>
      <c r="H96">
        <v>7679</v>
      </c>
      <c r="I96">
        <v>0.87458238559303303</v>
      </c>
      <c r="J96">
        <v>1</v>
      </c>
      <c r="K96">
        <v>0.67035058314128104</v>
      </c>
      <c r="L96" t="s">
        <v>1477</v>
      </c>
      <c r="M96" t="str">
        <f>HYPERLINK("../../3.KEGG_map/SCI_II-vs-NC-Down/rno04140.html","rno04140")</f>
        <v>rno04140</v>
      </c>
    </row>
    <row r="97" spans="1:13" x14ac:dyDescent="0.25">
      <c r="A97" t="s">
        <v>221</v>
      </c>
      <c r="B97" t="s">
        <v>222</v>
      </c>
      <c r="C97" t="s">
        <v>128</v>
      </c>
      <c r="D97" t="s">
        <v>139</v>
      </c>
      <c r="E97">
        <v>3</v>
      </c>
      <c r="F97">
        <v>444</v>
      </c>
      <c r="G97">
        <v>160</v>
      </c>
      <c r="H97">
        <v>7679</v>
      </c>
      <c r="I97">
        <v>0.99600083802988904</v>
      </c>
      <c r="J97">
        <v>1</v>
      </c>
      <c r="K97">
        <v>0.32428209459459501</v>
      </c>
      <c r="L97" t="s">
        <v>1478</v>
      </c>
      <c r="M97" t="str">
        <f>HYPERLINK("../../3.KEGG_map/SCI_II-vs-NC-Down/rno04141.html","rno04141")</f>
        <v>rno04141</v>
      </c>
    </row>
    <row r="98" spans="1:13" x14ac:dyDescent="0.25">
      <c r="A98" t="s">
        <v>224</v>
      </c>
      <c r="B98" t="s">
        <v>225</v>
      </c>
      <c r="C98" t="s">
        <v>206</v>
      </c>
      <c r="D98" t="s">
        <v>220</v>
      </c>
      <c r="E98">
        <v>2</v>
      </c>
      <c r="F98">
        <v>444</v>
      </c>
      <c r="G98">
        <v>125</v>
      </c>
      <c r="H98">
        <v>7679</v>
      </c>
      <c r="I98">
        <v>0.99516661242524196</v>
      </c>
      <c r="J98">
        <v>1</v>
      </c>
      <c r="K98">
        <v>0.27672072072072101</v>
      </c>
      <c r="L98" t="s">
        <v>1479</v>
      </c>
      <c r="M98" t="str">
        <f>HYPERLINK("../../3.KEGG_map/SCI_II-vs-NC-Down/rno04142.html","rno04142")</f>
        <v>rno04142</v>
      </c>
    </row>
    <row r="99" spans="1:13" x14ac:dyDescent="0.25">
      <c r="A99" t="s">
        <v>227</v>
      </c>
      <c r="B99" t="s">
        <v>228</v>
      </c>
      <c r="C99" t="s">
        <v>206</v>
      </c>
      <c r="D99" t="s">
        <v>220</v>
      </c>
      <c r="E99">
        <v>4</v>
      </c>
      <c r="F99">
        <v>444</v>
      </c>
      <c r="G99">
        <v>256</v>
      </c>
      <c r="H99">
        <v>7679</v>
      </c>
      <c r="I99">
        <v>0.99984353908905299</v>
      </c>
      <c r="J99">
        <v>1</v>
      </c>
      <c r="K99">
        <v>0.27023507882882902</v>
      </c>
      <c r="L99" t="s">
        <v>1480</v>
      </c>
      <c r="M99" t="str">
        <f>HYPERLINK("../../3.KEGG_map/SCI_II-vs-NC-Down/rno04144.html","rno04144")</f>
        <v>rno04144</v>
      </c>
    </row>
    <row r="100" spans="1:13" x14ac:dyDescent="0.25">
      <c r="A100" t="s">
        <v>230</v>
      </c>
      <c r="B100" t="s">
        <v>231</v>
      </c>
      <c r="C100" t="s">
        <v>206</v>
      </c>
      <c r="D100" t="s">
        <v>220</v>
      </c>
      <c r="E100">
        <v>3</v>
      </c>
      <c r="F100">
        <v>444</v>
      </c>
      <c r="G100">
        <v>169</v>
      </c>
      <c r="H100">
        <v>7679</v>
      </c>
      <c r="I100">
        <v>0.99744127834694696</v>
      </c>
      <c r="J100">
        <v>1</v>
      </c>
      <c r="K100">
        <v>0.30701263393571099</v>
      </c>
      <c r="L100" t="s">
        <v>1481</v>
      </c>
      <c r="M100" t="str">
        <f>HYPERLINK("../../3.KEGG_map/SCI_II-vs-NC-Down/rno04145.html","rno04145")</f>
        <v>rno04145</v>
      </c>
    </row>
    <row r="101" spans="1:13" x14ac:dyDescent="0.25">
      <c r="A101" t="s">
        <v>233</v>
      </c>
      <c r="B101" t="s">
        <v>234</v>
      </c>
      <c r="C101" t="s">
        <v>206</v>
      </c>
      <c r="D101" t="s">
        <v>220</v>
      </c>
      <c r="E101">
        <v>4</v>
      </c>
      <c r="F101">
        <v>444</v>
      </c>
      <c r="G101">
        <v>81</v>
      </c>
      <c r="H101">
        <v>7679</v>
      </c>
      <c r="I101">
        <v>0.69703410902146501</v>
      </c>
      <c r="J101">
        <v>1</v>
      </c>
      <c r="K101">
        <v>0.85407629852074296</v>
      </c>
      <c r="L101" t="s">
        <v>1482</v>
      </c>
      <c r="M101" t="str">
        <f>HYPERLINK("../../3.KEGG_map/SCI_II-vs-NC-Down/rno04146.html","rno04146")</f>
        <v>rno04146</v>
      </c>
    </row>
    <row r="102" spans="1:13" x14ac:dyDescent="0.25">
      <c r="A102" t="s">
        <v>236</v>
      </c>
      <c r="B102" t="s">
        <v>237</v>
      </c>
      <c r="C102" t="s">
        <v>123</v>
      </c>
      <c r="D102" t="s">
        <v>162</v>
      </c>
      <c r="E102">
        <v>10</v>
      </c>
      <c r="F102">
        <v>444</v>
      </c>
      <c r="G102">
        <v>150</v>
      </c>
      <c r="H102">
        <v>7679</v>
      </c>
      <c r="I102">
        <v>0.367742570079784</v>
      </c>
      <c r="J102">
        <v>0.805187633328451</v>
      </c>
      <c r="K102">
        <v>1.1530030030030001</v>
      </c>
      <c r="L102" t="s">
        <v>1483</v>
      </c>
      <c r="M102" t="str">
        <f>HYPERLINK("../../3.KEGG_map/SCI_II-vs-NC-Down/rno04150.html","rno04150")</f>
        <v>rno04150</v>
      </c>
    </row>
    <row r="103" spans="1:13" x14ac:dyDescent="0.25">
      <c r="A103" t="s">
        <v>239</v>
      </c>
      <c r="B103" t="s">
        <v>240</v>
      </c>
      <c r="C103" t="s">
        <v>123</v>
      </c>
      <c r="D103" t="s">
        <v>162</v>
      </c>
      <c r="E103">
        <v>16</v>
      </c>
      <c r="F103">
        <v>444</v>
      </c>
      <c r="G103">
        <v>335</v>
      </c>
      <c r="H103">
        <v>7679</v>
      </c>
      <c r="I103">
        <v>0.82190084567782595</v>
      </c>
      <c r="J103">
        <v>1</v>
      </c>
      <c r="K103">
        <v>0.82603200215140504</v>
      </c>
      <c r="L103" t="s">
        <v>1484</v>
      </c>
      <c r="M103" t="str">
        <f>HYPERLINK("../../3.KEGG_map/SCI_II-vs-NC-Down/rno04151.html","rno04151")</f>
        <v>rno04151</v>
      </c>
    </row>
    <row r="104" spans="1:13" x14ac:dyDescent="0.25">
      <c r="A104" t="s">
        <v>242</v>
      </c>
      <c r="B104" t="s">
        <v>243</v>
      </c>
      <c r="C104" t="s">
        <v>123</v>
      </c>
      <c r="D104" t="s">
        <v>162</v>
      </c>
      <c r="E104">
        <v>12</v>
      </c>
      <c r="F104">
        <v>444</v>
      </c>
      <c r="G104">
        <v>123</v>
      </c>
      <c r="H104">
        <v>7679</v>
      </c>
      <c r="I104">
        <v>5.1611104360848398E-2</v>
      </c>
      <c r="J104">
        <v>0.211918322451362</v>
      </c>
      <c r="K104">
        <v>1.6873214678092701</v>
      </c>
      <c r="L104" t="s">
        <v>1485</v>
      </c>
      <c r="M104" t="str">
        <f>HYPERLINK("../../3.KEGG_map/SCI_II-vs-NC-Down/rno04152.html","rno04152")</f>
        <v>rno04152</v>
      </c>
    </row>
    <row r="105" spans="1:13" x14ac:dyDescent="0.25">
      <c r="A105" t="s">
        <v>245</v>
      </c>
      <c r="B105" t="s">
        <v>246</v>
      </c>
      <c r="C105" t="s">
        <v>206</v>
      </c>
      <c r="D105" t="s">
        <v>207</v>
      </c>
      <c r="E105">
        <v>1</v>
      </c>
      <c r="F105">
        <v>444</v>
      </c>
      <c r="G105">
        <v>134</v>
      </c>
      <c r="H105">
        <v>7679</v>
      </c>
      <c r="I105">
        <v>0.99968184709433405</v>
      </c>
      <c r="J105">
        <v>1</v>
      </c>
      <c r="K105">
        <v>0.12906750033615699</v>
      </c>
      <c r="L105" t="s">
        <v>1486</v>
      </c>
      <c r="M105" t="str">
        <f>HYPERLINK("../../3.KEGG_map/SCI_II-vs-NC-Down/rno04210.html","rno04210")</f>
        <v>rno04210</v>
      </c>
    </row>
    <row r="106" spans="1:13" x14ac:dyDescent="0.25">
      <c r="A106" t="s">
        <v>248</v>
      </c>
      <c r="B106" t="s">
        <v>249</v>
      </c>
      <c r="C106" t="s">
        <v>150</v>
      </c>
      <c r="D106" t="s">
        <v>250</v>
      </c>
      <c r="E106">
        <v>10</v>
      </c>
      <c r="F106">
        <v>444</v>
      </c>
      <c r="G106">
        <v>89</v>
      </c>
      <c r="H106">
        <v>7679</v>
      </c>
      <c r="I106">
        <v>3.2025943034898301E-2</v>
      </c>
      <c r="J106">
        <v>0.15226369407820101</v>
      </c>
      <c r="K106">
        <v>1.9432634882073101</v>
      </c>
      <c r="L106" t="s">
        <v>1487</v>
      </c>
      <c r="M106" t="str">
        <f>HYPERLINK("../../3.KEGG_map/SCI_II-vs-NC-Down/rno04211.html","rno04211")</f>
        <v>rno04211</v>
      </c>
    </row>
    <row r="107" spans="1:13" x14ac:dyDescent="0.25">
      <c r="A107" t="s">
        <v>252</v>
      </c>
      <c r="B107" t="s">
        <v>253</v>
      </c>
      <c r="C107" t="s">
        <v>150</v>
      </c>
      <c r="D107" t="s">
        <v>250</v>
      </c>
      <c r="E107">
        <v>7</v>
      </c>
      <c r="F107">
        <v>444</v>
      </c>
      <c r="G107">
        <v>62</v>
      </c>
      <c r="H107">
        <v>7679</v>
      </c>
      <c r="I107">
        <v>6.5359582127936702E-2</v>
      </c>
      <c r="J107">
        <v>0.24797534559609599</v>
      </c>
      <c r="K107">
        <v>1.9526663760534699</v>
      </c>
      <c r="L107" t="s">
        <v>1488</v>
      </c>
      <c r="M107" t="str">
        <f>HYPERLINK("../../3.KEGG_map/SCI_II-vs-NC-Down/rno04213.html","rno04213")</f>
        <v>rno04213</v>
      </c>
    </row>
    <row r="108" spans="1:13" x14ac:dyDescent="0.25">
      <c r="A108" t="s">
        <v>1489</v>
      </c>
      <c r="B108" t="s">
        <v>1490</v>
      </c>
      <c r="C108" t="s">
        <v>206</v>
      </c>
      <c r="D108" t="s">
        <v>207</v>
      </c>
      <c r="E108">
        <v>1</v>
      </c>
      <c r="F108">
        <v>444</v>
      </c>
      <c r="G108">
        <v>32</v>
      </c>
      <c r="H108">
        <v>7679</v>
      </c>
      <c r="I108">
        <v>0.85189919844183104</v>
      </c>
      <c r="J108">
        <v>1</v>
      </c>
      <c r="K108">
        <v>0.54047015765765805</v>
      </c>
      <c r="L108" t="s">
        <v>1491</v>
      </c>
      <c r="M108" t="str">
        <f>HYPERLINK("../../3.KEGG_map/SCI_II-vs-NC-Down/rno04215.html","rno04215")</f>
        <v>rno04215</v>
      </c>
    </row>
    <row r="109" spans="1:13" x14ac:dyDescent="0.25">
      <c r="A109" t="s">
        <v>734</v>
      </c>
      <c r="B109" t="s">
        <v>735</v>
      </c>
      <c r="C109" t="s">
        <v>206</v>
      </c>
      <c r="D109" t="s">
        <v>207</v>
      </c>
      <c r="E109">
        <v>1</v>
      </c>
      <c r="F109">
        <v>444</v>
      </c>
      <c r="G109">
        <v>39</v>
      </c>
      <c r="H109">
        <v>7679</v>
      </c>
      <c r="I109">
        <v>0.90258179521940196</v>
      </c>
      <c r="J109">
        <v>1</v>
      </c>
      <c r="K109">
        <v>0.44346269346269301</v>
      </c>
      <c r="L109" t="s">
        <v>1218</v>
      </c>
      <c r="M109" t="str">
        <f>HYPERLINK("../../3.KEGG_map/SCI_II-vs-NC-Down/rno04216.html","rno04216")</f>
        <v>rno04216</v>
      </c>
    </row>
    <row r="110" spans="1:13" x14ac:dyDescent="0.25">
      <c r="A110" t="s">
        <v>255</v>
      </c>
      <c r="B110" t="s">
        <v>256</v>
      </c>
      <c r="C110" t="s">
        <v>206</v>
      </c>
      <c r="D110" t="s">
        <v>207</v>
      </c>
      <c r="E110">
        <v>1</v>
      </c>
      <c r="F110">
        <v>444</v>
      </c>
      <c r="G110">
        <v>145</v>
      </c>
      <c r="H110">
        <v>7679</v>
      </c>
      <c r="I110">
        <v>0.99983680730660696</v>
      </c>
      <c r="J110">
        <v>1</v>
      </c>
      <c r="K110">
        <v>0.119276172724449</v>
      </c>
      <c r="L110" t="s">
        <v>1492</v>
      </c>
      <c r="M110" t="str">
        <f>HYPERLINK("../../3.KEGG_map/SCI_II-vs-NC-Down/rno04217.html","rno04217")</f>
        <v>rno04217</v>
      </c>
    </row>
    <row r="111" spans="1:13" x14ac:dyDescent="0.25">
      <c r="A111" t="s">
        <v>258</v>
      </c>
      <c r="B111" t="s">
        <v>259</v>
      </c>
      <c r="C111" t="s">
        <v>206</v>
      </c>
      <c r="D111" t="s">
        <v>207</v>
      </c>
      <c r="E111">
        <v>6</v>
      </c>
      <c r="F111">
        <v>444</v>
      </c>
      <c r="G111">
        <v>173</v>
      </c>
      <c r="H111">
        <v>7679</v>
      </c>
      <c r="I111">
        <v>0.94054695695607204</v>
      </c>
      <c r="J111">
        <v>1</v>
      </c>
      <c r="K111">
        <v>0.59982815185127303</v>
      </c>
      <c r="L111" t="s">
        <v>1493</v>
      </c>
      <c r="M111" t="str">
        <f>HYPERLINK("../../3.KEGG_map/SCI_II-vs-NC-Down/rno04218.html","rno04218")</f>
        <v>rno04218</v>
      </c>
    </row>
    <row r="112" spans="1:13" x14ac:dyDescent="0.25">
      <c r="A112" t="s">
        <v>261</v>
      </c>
      <c r="B112" t="s">
        <v>262</v>
      </c>
      <c r="C112" t="s">
        <v>150</v>
      </c>
      <c r="D112" t="s">
        <v>263</v>
      </c>
      <c r="E112">
        <v>9</v>
      </c>
      <c r="F112">
        <v>444</v>
      </c>
      <c r="G112">
        <v>75</v>
      </c>
      <c r="H112">
        <v>7679</v>
      </c>
      <c r="I112">
        <v>2.8160140794002701E-2</v>
      </c>
      <c r="J112">
        <v>0.13627496705669201</v>
      </c>
      <c r="K112">
        <v>2.0754054054054101</v>
      </c>
      <c r="L112" t="s">
        <v>1494</v>
      </c>
      <c r="M112" t="str">
        <f>HYPERLINK("../../3.KEGG_map/SCI_II-vs-NC-Down/rno04260.html","rno04260")</f>
        <v>rno04260</v>
      </c>
    </row>
    <row r="113" spans="1:13" x14ac:dyDescent="0.25">
      <c r="A113" t="s">
        <v>265</v>
      </c>
      <c r="B113" t="s">
        <v>266</v>
      </c>
      <c r="C113" t="s">
        <v>150</v>
      </c>
      <c r="D113" t="s">
        <v>263</v>
      </c>
      <c r="E113">
        <v>22</v>
      </c>
      <c r="F113">
        <v>444</v>
      </c>
      <c r="G113">
        <v>143</v>
      </c>
      <c r="H113">
        <v>7679</v>
      </c>
      <c r="I113" s="1">
        <v>2.14297473556416E-5</v>
      </c>
      <c r="J113">
        <v>6.4527350370876299E-4</v>
      </c>
      <c r="K113">
        <v>2.6607761607761602</v>
      </c>
      <c r="L113" t="s">
        <v>1495</v>
      </c>
      <c r="M113" t="str">
        <f>HYPERLINK("../../3.KEGG_map/SCI_II-vs-NC-Down/rno04261.html","rno04261")</f>
        <v>rno04261</v>
      </c>
    </row>
    <row r="114" spans="1:13" x14ac:dyDescent="0.25">
      <c r="A114" t="s">
        <v>268</v>
      </c>
      <c r="B114" t="s">
        <v>269</v>
      </c>
      <c r="C114" t="s">
        <v>150</v>
      </c>
      <c r="D114" t="s">
        <v>263</v>
      </c>
      <c r="E114">
        <v>26</v>
      </c>
      <c r="F114">
        <v>444</v>
      </c>
      <c r="G114">
        <v>130</v>
      </c>
      <c r="H114">
        <v>7679</v>
      </c>
      <c r="I114" s="1">
        <v>1.8005237274650199E-8</v>
      </c>
      <c r="J114" s="1">
        <v>1.2198548253575501E-6</v>
      </c>
      <c r="K114">
        <v>3.45900900900901</v>
      </c>
      <c r="L114" t="s">
        <v>1496</v>
      </c>
      <c r="M114" t="str">
        <f>HYPERLINK("../../3.KEGG_map/SCI_II-vs-NC-Down/rno04270.html","rno04270")</f>
        <v>rno04270</v>
      </c>
    </row>
    <row r="115" spans="1:13" x14ac:dyDescent="0.25">
      <c r="A115" t="s">
        <v>271</v>
      </c>
      <c r="B115" t="s">
        <v>272</v>
      </c>
      <c r="C115" t="s">
        <v>123</v>
      </c>
      <c r="D115" t="s">
        <v>162</v>
      </c>
      <c r="E115">
        <v>16</v>
      </c>
      <c r="F115">
        <v>444</v>
      </c>
      <c r="G115">
        <v>143</v>
      </c>
      <c r="H115">
        <v>7679</v>
      </c>
      <c r="I115">
        <v>8.2204821500764403E-3</v>
      </c>
      <c r="J115">
        <v>5.7773001327105902E-2</v>
      </c>
      <c r="K115">
        <v>1.9351099351099399</v>
      </c>
      <c r="L115" t="s">
        <v>1497</v>
      </c>
      <c r="M115" t="str">
        <f>HYPERLINK("../../3.KEGG_map/SCI_II-vs-NC-Down/rno04310.html","rno04310")</f>
        <v>rno04310</v>
      </c>
    </row>
    <row r="116" spans="1:13" x14ac:dyDescent="0.25">
      <c r="A116" t="s">
        <v>277</v>
      </c>
      <c r="B116" t="s">
        <v>278</v>
      </c>
      <c r="C116" t="s">
        <v>123</v>
      </c>
      <c r="D116" t="s">
        <v>162</v>
      </c>
      <c r="E116">
        <v>3</v>
      </c>
      <c r="F116">
        <v>444</v>
      </c>
      <c r="G116">
        <v>43</v>
      </c>
      <c r="H116">
        <v>7679</v>
      </c>
      <c r="I116">
        <v>0.45668817345221902</v>
      </c>
      <c r="J116">
        <v>0.93054507522970897</v>
      </c>
      <c r="K116">
        <v>1.20663104965431</v>
      </c>
      <c r="L116" t="s">
        <v>1498</v>
      </c>
      <c r="M116" t="str">
        <f>HYPERLINK("../../3.KEGG_map/SCI_II-vs-NC-Down/rno04340.html","rno04340")</f>
        <v>rno04340</v>
      </c>
    </row>
    <row r="117" spans="1:13" x14ac:dyDescent="0.25">
      <c r="A117" t="s">
        <v>280</v>
      </c>
      <c r="B117" t="s">
        <v>281</v>
      </c>
      <c r="C117" t="s">
        <v>123</v>
      </c>
      <c r="D117" t="s">
        <v>162</v>
      </c>
      <c r="E117">
        <v>10</v>
      </c>
      <c r="F117">
        <v>444</v>
      </c>
      <c r="G117">
        <v>84</v>
      </c>
      <c r="H117">
        <v>7679</v>
      </c>
      <c r="I117">
        <v>2.24096776652014E-2</v>
      </c>
      <c r="J117">
        <v>0.12652130515144999</v>
      </c>
      <c r="K117">
        <v>2.0589339339339299</v>
      </c>
      <c r="L117" t="s">
        <v>1499</v>
      </c>
      <c r="M117" t="str">
        <f>HYPERLINK("../../3.KEGG_map/SCI_II-vs-NC-Down/rno04350.html","rno04350")</f>
        <v>rno04350</v>
      </c>
    </row>
    <row r="118" spans="1:13" x14ac:dyDescent="0.25">
      <c r="A118" t="s">
        <v>283</v>
      </c>
      <c r="B118" t="s">
        <v>284</v>
      </c>
      <c r="C118" t="s">
        <v>150</v>
      </c>
      <c r="D118" t="s">
        <v>285</v>
      </c>
      <c r="E118">
        <v>20</v>
      </c>
      <c r="F118">
        <v>444</v>
      </c>
      <c r="G118">
        <v>175</v>
      </c>
      <c r="H118">
        <v>7679</v>
      </c>
      <c r="I118">
        <v>2.6029833890053502E-3</v>
      </c>
      <c r="J118">
        <v>2.3664170569255499E-2</v>
      </c>
      <c r="K118">
        <v>1.9765765765765799</v>
      </c>
      <c r="L118" t="s">
        <v>1500</v>
      </c>
      <c r="M118" t="str">
        <f>HYPERLINK("../../3.KEGG_map/SCI_II-vs-NC-Down/rno04360.html","rno04360")</f>
        <v>rno04360</v>
      </c>
    </row>
    <row r="119" spans="1:13" x14ac:dyDescent="0.25">
      <c r="A119" t="s">
        <v>747</v>
      </c>
      <c r="B119" t="s">
        <v>748</v>
      </c>
      <c r="C119" t="s">
        <v>123</v>
      </c>
      <c r="D119" t="s">
        <v>162</v>
      </c>
      <c r="E119">
        <v>1</v>
      </c>
      <c r="F119">
        <v>444</v>
      </c>
      <c r="G119">
        <v>57</v>
      </c>
      <c r="H119">
        <v>7679</v>
      </c>
      <c r="I119">
        <v>0.96688208580546697</v>
      </c>
      <c r="J119">
        <v>1</v>
      </c>
      <c r="K119">
        <v>0.30342184289552698</v>
      </c>
      <c r="L119" t="s">
        <v>1229</v>
      </c>
      <c r="M119" t="str">
        <f>HYPERLINK("../../3.KEGG_map/SCI_II-vs-NC-Down/rno04370.html","rno04370")</f>
        <v>rno04370</v>
      </c>
    </row>
    <row r="120" spans="1:13" x14ac:dyDescent="0.25">
      <c r="A120" t="s">
        <v>287</v>
      </c>
      <c r="B120" t="s">
        <v>288</v>
      </c>
      <c r="C120" t="s">
        <v>123</v>
      </c>
      <c r="D120" t="s">
        <v>162</v>
      </c>
      <c r="E120">
        <v>18</v>
      </c>
      <c r="F120">
        <v>444</v>
      </c>
      <c r="G120">
        <v>134</v>
      </c>
      <c r="H120">
        <v>7679</v>
      </c>
      <c r="I120">
        <v>6.6390083873109796E-4</v>
      </c>
      <c r="J120">
        <v>7.3750785134192396E-3</v>
      </c>
      <c r="K120">
        <v>2.3232150060508299</v>
      </c>
      <c r="L120" t="s">
        <v>1501</v>
      </c>
      <c r="M120" t="str">
        <f>HYPERLINK("../../3.KEGG_map/SCI_II-vs-NC-Down/rno04371.html","rno04371")</f>
        <v>rno04371</v>
      </c>
    </row>
    <row r="121" spans="1:13" x14ac:dyDescent="0.25">
      <c r="A121" t="s">
        <v>290</v>
      </c>
      <c r="B121" t="s">
        <v>291</v>
      </c>
      <c r="C121" t="s">
        <v>150</v>
      </c>
      <c r="D121" t="s">
        <v>285</v>
      </c>
      <c r="E121">
        <v>4</v>
      </c>
      <c r="F121">
        <v>444</v>
      </c>
      <c r="G121">
        <v>122</v>
      </c>
      <c r="H121">
        <v>7679</v>
      </c>
      <c r="I121">
        <v>0.92853438155832102</v>
      </c>
      <c r="J121">
        <v>1</v>
      </c>
      <c r="K121">
        <v>0.56705065721459202</v>
      </c>
      <c r="L121" t="s">
        <v>1502</v>
      </c>
      <c r="M121" t="str">
        <f>HYPERLINK("../../3.KEGG_map/SCI_II-vs-NC-Down/rno04380.html","rno04380")</f>
        <v>rno04380</v>
      </c>
    </row>
    <row r="122" spans="1:13" x14ac:dyDescent="0.25">
      <c r="A122" t="s">
        <v>293</v>
      </c>
      <c r="B122" t="s">
        <v>294</v>
      </c>
      <c r="C122" t="s">
        <v>123</v>
      </c>
      <c r="D122" t="s">
        <v>162</v>
      </c>
      <c r="E122">
        <v>13</v>
      </c>
      <c r="F122">
        <v>444</v>
      </c>
      <c r="G122">
        <v>152</v>
      </c>
      <c r="H122">
        <v>7679</v>
      </c>
      <c r="I122">
        <v>0.100739688604363</v>
      </c>
      <c r="J122">
        <v>0.35000584117669797</v>
      </c>
      <c r="K122">
        <v>1.4791814841156901</v>
      </c>
      <c r="L122" t="s">
        <v>1503</v>
      </c>
      <c r="M122" t="str">
        <f>HYPERLINK("../../3.KEGG_map/SCI_II-vs-NC-Down/rno04390.html","rno04390")</f>
        <v>rno04390</v>
      </c>
    </row>
    <row r="123" spans="1:13" x14ac:dyDescent="0.25">
      <c r="A123" t="s">
        <v>296</v>
      </c>
      <c r="B123" t="s">
        <v>297</v>
      </c>
      <c r="C123" t="s">
        <v>123</v>
      </c>
      <c r="D123" t="s">
        <v>162</v>
      </c>
      <c r="E123">
        <v>3</v>
      </c>
      <c r="F123">
        <v>444</v>
      </c>
      <c r="G123">
        <v>28</v>
      </c>
      <c r="H123">
        <v>7679</v>
      </c>
      <c r="I123">
        <v>0.218255167288124</v>
      </c>
      <c r="J123">
        <v>0.56467070032746502</v>
      </c>
      <c r="K123">
        <v>1.8530405405405399</v>
      </c>
      <c r="L123" t="s">
        <v>1504</v>
      </c>
      <c r="M123" t="str">
        <f>HYPERLINK("../../3.KEGG_map/SCI_II-vs-NC-Down/rno04392.html","rno04392")</f>
        <v>rno04392</v>
      </c>
    </row>
    <row r="124" spans="1:13" x14ac:dyDescent="0.25">
      <c r="A124" t="s">
        <v>299</v>
      </c>
      <c r="B124" t="s">
        <v>300</v>
      </c>
      <c r="C124" t="s">
        <v>206</v>
      </c>
      <c r="D124" t="s">
        <v>301</v>
      </c>
      <c r="E124">
        <v>12</v>
      </c>
      <c r="F124">
        <v>444</v>
      </c>
      <c r="G124">
        <v>196</v>
      </c>
      <c r="H124">
        <v>7679</v>
      </c>
      <c r="I124">
        <v>0.46198024713959002</v>
      </c>
      <c r="J124">
        <v>0.93430333563305001</v>
      </c>
      <c r="K124">
        <v>1.05888030888031</v>
      </c>
      <c r="L124" t="s">
        <v>1505</v>
      </c>
      <c r="M124" t="str">
        <f>HYPERLINK("../../3.KEGG_map/SCI_II-vs-NC-Down/rno04510.html","rno04510")</f>
        <v>rno04510</v>
      </c>
    </row>
    <row r="125" spans="1:13" x14ac:dyDescent="0.25">
      <c r="A125" t="s">
        <v>303</v>
      </c>
      <c r="B125" t="s">
        <v>304</v>
      </c>
      <c r="C125" t="s">
        <v>123</v>
      </c>
      <c r="D125" t="s">
        <v>184</v>
      </c>
      <c r="E125">
        <v>4</v>
      </c>
      <c r="F125">
        <v>444</v>
      </c>
      <c r="G125">
        <v>82</v>
      </c>
      <c r="H125">
        <v>7679</v>
      </c>
      <c r="I125">
        <v>0.70622810922953605</v>
      </c>
      <c r="J125">
        <v>1</v>
      </c>
      <c r="K125">
        <v>0.84366073390463603</v>
      </c>
      <c r="L125" t="s">
        <v>1506</v>
      </c>
      <c r="M125" t="str">
        <f>HYPERLINK("../../3.KEGG_map/SCI_II-vs-NC-Down/rno04512.html","rno04512")</f>
        <v>rno04512</v>
      </c>
    </row>
    <row r="126" spans="1:13" x14ac:dyDescent="0.25">
      <c r="A126" t="s">
        <v>306</v>
      </c>
      <c r="B126" t="s">
        <v>307</v>
      </c>
      <c r="C126" t="s">
        <v>123</v>
      </c>
      <c r="D126" t="s">
        <v>184</v>
      </c>
      <c r="E126">
        <v>14</v>
      </c>
      <c r="F126">
        <v>444</v>
      </c>
      <c r="G126">
        <v>155</v>
      </c>
      <c r="H126">
        <v>7679</v>
      </c>
      <c r="I126">
        <v>6.4065035175588994E-2</v>
      </c>
      <c r="J126">
        <v>0.24797534559609599</v>
      </c>
      <c r="K126">
        <v>1.5621331008427799</v>
      </c>
      <c r="L126" t="s">
        <v>1507</v>
      </c>
      <c r="M126" t="str">
        <f>HYPERLINK("../../3.KEGG_map/SCI_II-vs-NC-Down/rno04514.html","rno04514")</f>
        <v>rno04514</v>
      </c>
    </row>
    <row r="127" spans="1:13" x14ac:dyDescent="0.25">
      <c r="A127" t="s">
        <v>309</v>
      </c>
      <c r="B127" t="s">
        <v>310</v>
      </c>
      <c r="C127" t="s">
        <v>206</v>
      </c>
      <c r="D127" t="s">
        <v>301</v>
      </c>
      <c r="E127">
        <v>1</v>
      </c>
      <c r="F127">
        <v>444</v>
      </c>
      <c r="G127">
        <v>71</v>
      </c>
      <c r="H127">
        <v>7679</v>
      </c>
      <c r="I127">
        <v>0.98571681728272298</v>
      </c>
      <c r="J127">
        <v>1</v>
      </c>
      <c r="K127">
        <v>0.24359218373302899</v>
      </c>
      <c r="L127" t="s">
        <v>1237</v>
      </c>
      <c r="M127" t="str">
        <f>HYPERLINK("../../3.KEGG_map/SCI_II-vs-NC-Down/rno04520.html","rno04520")</f>
        <v>rno04520</v>
      </c>
    </row>
    <row r="128" spans="1:13" x14ac:dyDescent="0.25">
      <c r="A128" t="s">
        <v>312</v>
      </c>
      <c r="B128" t="s">
        <v>313</v>
      </c>
      <c r="C128" t="s">
        <v>206</v>
      </c>
      <c r="D128" t="s">
        <v>301</v>
      </c>
      <c r="E128">
        <v>10</v>
      </c>
      <c r="F128">
        <v>444</v>
      </c>
      <c r="G128">
        <v>165</v>
      </c>
      <c r="H128">
        <v>7679</v>
      </c>
      <c r="I128">
        <v>0.48618888941566202</v>
      </c>
      <c r="J128">
        <v>0.96825295804851697</v>
      </c>
      <c r="K128">
        <v>1.04818454818455</v>
      </c>
      <c r="L128" t="s">
        <v>1508</v>
      </c>
      <c r="M128" t="str">
        <f>HYPERLINK("../../3.KEGG_map/SCI_II-vs-NC-Down/rno04530.html","rno04530")</f>
        <v>rno04530</v>
      </c>
    </row>
    <row r="129" spans="1:13" x14ac:dyDescent="0.25">
      <c r="A129" t="s">
        <v>315</v>
      </c>
      <c r="B129" t="s">
        <v>316</v>
      </c>
      <c r="C129" t="s">
        <v>206</v>
      </c>
      <c r="D129" t="s">
        <v>301</v>
      </c>
      <c r="E129">
        <v>9</v>
      </c>
      <c r="F129">
        <v>444</v>
      </c>
      <c r="G129">
        <v>86</v>
      </c>
      <c r="H129">
        <v>7679</v>
      </c>
      <c r="I129">
        <v>5.9492386648391897E-2</v>
      </c>
      <c r="J129">
        <v>0.237094658554621</v>
      </c>
      <c r="K129">
        <v>1.80994657448146</v>
      </c>
      <c r="L129" t="s">
        <v>1509</v>
      </c>
      <c r="M129" t="str">
        <f>HYPERLINK("../../3.KEGG_map/SCI_II-vs-NC-Down/rno04540.html","rno04540")</f>
        <v>rno04540</v>
      </c>
    </row>
    <row r="130" spans="1:13" x14ac:dyDescent="0.25">
      <c r="A130" t="s">
        <v>318</v>
      </c>
      <c r="B130" t="s">
        <v>319</v>
      </c>
      <c r="C130" t="s">
        <v>206</v>
      </c>
      <c r="D130" t="s">
        <v>301</v>
      </c>
      <c r="E130">
        <v>12</v>
      </c>
      <c r="F130">
        <v>444</v>
      </c>
      <c r="G130">
        <v>135</v>
      </c>
      <c r="H130">
        <v>7679</v>
      </c>
      <c r="I130">
        <v>9.0155093554506502E-2</v>
      </c>
      <c r="J130">
        <v>0.32147408359567498</v>
      </c>
      <c r="K130">
        <v>1.53733733733734</v>
      </c>
      <c r="L130" t="s">
        <v>1510</v>
      </c>
      <c r="M130" t="str">
        <f>HYPERLINK("../../3.KEGG_map/SCI_II-vs-NC-Down/rno04550.html","rno04550")</f>
        <v>rno04550</v>
      </c>
    </row>
    <row r="131" spans="1:13" x14ac:dyDescent="0.25">
      <c r="A131" t="s">
        <v>759</v>
      </c>
      <c r="B131" t="s">
        <v>760</v>
      </c>
      <c r="C131" t="s">
        <v>150</v>
      </c>
      <c r="D131" t="s">
        <v>188</v>
      </c>
      <c r="E131">
        <v>4</v>
      </c>
      <c r="F131">
        <v>444</v>
      </c>
      <c r="G131">
        <v>80</v>
      </c>
      <c r="H131">
        <v>7679</v>
      </c>
      <c r="I131">
        <v>0.68763640661595105</v>
      </c>
      <c r="J131">
        <v>1</v>
      </c>
      <c r="K131">
        <v>0.86475225225225205</v>
      </c>
      <c r="L131" t="s">
        <v>1511</v>
      </c>
      <c r="M131" t="str">
        <f>HYPERLINK("../../3.KEGG_map/SCI_II-vs-NC-Down/rno04610.html","rno04610")</f>
        <v>rno04610</v>
      </c>
    </row>
    <row r="132" spans="1:13" x14ac:dyDescent="0.25">
      <c r="A132" t="s">
        <v>321</v>
      </c>
      <c r="B132" t="s">
        <v>322</v>
      </c>
      <c r="C132" t="s">
        <v>150</v>
      </c>
      <c r="D132" t="s">
        <v>188</v>
      </c>
      <c r="E132">
        <v>11</v>
      </c>
      <c r="F132">
        <v>444</v>
      </c>
      <c r="G132">
        <v>124</v>
      </c>
      <c r="H132">
        <v>7679</v>
      </c>
      <c r="I132">
        <v>0.102796224448166</v>
      </c>
      <c r="J132">
        <v>0.35263008639813898</v>
      </c>
      <c r="K132">
        <v>1.5342378668991601</v>
      </c>
      <c r="L132" t="s">
        <v>1512</v>
      </c>
      <c r="M132" t="str">
        <f>HYPERLINK("../../3.KEGG_map/SCI_II-vs-NC-Down/rno04611.html","rno04611")</f>
        <v>rno04611</v>
      </c>
    </row>
    <row r="133" spans="1:13" x14ac:dyDescent="0.25">
      <c r="A133" t="s">
        <v>324</v>
      </c>
      <c r="B133" t="s">
        <v>325</v>
      </c>
      <c r="C133" t="s">
        <v>150</v>
      </c>
      <c r="D133" t="s">
        <v>188</v>
      </c>
      <c r="E133">
        <v>1</v>
      </c>
      <c r="F133">
        <v>444</v>
      </c>
      <c r="G133">
        <v>78</v>
      </c>
      <c r="H133">
        <v>7679</v>
      </c>
      <c r="I133">
        <v>0.99062554203905495</v>
      </c>
      <c r="J133">
        <v>1</v>
      </c>
      <c r="K133">
        <v>0.22173134673134701</v>
      </c>
      <c r="L133" t="s">
        <v>1513</v>
      </c>
      <c r="M133" t="str">
        <f>HYPERLINK("../../3.KEGG_map/SCI_II-vs-NC-Down/rno04612.html","rno04612")</f>
        <v>rno04612</v>
      </c>
    </row>
    <row r="134" spans="1:13" x14ac:dyDescent="0.25">
      <c r="A134" t="s">
        <v>1244</v>
      </c>
      <c r="B134" t="s">
        <v>1245</v>
      </c>
      <c r="C134" t="s">
        <v>150</v>
      </c>
      <c r="D134" t="s">
        <v>151</v>
      </c>
      <c r="E134">
        <v>2</v>
      </c>
      <c r="F134">
        <v>444</v>
      </c>
      <c r="G134">
        <v>35</v>
      </c>
      <c r="H134">
        <v>7679</v>
      </c>
      <c r="I134">
        <v>0.60913154205780895</v>
      </c>
      <c r="J134">
        <v>1</v>
      </c>
      <c r="K134">
        <v>0.98828828828828796</v>
      </c>
      <c r="L134" t="s">
        <v>1514</v>
      </c>
      <c r="M134" t="str">
        <f>HYPERLINK("../../3.KEGG_map/SCI_II-vs-NC-Down/rno04614.html","rno04614")</f>
        <v>rno04614</v>
      </c>
    </row>
    <row r="135" spans="1:13" x14ac:dyDescent="0.25">
      <c r="A135" t="s">
        <v>764</v>
      </c>
      <c r="B135" t="s">
        <v>765</v>
      </c>
      <c r="C135" t="s">
        <v>150</v>
      </c>
      <c r="D135" t="s">
        <v>188</v>
      </c>
      <c r="E135">
        <v>2</v>
      </c>
      <c r="F135">
        <v>444</v>
      </c>
      <c r="G135">
        <v>91</v>
      </c>
      <c r="H135">
        <v>7679</v>
      </c>
      <c r="I135">
        <v>0.97149032735234597</v>
      </c>
      <c r="J135">
        <v>1</v>
      </c>
      <c r="K135">
        <v>0.38011088011088001</v>
      </c>
      <c r="L135" t="s">
        <v>1515</v>
      </c>
      <c r="M135" t="str">
        <f>HYPERLINK("../../3.KEGG_map/SCI_II-vs-NC-Down/rno04620.html","rno04620")</f>
        <v>rno04620</v>
      </c>
    </row>
    <row r="136" spans="1:13" x14ac:dyDescent="0.25">
      <c r="A136" t="s">
        <v>327</v>
      </c>
      <c r="B136" t="s">
        <v>328</v>
      </c>
      <c r="C136" t="s">
        <v>150</v>
      </c>
      <c r="D136" t="s">
        <v>188</v>
      </c>
      <c r="E136">
        <v>1</v>
      </c>
      <c r="F136">
        <v>444</v>
      </c>
      <c r="G136">
        <v>154</v>
      </c>
      <c r="H136">
        <v>7679</v>
      </c>
      <c r="I136">
        <v>0.99990555994600505</v>
      </c>
      <c r="J136">
        <v>1</v>
      </c>
      <c r="K136">
        <v>0.11230548730548701</v>
      </c>
      <c r="L136" t="s">
        <v>1486</v>
      </c>
      <c r="M136" t="str">
        <f>HYPERLINK("../../3.KEGG_map/SCI_II-vs-NC-Down/rno04621.html","rno04621")</f>
        <v>rno04621</v>
      </c>
    </row>
    <row r="137" spans="1:13" x14ac:dyDescent="0.25">
      <c r="A137" t="s">
        <v>768</v>
      </c>
      <c r="B137" t="s">
        <v>769</v>
      </c>
      <c r="C137" t="s">
        <v>150</v>
      </c>
      <c r="D137" t="s">
        <v>188</v>
      </c>
      <c r="E137">
        <v>1</v>
      </c>
      <c r="F137">
        <v>444</v>
      </c>
      <c r="G137">
        <v>60</v>
      </c>
      <c r="H137">
        <v>7679</v>
      </c>
      <c r="I137">
        <v>0.97233976092875396</v>
      </c>
      <c r="J137">
        <v>1</v>
      </c>
      <c r="K137">
        <v>0.28825075075075102</v>
      </c>
      <c r="L137" t="s">
        <v>1247</v>
      </c>
      <c r="M137" t="str">
        <f>HYPERLINK("../../3.KEGG_map/SCI_II-vs-NC-Down/rno04622.html","rno04622")</f>
        <v>rno04622</v>
      </c>
    </row>
    <row r="138" spans="1:13" x14ac:dyDescent="0.25">
      <c r="A138" t="s">
        <v>330</v>
      </c>
      <c r="B138" t="s">
        <v>331</v>
      </c>
      <c r="C138" t="s">
        <v>150</v>
      </c>
      <c r="D138" t="s">
        <v>188</v>
      </c>
      <c r="E138">
        <v>4</v>
      </c>
      <c r="F138">
        <v>444</v>
      </c>
      <c r="G138">
        <v>108</v>
      </c>
      <c r="H138">
        <v>7679</v>
      </c>
      <c r="I138">
        <v>0.87858458637903902</v>
      </c>
      <c r="J138">
        <v>1</v>
      </c>
      <c r="K138">
        <v>0.64055722389055703</v>
      </c>
      <c r="L138" t="s">
        <v>1516</v>
      </c>
      <c r="M138" t="str">
        <f>HYPERLINK("../../3.KEGG_map/SCI_II-vs-NC-Down/rno04625.html","rno04625")</f>
        <v>rno04625</v>
      </c>
    </row>
    <row r="139" spans="1:13" x14ac:dyDescent="0.25">
      <c r="A139" t="s">
        <v>333</v>
      </c>
      <c r="B139" t="s">
        <v>334</v>
      </c>
      <c r="C139" t="s">
        <v>123</v>
      </c>
      <c r="D139" t="s">
        <v>162</v>
      </c>
      <c r="E139">
        <v>13</v>
      </c>
      <c r="F139">
        <v>444</v>
      </c>
      <c r="G139">
        <v>151</v>
      </c>
      <c r="H139">
        <v>7679</v>
      </c>
      <c r="I139">
        <v>9.6928347833017695E-2</v>
      </c>
      <c r="J139">
        <v>0.34113743198373803</v>
      </c>
      <c r="K139">
        <v>1.48897738798401</v>
      </c>
      <c r="L139" t="s">
        <v>1517</v>
      </c>
      <c r="M139" t="str">
        <f>HYPERLINK("../../3.KEGG_map/SCI_II-vs-NC-Down/rno04630.html","rno04630")</f>
        <v>rno04630</v>
      </c>
    </row>
    <row r="140" spans="1:13" x14ac:dyDescent="0.25">
      <c r="A140" t="s">
        <v>335</v>
      </c>
      <c r="B140" t="s">
        <v>336</v>
      </c>
      <c r="C140" t="s">
        <v>150</v>
      </c>
      <c r="D140" t="s">
        <v>188</v>
      </c>
      <c r="E140">
        <v>1</v>
      </c>
      <c r="F140">
        <v>444</v>
      </c>
      <c r="G140">
        <v>87</v>
      </c>
      <c r="H140">
        <v>7679</v>
      </c>
      <c r="I140">
        <v>0.994547935002149</v>
      </c>
      <c r="J140">
        <v>1</v>
      </c>
      <c r="K140">
        <v>0.19879362120741401</v>
      </c>
      <c r="L140" t="s">
        <v>1518</v>
      </c>
      <c r="M140" t="str">
        <f>HYPERLINK("../../3.KEGG_map/SCI_II-vs-NC-Down/rno04640.html","rno04640")</f>
        <v>rno04640</v>
      </c>
    </row>
    <row r="141" spans="1:13" x14ac:dyDescent="0.25">
      <c r="A141" t="s">
        <v>772</v>
      </c>
      <c r="B141" t="s">
        <v>773</v>
      </c>
      <c r="C141" t="s">
        <v>150</v>
      </c>
      <c r="D141" t="s">
        <v>188</v>
      </c>
      <c r="E141">
        <v>1</v>
      </c>
      <c r="F141">
        <v>444</v>
      </c>
      <c r="G141">
        <v>125</v>
      </c>
      <c r="H141">
        <v>7679</v>
      </c>
      <c r="I141">
        <v>0.99945105142795798</v>
      </c>
      <c r="J141">
        <v>1</v>
      </c>
      <c r="K141">
        <v>0.13836036036036001</v>
      </c>
      <c r="L141" t="s">
        <v>1229</v>
      </c>
      <c r="M141" t="str">
        <f>HYPERLINK("../../3.KEGG_map/SCI_II-vs-NC-Down/rno04650.html","rno04650")</f>
        <v>rno04650</v>
      </c>
    </row>
    <row r="142" spans="1:13" x14ac:dyDescent="0.25">
      <c r="A142" t="s">
        <v>775</v>
      </c>
      <c r="B142" t="s">
        <v>776</v>
      </c>
      <c r="C142" t="s">
        <v>150</v>
      </c>
      <c r="D142" t="s">
        <v>188</v>
      </c>
      <c r="E142">
        <v>2</v>
      </c>
      <c r="F142">
        <v>444</v>
      </c>
      <c r="G142">
        <v>91</v>
      </c>
      <c r="H142">
        <v>7679</v>
      </c>
      <c r="I142">
        <v>0.97149032735234597</v>
      </c>
      <c r="J142">
        <v>1</v>
      </c>
      <c r="K142">
        <v>0.38011088011088001</v>
      </c>
      <c r="L142" t="s">
        <v>1519</v>
      </c>
      <c r="M142" t="str">
        <f>HYPERLINK("../../3.KEGG_map/SCI_II-vs-NC-Down/rno04657.html","rno04657")</f>
        <v>rno04657</v>
      </c>
    </row>
    <row r="143" spans="1:13" x14ac:dyDescent="0.25">
      <c r="A143" t="s">
        <v>338</v>
      </c>
      <c r="B143" t="s">
        <v>339</v>
      </c>
      <c r="C143" t="s">
        <v>150</v>
      </c>
      <c r="D143" t="s">
        <v>188</v>
      </c>
      <c r="E143">
        <v>3</v>
      </c>
      <c r="F143">
        <v>444</v>
      </c>
      <c r="G143">
        <v>88</v>
      </c>
      <c r="H143">
        <v>7679</v>
      </c>
      <c r="I143">
        <v>0.89117370837107801</v>
      </c>
      <c r="J143">
        <v>1</v>
      </c>
      <c r="K143">
        <v>0.58960380835380799</v>
      </c>
      <c r="L143" t="s">
        <v>1520</v>
      </c>
      <c r="M143" t="str">
        <f>HYPERLINK("../../3.KEGG_map/SCI_II-vs-NC-Down/rno04658.html","rno04658")</f>
        <v>rno04658</v>
      </c>
    </row>
    <row r="144" spans="1:13" x14ac:dyDescent="0.25">
      <c r="A144" t="s">
        <v>341</v>
      </c>
      <c r="B144" t="s">
        <v>342</v>
      </c>
      <c r="C144" t="s">
        <v>150</v>
      </c>
      <c r="D144" t="s">
        <v>188</v>
      </c>
      <c r="E144">
        <v>4</v>
      </c>
      <c r="F144">
        <v>444</v>
      </c>
      <c r="G144">
        <v>102</v>
      </c>
      <c r="H144">
        <v>7679</v>
      </c>
      <c r="I144">
        <v>0.84922079439647902</v>
      </c>
      <c r="J144">
        <v>1</v>
      </c>
      <c r="K144">
        <v>0.67823706059000199</v>
      </c>
      <c r="L144" t="s">
        <v>1521</v>
      </c>
      <c r="M144" t="str">
        <f>HYPERLINK("../../3.KEGG_map/SCI_II-vs-NC-Down/rno04659.html","rno04659")</f>
        <v>rno04659</v>
      </c>
    </row>
    <row r="145" spans="1:13" x14ac:dyDescent="0.25">
      <c r="A145" t="s">
        <v>344</v>
      </c>
      <c r="B145" t="s">
        <v>345</v>
      </c>
      <c r="C145" t="s">
        <v>150</v>
      </c>
      <c r="D145" t="s">
        <v>188</v>
      </c>
      <c r="E145">
        <v>5</v>
      </c>
      <c r="F145">
        <v>444</v>
      </c>
      <c r="G145">
        <v>101</v>
      </c>
      <c r="H145">
        <v>7679</v>
      </c>
      <c r="I145">
        <v>0.70236330669218905</v>
      </c>
      <c r="J145">
        <v>1</v>
      </c>
      <c r="K145">
        <v>0.85619034876460598</v>
      </c>
      <c r="L145" t="s">
        <v>1522</v>
      </c>
      <c r="M145" t="str">
        <f>HYPERLINK("../../3.KEGG_map/SCI_II-vs-NC-Down/rno04660.html","rno04660")</f>
        <v>rno04660</v>
      </c>
    </row>
    <row r="146" spans="1:13" x14ac:dyDescent="0.25">
      <c r="A146" t="s">
        <v>346</v>
      </c>
      <c r="B146" t="s">
        <v>347</v>
      </c>
      <c r="C146" t="s">
        <v>150</v>
      </c>
      <c r="D146" t="s">
        <v>188</v>
      </c>
      <c r="E146">
        <v>1</v>
      </c>
      <c r="F146">
        <v>444</v>
      </c>
      <c r="G146">
        <v>70</v>
      </c>
      <c r="H146">
        <v>7679</v>
      </c>
      <c r="I146">
        <v>0.98483171845139394</v>
      </c>
      <c r="J146">
        <v>1</v>
      </c>
      <c r="K146">
        <v>0.24707207207207199</v>
      </c>
      <c r="L146" t="s">
        <v>1229</v>
      </c>
      <c r="M146" t="str">
        <f>HYPERLINK("../../3.KEGG_map/SCI_II-vs-NC-Down/rno04662.html","rno04662")</f>
        <v>rno04662</v>
      </c>
    </row>
    <row r="147" spans="1:13" x14ac:dyDescent="0.25">
      <c r="A147" t="s">
        <v>780</v>
      </c>
      <c r="B147" t="s">
        <v>781</v>
      </c>
      <c r="C147" t="s">
        <v>150</v>
      </c>
      <c r="D147" t="s">
        <v>188</v>
      </c>
      <c r="E147">
        <v>1</v>
      </c>
      <c r="F147">
        <v>444</v>
      </c>
      <c r="G147">
        <v>65</v>
      </c>
      <c r="H147">
        <v>7679</v>
      </c>
      <c r="I147">
        <v>0.97951479563689703</v>
      </c>
      <c r="J147">
        <v>1</v>
      </c>
      <c r="K147">
        <v>0.26607761607761599</v>
      </c>
      <c r="L147" t="s">
        <v>1523</v>
      </c>
      <c r="M147" t="str">
        <f>HYPERLINK("../../3.KEGG_map/SCI_II-vs-NC-Down/rno04664.html","rno04664")</f>
        <v>rno04664</v>
      </c>
    </row>
    <row r="148" spans="1:13" x14ac:dyDescent="0.25">
      <c r="A148" t="s">
        <v>348</v>
      </c>
      <c r="B148" t="s">
        <v>349</v>
      </c>
      <c r="C148" t="s">
        <v>150</v>
      </c>
      <c r="D148" t="s">
        <v>188</v>
      </c>
      <c r="E148">
        <v>1</v>
      </c>
      <c r="F148">
        <v>444</v>
      </c>
      <c r="G148">
        <v>85</v>
      </c>
      <c r="H148">
        <v>7679</v>
      </c>
      <c r="I148">
        <v>0.99384973712904601</v>
      </c>
      <c r="J148">
        <v>1</v>
      </c>
      <c r="K148">
        <v>0.203471118177001</v>
      </c>
      <c r="L148" t="s">
        <v>1524</v>
      </c>
      <c r="M148" t="str">
        <f>HYPERLINK("../../3.KEGG_map/SCI_II-vs-NC-Down/rno04666.html","rno04666")</f>
        <v>rno04666</v>
      </c>
    </row>
    <row r="149" spans="1:13" x14ac:dyDescent="0.25">
      <c r="A149" t="s">
        <v>350</v>
      </c>
      <c r="B149" t="s">
        <v>351</v>
      </c>
      <c r="C149" t="s">
        <v>123</v>
      </c>
      <c r="D149" t="s">
        <v>162</v>
      </c>
      <c r="E149">
        <v>2</v>
      </c>
      <c r="F149">
        <v>444</v>
      </c>
      <c r="G149">
        <v>106</v>
      </c>
      <c r="H149">
        <v>7679</v>
      </c>
      <c r="I149">
        <v>0.98683100540975199</v>
      </c>
      <c r="J149">
        <v>1</v>
      </c>
      <c r="K149">
        <v>0.32632160462349102</v>
      </c>
      <c r="L149" t="s">
        <v>1525</v>
      </c>
      <c r="M149" t="str">
        <f>HYPERLINK("../../3.KEGG_map/SCI_II-vs-NC-Down/rno04668.html","rno04668")</f>
        <v>rno04668</v>
      </c>
    </row>
    <row r="150" spans="1:13" x14ac:dyDescent="0.25">
      <c r="A150" t="s">
        <v>353</v>
      </c>
      <c r="B150" t="s">
        <v>354</v>
      </c>
      <c r="C150" t="s">
        <v>150</v>
      </c>
      <c r="D150" t="s">
        <v>188</v>
      </c>
      <c r="E150">
        <v>4</v>
      </c>
      <c r="F150">
        <v>444</v>
      </c>
      <c r="G150">
        <v>113</v>
      </c>
      <c r="H150">
        <v>7679</v>
      </c>
      <c r="I150">
        <v>0.89914368993435001</v>
      </c>
      <c r="J150">
        <v>1</v>
      </c>
      <c r="K150">
        <v>0.61221398389540005</v>
      </c>
      <c r="L150" t="s">
        <v>1526</v>
      </c>
      <c r="M150" t="str">
        <f>HYPERLINK("../../3.KEGG_map/SCI_II-vs-NC-Down/rno04670.html","rno04670")</f>
        <v>rno04670</v>
      </c>
    </row>
    <row r="151" spans="1:13" x14ac:dyDescent="0.25">
      <c r="A151" t="s">
        <v>356</v>
      </c>
      <c r="B151" t="s">
        <v>357</v>
      </c>
      <c r="C151" t="s">
        <v>150</v>
      </c>
      <c r="D151" t="s">
        <v>358</v>
      </c>
      <c r="E151">
        <v>5</v>
      </c>
      <c r="F151">
        <v>444</v>
      </c>
      <c r="G151">
        <v>30</v>
      </c>
      <c r="H151">
        <v>7679</v>
      </c>
      <c r="I151">
        <v>2.71659484947742E-2</v>
      </c>
      <c r="J151">
        <v>0.13627496705669201</v>
      </c>
      <c r="K151">
        <v>2.8825075075075102</v>
      </c>
      <c r="L151" t="s">
        <v>1527</v>
      </c>
      <c r="M151" t="str">
        <f>HYPERLINK("../../3.KEGG_map/SCI_II-vs-NC-Down/rno04710.html","rno04710")</f>
        <v>rno04710</v>
      </c>
    </row>
    <row r="152" spans="1:13" x14ac:dyDescent="0.25">
      <c r="A152" t="s">
        <v>359</v>
      </c>
      <c r="B152" t="s">
        <v>360</v>
      </c>
      <c r="C152" t="s">
        <v>150</v>
      </c>
      <c r="D152" t="s">
        <v>358</v>
      </c>
      <c r="E152">
        <v>17</v>
      </c>
      <c r="F152">
        <v>444</v>
      </c>
      <c r="G152">
        <v>96</v>
      </c>
      <c r="H152">
        <v>7679</v>
      </c>
      <c r="I152" s="1">
        <v>2.9698575351627201E-5</v>
      </c>
      <c r="J152">
        <v>8.0483139202909798E-4</v>
      </c>
      <c r="K152">
        <v>3.0626642267267301</v>
      </c>
      <c r="L152" t="s">
        <v>1528</v>
      </c>
      <c r="M152" t="str">
        <f>HYPERLINK("../../3.KEGG_map/SCI_II-vs-NC-Down/rno04713.html","rno04713")</f>
        <v>rno04713</v>
      </c>
    </row>
    <row r="153" spans="1:13" x14ac:dyDescent="0.25">
      <c r="A153" t="s">
        <v>362</v>
      </c>
      <c r="B153" t="s">
        <v>363</v>
      </c>
      <c r="C153" t="s">
        <v>150</v>
      </c>
      <c r="D153" t="s">
        <v>358</v>
      </c>
      <c r="E153">
        <v>17</v>
      </c>
      <c r="F153">
        <v>444</v>
      </c>
      <c r="G153">
        <v>214</v>
      </c>
      <c r="H153">
        <v>7679</v>
      </c>
      <c r="I153">
        <v>0.113072242681244</v>
      </c>
      <c r="J153">
        <v>0.37830342921749499</v>
      </c>
      <c r="K153">
        <v>1.3739054475035799</v>
      </c>
      <c r="L153" t="s">
        <v>1529</v>
      </c>
      <c r="M153" t="str">
        <f>HYPERLINK("../../3.KEGG_map/SCI_II-vs-NC-Down/rno04714.html","rno04714")</f>
        <v>rno04714</v>
      </c>
    </row>
    <row r="154" spans="1:13" x14ac:dyDescent="0.25">
      <c r="A154" t="s">
        <v>365</v>
      </c>
      <c r="B154" t="s">
        <v>366</v>
      </c>
      <c r="C154" t="s">
        <v>150</v>
      </c>
      <c r="D154" t="s">
        <v>367</v>
      </c>
      <c r="E154">
        <v>8</v>
      </c>
      <c r="F154">
        <v>444</v>
      </c>
      <c r="G154">
        <v>66</v>
      </c>
      <c r="H154">
        <v>7679</v>
      </c>
      <c r="I154">
        <v>3.5465017246368899E-2</v>
      </c>
      <c r="J154">
        <v>0.15550596076822201</v>
      </c>
      <c r="K154">
        <v>2.0963690963691</v>
      </c>
      <c r="L154" t="s">
        <v>1266</v>
      </c>
      <c r="M154" t="str">
        <f>HYPERLINK("../../3.KEGG_map/SCI_II-vs-NC-Down/rno04720.html","rno04720")</f>
        <v>rno04720</v>
      </c>
    </row>
    <row r="155" spans="1:13" x14ac:dyDescent="0.25">
      <c r="A155" t="s">
        <v>789</v>
      </c>
      <c r="B155" t="s">
        <v>790</v>
      </c>
      <c r="C155" t="s">
        <v>150</v>
      </c>
      <c r="D155" t="s">
        <v>367</v>
      </c>
      <c r="E155">
        <v>5</v>
      </c>
      <c r="F155">
        <v>444</v>
      </c>
      <c r="G155">
        <v>62</v>
      </c>
      <c r="H155">
        <v>7679</v>
      </c>
      <c r="I155">
        <v>0.28783021939251102</v>
      </c>
      <c r="J155">
        <v>0.69644633442295001</v>
      </c>
      <c r="K155">
        <v>1.3947616971810499</v>
      </c>
      <c r="L155" t="s">
        <v>1530</v>
      </c>
      <c r="M155" t="str">
        <f>HYPERLINK("../../3.KEGG_map/SCI_II-vs-NC-Down/rno04721.html","rno04721")</f>
        <v>rno04721</v>
      </c>
    </row>
    <row r="156" spans="1:13" x14ac:dyDescent="0.25">
      <c r="A156" t="s">
        <v>369</v>
      </c>
      <c r="B156" t="s">
        <v>370</v>
      </c>
      <c r="C156" t="s">
        <v>150</v>
      </c>
      <c r="D156" t="s">
        <v>367</v>
      </c>
      <c r="E156">
        <v>7</v>
      </c>
      <c r="F156">
        <v>444</v>
      </c>
      <c r="G156">
        <v>119</v>
      </c>
      <c r="H156">
        <v>7679</v>
      </c>
      <c r="I156">
        <v>0.53733431106347196</v>
      </c>
      <c r="J156">
        <v>1</v>
      </c>
      <c r="K156">
        <v>1.017355590885</v>
      </c>
      <c r="L156" t="s">
        <v>1531</v>
      </c>
      <c r="M156" t="str">
        <f>HYPERLINK("../../3.KEGG_map/SCI_II-vs-NC-Down/rno04722.html","rno04722")</f>
        <v>rno04722</v>
      </c>
    </row>
    <row r="157" spans="1:13" x14ac:dyDescent="0.25">
      <c r="A157" t="s">
        <v>372</v>
      </c>
      <c r="B157" t="s">
        <v>373</v>
      </c>
      <c r="C157" t="s">
        <v>150</v>
      </c>
      <c r="D157" t="s">
        <v>367</v>
      </c>
      <c r="E157">
        <v>15</v>
      </c>
      <c r="F157">
        <v>444</v>
      </c>
      <c r="G157">
        <v>138</v>
      </c>
      <c r="H157">
        <v>7679</v>
      </c>
      <c r="I157">
        <v>1.32700867885885E-2</v>
      </c>
      <c r="J157">
        <v>8.5623655231130802E-2</v>
      </c>
      <c r="K157">
        <v>1.8798962005483699</v>
      </c>
      <c r="L157" t="s">
        <v>1532</v>
      </c>
      <c r="M157" t="str">
        <f>HYPERLINK("../../3.KEGG_map/SCI_II-vs-NC-Down/rno04723.html","rno04723")</f>
        <v>rno04723</v>
      </c>
    </row>
    <row r="158" spans="1:13" x14ac:dyDescent="0.25">
      <c r="A158" t="s">
        <v>375</v>
      </c>
      <c r="B158" t="s">
        <v>376</v>
      </c>
      <c r="C158" t="s">
        <v>150</v>
      </c>
      <c r="D158" t="s">
        <v>367</v>
      </c>
      <c r="E158">
        <v>21</v>
      </c>
      <c r="F158">
        <v>444</v>
      </c>
      <c r="G158">
        <v>112</v>
      </c>
      <c r="H158">
        <v>7679</v>
      </c>
      <c r="I158" s="1">
        <v>1.32840280694098E-6</v>
      </c>
      <c r="J158" s="1">
        <v>5.9999526780167697E-5</v>
      </c>
      <c r="K158">
        <v>3.2428209459459501</v>
      </c>
      <c r="L158" t="s">
        <v>1533</v>
      </c>
      <c r="M158" t="str">
        <f>HYPERLINK("../../3.KEGG_map/SCI_II-vs-NC-Down/rno04724.html","rno04724")</f>
        <v>rno04724</v>
      </c>
    </row>
    <row r="159" spans="1:13" x14ac:dyDescent="0.25">
      <c r="A159" t="s">
        <v>378</v>
      </c>
      <c r="B159" t="s">
        <v>379</v>
      </c>
      <c r="C159" t="s">
        <v>150</v>
      </c>
      <c r="D159" t="s">
        <v>367</v>
      </c>
      <c r="E159">
        <v>16</v>
      </c>
      <c r="F159">
        <v>444</v>
      </c>
      <c r="G159">
        <v>111</v>
      </c>
      <c r="H159">
        <v>7679</v>
      </c>
      <c r="I159">
        <v>5.9853499850246795E-4</v>
      </c>
      <c r="J159">
        <v>7.0525159007710104E-3</v>
      </c>
      <c r="K159">
        <v>2.4929794659524398</v>
      </c>
      <c r="L159" t="s">
        <v>1534</v>
      </c>
      <c r="M159" t="str">
        <f>HYPERLINK("../../3.KEGG_map/SCI_II-vs-NC-Down/rno04725.html","rno04725")</f>
        <v>rno04725</v>
      </c>
    </row>
    <row r="160" spans="1:13" x14ac:dyDescent="0.25">
      <c r="A160" t="s">
        <v>381</v>
      </c>
      <c r="B160" t="s">
        <v>382</v>
      </c>
      <c r="C160" t="s">
        <v>150</v>
      </c>
      <c r="D160" t="s">
        <v>367</v>
      </c>
      <c r="E160">
        <v>19</v>
      </c>
      <c r="F160">
        <v>444</v>
      </c>
      <c r="G160">
        <v>119</v>
      </c>
      <c r="H160">
        <v>7679</v>
      </c>
      <c r="I160" s="1">
        <v>4.6165323052161E-5</v>
      </c>
      <c r="J160">
        <v>1.06247070563763E-3</v>
      </c>
      <c r="K160">
        <v>2.76139374668786</v>
      </c>
      <c r="L160" t="s">
        <v>1535</v>
      </c>
      <c r="M160" t="str">
        <f>HYPERLINK("../../3.KEGG_map/SCI_II-vs-NC-Down/rno04726.html","rno04726")</f>
        <v>rno04726</v>
      </c>
    </row>
    <row r="161" spans="1:13" x14ac:dyDescent="0.25">
      <c r="A161" t="s">
        <v>384</v>
      </c>
      <c r="B161" t="s">
        <v>385</v>
      </c>
      <c r="C161" t="s">
        <v>150</v>
      </c>
      <c r="D161" t="s">
        <v>367</v>
      </c>
      <c r="E161">
        <v>14</v>
      </c>
      <c r="F161">
        <v>444</v>
      </c>
      <c r="G161">
        <v>87</v>
      </c>
      <c r="H161">
        <v>7679</v>
      </c>
      <c r="I161">
        <v>4.19862476769065E-4</v>
      </c>
      <c r="J161">
        <v>5.6891365602208402E-3</v>
      </c>
      <c r="K161">
        <v>2.7831106969038002</v>
      </c>
      <c r="L161" t="s">
        <v>1536</v>
      </c>
      <c r="M161" t="str">
        <f>HYPERLINK("../../3.KEGG_map/SCI_II-vs-NC-Down/rno04727.html","rno04727")</f>
        <v>rno04727</v>
      </c>
    </row>
    <row r="162" spans="1:13" x14ac:dyDescent="0.25">
      <c r="A162" t="s">
        <v>387</v>
      </c>
      <c r="B162" t="s">
        <v>388</v>
      </c>
      <c r="C162" t="s">
        <v>150</v>
      </c>
      <c r="D162" t="s">
        <v>367</v>
      </c>
      <c r="E162">
        <v>13</v>
      </c>
      <c r="F162">
        <v>444</v>
      </c>
      <c r="G162">
        <v>129</v>
      </c>
      <c r="H162">
        <v>7679</v>
      </c>
      <c r="I162">
        <v>3.51714939218086E-2</v>
      </c>
      <c r="J162">
        <v>0.15550596076822201</v>
      </c>
      <c r="K162">
        <v>1.7429115161673301</v>
      </c>
      <c r="L162" t="s">
        <v>1537</v>
      </c>
      <c r="M162" t="str">
        <f>HYPERLINK("../../3.KEGG_map/SCI_II-vs-NC-Down/rno04728.html","rno04728")</f>
        <v>rno04728</v>
      </c>
    </row>
    <row r="163" spans="1:13" x14ac:dyDescent="0.25">
      <c r="A163" t="s">
        <v>390</v>
      </c>
      <c r="B163" t="s">
        <v>391</v>
      </c>
      <c r="C163" t="s">
        <v>150</v>
      </c>
      <c r="D163" t="s">
        <v>367</v>
      </c>
      <c r="E163">
        <v>7</v>
      </c>
      <c r="F163">
        <v>444</v>
      </c>
      <c r="G163">
        <v>60</v>
      </c>
      <c r="H163">
        <v>7679</v>
      </c>
      <c r="I163">
        <v>5.6546823641387002E-2</v>
      </c>
      <c r="J163">
        <v>0.22871924189277401</v>
      </c>
      <c r="K163">
        <v>2.01775525525525</v>
      </c>
      <c r="L163" t="s">
        <v>1538</v>
      </c>
      <c r="M163" t="str">
        <f>HYPERLINK("../../3.KEGG_map/SCI_II-vs-NC-Down/rno04730.html","rno04730")</f>
        <v>rno04730</v>
      </c>
    </row>
    <row r="164" spans="1:13" x14ac:dyDescent="0.25">
      <c r="A164" t="s">
        <v>999</v>
      </c>
      <c r="B164" t="s">
        <v>1000</v>
      </c>
      <c r="C164" t="s">
        <v>150</v>
      </c>
      <c r="D164" t="s">
        <v>395</v>
      </c>
      <c r="E164">
        <v>10</v>
      </c>
      <c r="F164">
        <v>444</v>
      </c>
      <c r="G164">
        <v>1088</v>
      </c>
      <c r="H164">
        <v>7679</v>
      </c>
      <c r="I164">
        <v>1</v>
      </c>
      <c r="J164">
        <v>1</v>
      </c>
      <c r="K164">
        <v>0.158961811075782</v>
      </c>
      <c r="L164" t="s">
        <v>1539</v>
      </c>
      <c r="M164" t="str">
        <f>HYPERLINK("../../3.KEGG_map/SCI_II-vs-NC-Down/rno04740.html","rno04740")</f>
        <v>rno04740</v>
      </c>
    </row>
    <row r="165" spans="1:13" x14ac:dyDescent="0.25">
      <c r="A165" t="s">
        <v>393</v>
      </c>
      <c r="B165" t="s">
        <v>394</v>
      </c>
      <c r="C165" t="s">
        <v>150</v>
      </c>
      <c r="D165" t="s">
        <v>395</v>
      </c>
      <c r="E165">
        <v>12</v>
      </c>
      <c r="F165">
        <v>444</v>
      </c>
      <c r="G165">
        <v>86</v>
      </c>
      <c r="H165">
        <v>7679</v>
      </c>
      <c r="I165">
        <v>3.70671259597118E-3</v>
      </c>
      <c r="J165">
        <v>3.2403842371231902E-2</v>
      </c>
      <c r="K165">
        <v>2.4132620993086098</v>
      </c>
      <c r="L165" t="s">
        <v>1540</v>
      </c>
      <c r="M165" t="str">
        <f>HYPERLINK("../../3.KEGG_map/SCI_II-vs-NC-Down/rno04742.html","rno04742")</f>
        <v>rno04742</v>
      </c>
    </row>
    <row r="166" spans="1:13" x14ac:dyDescent="0.25">
      <c r="A166" t="s">
        <v>1278</v>
      </c>
      <c r="B166" t="s">
        <v>1279</v>
      </c>
      <c r="C166" t="s">
        <v>150</v>
      </c>
      <c r="D166" t="s">
        <v>395</v>
      </c>
      <c r="E166">
        <v>2</v>
      </c>
      <c r="F166">
        <v>444</v>
      </c>
      <c r="G166">
        <v>26</v>
      </c>
      <c r="H166">
        <v>7679</v>
      </c>
      <c r="I166">
        <v>0.44854683284533298</v>
      </c>
      <c r="J166">
        <v>0.92790986031362699</v>
      </c>
      <c r="K166">
        <v>1.3303880803880801</v>
      </c>
      <c r="L166" t="s">
        <v>1541</v>
      </c>
      <c r="M166" t="str">
        <f>HYPERLINK("../../3.KEGG_map/SCI_II-vs-NC-Down/rno04744.html","rno04744")</f>
        <v>rno04744</v>
      </c>
    </row>
    <row r="167" spans="1:13" x14ac:dyDescent="0.25">
      <c r="A167" t="s">
        <v>396</v>
      </c>
      <c r="B167" t="s">
        <v>397</v>
      </c>
      <c r="C167" t="s">
        <v>150</v>
      </c>
      <c r="D167" t="s">
        <v>395</v>
      </c>
      <c r="E167">
        <v>12</v>
      </c>
      <c r="F167">
        <v>444</v>
      </c>
      <c r="G167">
        <v>111</v>
      </c>
      <c r="H167">
        <v>7679</v>
      </c>
      <c r="I167">
        <v>2.61761128981963E-2</v>
      </c>
      <c r="J167">
        <v>0.133843898026626</v>
      </c>
      <c r="K167">
        <v>1.86973459946433</v>
      </c>
      <c r="L167" t="s">
        <v>1542</v>
      </c>
      <c r="M167" t="str">
        <f>HYPERLINK("../../3.KEGG_map/SCI_II-vs-NC-Down/rno04750.html","rno04750")</f>
        <v>rno04750</v>
      </c>
    </row>
    <row r="168" spans="1:13" x14ac:dyDescent="0.25">
      <c r="A168" t="s">
        <v>399</v>
      </c>
      <c r="B168" t="s">
        <v>400</v>
      </c>
      <c r="C168" t="s">
        <v>206</v>
      </c>
      <c r="D168" t="s">
        <v>401</v>
      </c>
      <c r="E168">
        <v>11</v>
      </c>
      <c r="F168">
        <v>444</v>
      </c>
      <c r="G168">
        <v>208</v>
      </c>
      <c r="H168">
        <v>7679</v>
      </c>
      <c r="I168">
        <v>0.66477724498330704</v>
      </c>
      <c r="J168">
        <v>1</v>
      </c>
      <c r="K168">
        <v>0.91464180526680505</v>
      </c>
      <c r="L168" t="s">
        <v>1543</v>
      </c>
      <c r="M168" t="str">
        <f>HYPERLINK("../../3.KEGG_map/SCI_II-vs-NC-Down/rno04810.html","rno04810")</f>
        <v>rno04810</v>
      </c>
    </row>
    <row r="169" spans="1:13" x14ac:dyDescent="0.25">
      <c r="A169" t="s">
        <v>403</v>
      </c>
      <c r="B169" t="s">
        <v>404</v>
      </c>
      <c r="C169" t="s">
        <v>150</v>
      </c>
      <c r="D169" t="s">
        <v>151</v>
      </c>
      <c r="E169">
        <v>11</v>
      </c>
      <c r="F169">
        <v>444</v>
      </c>
      <c r="G169">
        <v>134</v>
      </c>
      <c r="H169">
        <v>7679</v>
      </c>
      <c r="I169">
        <v>0.15171530751468801</v>
      </c>
      <c r="J169">
        <v>0.46196458805034102</v>
      </c>
      <c r="K169">
        <v>1.41974250369773</v>
      </c>
      <c r="L169" t="s">
        <v>1544</v>
      </c>
      <c r="M169" t="str">
        <f>HYPERLINK("../../3.KEGG_map/SCI_II-vs-NC-Down/rno04910.html","rno04910")</f>
        <v>rno04910</v>
      </c>
    </row>
    <row r="170" spans="1:13" x14ac:dyDescent="0.25">
      <c r="A170" t="s">
        <v>406</v>
      </c>
      <c r="B170" t="s">
        <v>407</v>
      </c>
      <c r="C170" t="s">
        <v>150</v>
      </c>
      <c r="D170" t="s">
        <v>151</v>
      </c>
      <c r="E170">
        <v>14</v>
      </c>
      <c r="F170">
        <v>444</v>
      </c>
      <c r="G170">
        <v>85</v>
      </c>
      <c r="H170">
        <v>7679</v>
      </c>
      <c r="I170">
        <v>3.27934952251667E-4</v>
      </c>
      <c r="J170">
        <v>4.93724289223343E-3</v>
      </c>
      <c r="K170">
        <v>2.84859565447801</v>
      </c>
      <c r="L170" t="s">
        <v>1545</v>
      </c>
      <c r="M170" t="str">
        <f>HYPERLINK("../../3.KEGG_map/SCI_II-vs-NC-Down/rno04911.html","rno04911")</f>
        <v>rno04911</v>
      </c>
    </row>
    <row r="171" spans="1:13" x14ac:dyDescent="0.25">
      <c r="A171" t="s">
        <v>409</v>
      </c>
      <c r="B171" t="s">
        <v>410</v>
      </c>
      <c r="C171" t="s">
        <v>150</v>
      </c>
      <c r="D171" t="s">
        <v>151</v>
      </c>
      <c r="E171">
        <v>6</v>
      </c>
      <c r="F171">
        <v>444</v>
      </c>
      <c r="G171">
        <v>89</v>
      </c>
      <c r="H171">
        <v>7679</v>
      </c>
      <c r="I171">
        <v>0.41045012193321601</v>
      </c>
      <c r="J171">
        <v>0.86899986753048197</v>
      </c>
      <c r="K171">
        <v>1.16595809292439</v>
      </c>
      <c r="L171" t="s">
        <v>1546</v>
      </c>
      <c r="M171" t="str">
        <f>HYPERLINK("../../3.KEGG_map/SCI_II-vs-NC-Down/rno04912.html","rno04912")</f>
        <v>rno04912</v>
      </c>
    </row>
    <row r="172" spans="1:13" x14ac:dyDescent="0.25">
      <c r="A172" t="s">
        <v>412</v>
      </c>
      <c r="B172" t="s">
        <v>413</v>
      </c>
      <c r="C172" t="s">
        <v>150</v>
      </c>
      <c r="D172" t="s">
        <v>151</v>
      </c>
      <c r="E172">
        <v>8</v>
      </c>
      <c r="F172">
        <v>444</v>
      </c>
      <c r="G172">
        <v>51</v>
      </c>
      <c r="H172">
        <v>7679</v>
      </c>
      <c r="I172">
        <v>8.3141957629414408E-3</v>
      </c>
      <c r="J172">
        <v>5.7773001327105902E-2</v>
      </c>
      <c r="K172">
        <v>2.7129482423600102</v>
      </c>
      <c r="L172" t="s">
        <v>1547</v>
      </c>
      <c r="M172" t="str">
        <f>HYPERLINK("../../3.KEGG_map/SCI_II-vs-NC-Down/rno04913.html","rno04913")</f>
        <v>rno04913</v>
      </c>
    </row>
    <row r="173" spans="1:13" x14ac:dyDescent="0.25">
      <c r="A173" t="s">
        <v>799</v>
      </c>
      <c r="B173" t="s">
        <v>800</v>
      </c>
      <c r="C173" t="s">
        <v>150</v>
      </c>
      <c r="D173" t="s">
        <v>151</v>
      </c>
      <c r="E173">
        <v>6</v>
      </c>
      <c r="F173">
        <v>444</v>
      </c>
      <c r="G173">
        <v>88</v>
      </c>
      <c r="H173">
        <v>7679</v>
      </c>
      <c r="I173">
        <v>0.39995125805889498</v>
      </c>
      <c r="J173">
        <v>0.86021262646000496</v>
      </c>
      <c r="K173">
        <v>1.17920761670762</v>
      </c>
      <c r="L173" t="s">
        <v>1548</v>
      </c>
      <c r="M173" t="str">
        <f>HYPERLINK("../../3.KEGG_map/SCI_II-vs-NC-Down/rno04914.html","rno04914")</f>
        <v>rno04914</v>
      </c>
    </row>
    <row r="174" spans="1:13" x14ac:dyDescent="0.25">
      <c r="A174" t="s">
        <v>415</v>
      </c>
      <c r="B174" t="s">
        <v>416</v>
      </c>
      <c r="C174" t="s">
        <v>150</v>
      </c>
      <c r="D174" t="s">
        <v>151</v>
      </c>
      <c r="E174">
        <v>9</v>
      </c>
      <c r="F174">
        <v>444</v>
      </c>
      <c r="G174">
        <v>130</v>
      </c>
      <c r="H174">
        <v>7679</v>
      </c>
      <c r="I174">
        <v>0.33760408090930499</v>
      </c>
      <c r="J174">
        <v>0.76882946156656795</v>
      </c>
      <c r="K174">
        <v>1.19734927234927</v>
      </c>
      <c r="L174" t="s">
        <v>1549</v>
      </c>
      <c r="M174" t="str">
        <f>HYPERLINK("../../3.KEGG_map/SCI_II-vs-NC-Down/rno04915.html","rno04915")</f>
        <v>rno04915</v>
      </c>
    </row>
    <row r="175" spans="1:13" x14ac:dyDescent="0.25">
      <c r="A175" t="s">
        <v>418</v>
      </c>
      <c r="B175" t="s">
        <v>419</v>
      </c>
      <c r="C175" t="s">
        <v>150</v>
      </c>
      <c r="D175" t="s">
        <v>151</v>
      </c>
      <c r="E175">
        <v>11</v>
      </c>
      <c r="F175">
        <v>444</v>
      </c>
      <c r="G175">
        <v>98</v>
      </c>
      <c r="H175">
        <v>7679</v>
      </c>
      <c r="I175">
        <v>2.5417028380622299E-2</v>
      </c>
      <c r="J175">
        <v>0.133843898026626</v>
      </c>
      <c r="K175">
        <v>1.9412805662805701</v>
      </c>
      <c r="L175" t="s">
        <v>1550</v>
      </c>
      <c r="M175" t="str">
        <f>HYPERLINK("../../3.KEGG_map/SCI_II-vs-NC-Down/rno04916.html","rno04916")</f>
        <v>rno04916</v>
      </c>
    </row>
    <row r="176" spans="1:13" x14ac:dyDescent="0.25">
      <c r="A176" t="s">
        <v>803</v>
      </c>
      <c r="B176" t="s">
        <v>804</v>
      </c>
      <c r="C176" t="s">
        <v>150</v>
      </c>
      <c r="D176" t="s">
        <v>151</v>
      </c>
      <c r="E176">
        <v>2</v>
      </c>
      <c r="F176">
        <v>444</v>
      </c>
      <c r="G176">
        <v>72</v>
      </c>
      <c r="H176">
        <v>7679</v>
      </c>
      <c r="I176">
        <v>0.92653397659141801</v>
      </c>
      <c r="J176">
        <v>1</v>
      </c>
      <c r="K176">
        <v>0.48041791791791799</v>
      </c>
      <c r="L176" t="s">
        <v>1551</v>
      </c>
      <c r="M176" t="str">
        <f>HYPERLINK("../../3.KEGG_map/SCI_II-vs-NC-Down/rno04917.html","rno04917")</f>
        <v>rno04917</v>
      </c>
    </row>
    <row r="177" spans="1:13" x14ac:dyDescent="0.25">
      <c r="A177" t="s">
        <v>421</v>
      </c>
      <c r="B177" t="s">
        <v>422</v>
      </c>
      <c r="C177" t="s">
        <v>150</v>
      </c>
      <c r="D177" t="s">
        <v>151</v>
      </c>
      <c r="E177">
        <v>11</v>
      </c>
      <c r="F177">
        <v>444</v>
      </c>
      <c r="G177">
        <v>72</v>
      </c>
      <c r="H177">
        <v>7679</v>
      </c>
      <c r="I177">
        <v>2.6196498785153702E-3</v>
      </c>
      <c r="J177">
        <v>2.3664170569255499E-2</v>
      </c>
      <c r="K177">
        <v>2.64229854854855</v>
      </c>
      <c r="L177" t="s">
        <v>1552</v>
      </c>
      <c r="M177" t="str">
        <f>HYPERLINK("../../3.KEGG_map/SCI_II-vs-NC-Down/rno04918.html","rno04918")</f>
        <v>rno04918</v>
      </c>
    </row>
    <row r="178" spans="1:13" x14ac:dyDescent="0.25">
      <c r="A178" t="s">
        <v>424</v>
      </c>
      <c r="B178" t="s">
        <v>425</v>
      </c>
      <c r="C178" t="s">
        <v>150</v>
      </c>
      <c r="D178" t="s">
        <v>151</v>
      </c>
      <c r="E178">
        <v>11</v>
      </c>
      <c r="F178">
        <v>444</v>
      </c>
      <c r="G178">
        <v>117</v>
      </c>
      <c r="H178">
        <v>7679</v>
      </c>
      <c r="I178">
        <v>7.4983271479097405E-2</v>
      </c>
      <c r="J178">
        <v>0.27836255576486801</v>
      </c>
      <c r="K178">
        <v>1.6260298760298799</v>
      </c>
      <c r="L178" t="s">
        <v>1553</v>
      </c>
      <c r="M178" t="str">
        <f>HYPERLINK("../../3.KEGG_map/SCI_II-vs-NC-Down/rno04919.html","rno04919")</f>
        <v>rno04919</v>
      </c>
    </row>
    <row r="179" spans="1:13" x14ac:dyDescent="0.25">
      <c r="A179" t="s">
        <v>807</v>
      </c>
      <c r="B179" t="s">
        <v>808</v>
      </c>
      <c r="C179" t="s">
        <v>150</v>
      </c>
      <c r="D179" t="s">
        <v>151</v>
      </c>
      <c r="E179">
        <v>12</v>
      </c>
      <c r="F179">
        <v>444</v>
      </c>
      <c r="G179">
        <v>71</v>
      </c>
      <c r="H179">
        <v>7679</v>
      </c>
      <c r="I179">
        <v>6.8035779644088897E-4</v>
      </c>
      <c r="J179">
        <v>7.3750785134192396E-3</v>
      </c>
      <c r="K179">
        <v>2.9231062047963499</v>
      </c>
      <c r="L179" t="s">
        <v>1554</v>
      </c>
      <c r="M179" t="str">
        <f>HYPERLINK("../../3.KEGG_map/SCI_II-vs-NC-Down/rno04920.html","rno04920")</f>
        <v>rno04920</v>
      </c>
    </row>
    <row r="180" spans="1:13" x14ac:dyDescent="0.25">
      <c r="A180" t="s">
        <v>427</v>
      </c>
      <c r="B180" t="s">
        <v>428</v>
      </c>
      <c r="C180" t="s">
        <v>150</v>
      </c>
      <c r="D180" t="s">
        <v>151</v>
      </c>
      <c r="E180">
        <v>26</v>
      </c>
      <c r="F180">
        <v>444</v>
      </c>
      <c r="G180">
        <v>152</v>
      </c>
      <c r="H180">
        <v>7679</v>
      </c>
      <c r="I180" s="1">
        <v>4.8105413751079698E-7</v>
      </c>
      <c r="J180" s="1">
        <v>2.60731342530852E-5</v>
      </c>
      <c r="K180">
        <v>2.9583629682313899</v>
      </c>
      <c r="L180" t="s">
        <v>1555</v>
      </c>
      <c r="M180" t="str">
        <f>HYPERLINK("../../3.KEGG_map/SCI_II-vs-NC-Down/rno04921.html","rno04921")</f>
        <v>rno04921</v>
      </c>
    </row>
    <row r="181" spans="1:13" x14ac:dyDescent="0.25">
      <c r="A181" t="s">
        <v>430</v>
      </c>
      <c r="B181" t="s">
        <v>431</v>
      </c>
      <c r="C181" t="s">
        <v>150</v>
      </c>
      <c r="D181" t="s">
        <v>151</v>
      </c>
      <c r="E181">
        <v>12</v>
      </c>
      <c r="F181">
        <v>444</v>
      </c>
      <c r="G181">
        <v>100</v>
      </c>
      <c r="H181">
        <v>7679</v>
      </c>
      <c r="I181">
        <v>1.23016876410656E-2</v>
      </c>
      <c r="J181">
        <v>8.1311154895823995E-2</v>
      </c>
      <c r="K181">
        <v>2.0754054054054101</v>
      </c>
      <c r="L181" t="s">
        <v>1556</v>
      </c>
      <c r="M181" t="str">
        <f>HYPERLINK("../../3.KEGG_map/SCI_II-vs-NC-Down/rno04922.html","rno04922")</f>
        <v>rno04922</v>
      </c>
    </row>
    <row r="182" spans="1:13" x14ac:dyDescent="0.25">
      <c r="A182" t="s">
        <v>812</v>
      </c>
      <c r="B182" t="s">
        <v>813</v>
      </c>
      <c r="C182" t="s">
        <v>150</v>
      </c>
      <c r="D182" t="s">
        <v>151</v>
      </c>
      <c r="E182">
        <v>9</v>
      </c>
      <c r="F182">
        <v>444</v>
      </c>
      <c r="G182">
        <v>55</v>
      </c>
      <c r="H182">
        <v>7679</v>
      </c>
      <c r="I182">
        <v>3.9273389752032904E-3</v>
      </c>
      <c r="J182">
        <v>3.3259651946252897E-2</v>
      </c>
      <c r="K182">
        <v>2.8300982800982801</v>
      </c>
      <c r="L182" t="s">
        <v>1557</v>
      </c>
      <c r="M182" t="str">
        <f>HYPERLINK("../../3.KEGG_map/SCI_II-vs-NC-Down/rno04923.html","rno04923")</f>
        <v>rno04923</v>
      </c>
    </row>
    <row r="183" spans="1:13" x14ac:dyDescent="0.25">
      <c r="A183" t="s">
        <v>433</v>
      </c>
      <c r="B183" t="s">
        <v>434</v>
      </c>
      <c r="C183" t="s">
        <v>150</v>
      </c>
      <c r="D183" t="s">
        <v>151</v>
      </c>
      <c r="E183">
        <v>13</v>
      </c>
      <c r="F183">
        <v>444</v>
      </c>
      <c r="G183">
        <v>68</v>
      </c>
      <c r="H183">
        <v>7679</v>
      </c>
      <c r="I183">
        <v>1.14095785252697E-4</v>
      </c>
      <c r="J183">
        <v>2.0613305202320702E-3</v>
      </c>
      <c r="K183">
        <v>3.3064056703762601</v>
      </c>
      <c r="L183" t="s">
        <v>1558</v>
      </c>
      <c r="M183" t="str">
        <f>HYPERLINK("../../3.KEGG_map/SCI_II-vs-NC-Down/rno04924.html","rno04924")</f>
        <v>rno04924</v>
      </c>
    </row>
    <row r="184" spans="1:13" x14ac:dyDescent="0.25">
      <c r="A184" t="s">
        <v>435</v>
      </c>
      <c r="B184" t="s">
        <v>436</v>
      </c>
      <c r="C184" t="s">
        <v>150</v>
      </c>
      <c r="D184" t="s">
        <v>151</v>
      </c>
      <c r="E184">
        <v>18</v>
      </c>
      <c r="F184">
        <v>444</v>
      </c>
      <c r="G184">
        <v>94</v>
      </c>
      <c r="H184">
        <v>7679</v>
      </c>
      <c r="I184" s="1">
        <v>5.5791472438871298E-6</v>
      </c>
      <c r="J184">
        <v>2.15992700441916E-4</v>
      </c>
      <c r="K184">
        <v>3.31181713628522</v>
      </c>
      <c r="L184" t="s">
        <v>1559</v>
      </c>
      <c r="M184" t="str">
        <f>HYPERLINK("../../3.KEGG_map/SCI_II-vs-NC-Down/rno04925.html","rno04925")</f>
        <v>rno04925</v>
      </c>
    </row>
    <row r="185" spans="1:13" x14ac:dyDescent="0.25">
      <c r="A185" t="s">
        <v>438</v>
      </c>
      <c r="B185" t="s">
        <v>439</v>
      </c>
      <c r="C185" t="s">
        <v>150</v>
      </c>
      <c r="D185" t="s">
        <v>151</v>
      </c>
      <c r="E185">
        <v>9</v>
      </c>
      <c r="F185">
        <v>444</v>
      </c>
      <c r="G185">
        <v>126</v>
      </c>
      <c r="H185">
        <v>7679</v>
      </c>
      <c r="I185">
        <v>0.30494682733422701</v>
      </c>
      <c r="J185">
        <v>0.731332656704208</v>
      </c>
      <c r="K185">
        <v>1.23536036036036</v>
      </c>
      <c r="L185" t="s">
        <v>1560</v>
      </c>
      <c r="M185" t="str">
        <f>HYPERLINK("../../3.KEGG_map/SCI_II-vs-NC-Down/rno04926.html","rno04926")</f>
        <v>rno04926</v>
      </c>
    </row>
    <row r="186" spans="1:13" x14ac:dyDescent="0.25">
      <c r="A186" t="s">
        <v>441</v>
      </c>
      <c r="B186" t="s">
        <v>442</v>
      </c>
      <c r="C186" t="s">
        <v>150</v>
      </c>
      <c r="D186" t="s">
        <v>151</v>
      </c>
      <c r="E186">
        <v>12</v>
      </c>
      <c r="F186">
        <v>444</v>
      </c>
      <c r="G186">
        <v>63</v>
      </c>
      <c r="H186">
        <v>7679</v>
      </c>
      <c r="I186">
        <v>2.1594653890981999E-4</v>
      </c>
      <c r="J186">
        <v>3.6575945027850802E-3</v>
      </c>
      <c r="K186">
        <v>3.2942942942942901</v>
      </c>
      <c r="L186" t="s">
        <v>1561</v>
      </c>
      <c r="M186" t="str">
        <f>HYPERLINK("../../3.KEGG_map/SCI_II-vs-NC-Down/rno04927.html","rno04927")</f>
        <v>rno04927</v>
      </c>
    </row>
    <row r="187" spans="1:13" x14ac:dyDescent="0.25">
      <c r="A187" t="s">
        <v>444</v>
      </c>
      <c r="B187" t="s">
        <v>445</v>
      </c>
      <c r="C187" t="s">
        <v>115</v>
      </c>
      <c r="D187" t="s">
        <v>446</v>
      </c>
      <c r="E187">
        <v>3</v>
      </c>
      <c r="F187">
        <v>444</v>
      </c>
      <c r="G187">
        <v>47</v>
      </c>
      <c r="H187">
        <v>7679</v>
      </c>
      <c r="I187">
        <v>0.51638667773010305</v>
      </c>
      <c r="J187">
        <v>0.97181103933929203</v>
      </c>
      <c r="K187">
        <v>1.1039390454284099</v>
      </c>
      <c r="L187" t="s">
        <v>1562</v>
      </c>
      <c r="M187" t="str">
        <f>HYPERLINK("../../3.KEGG_map/SCI_II-vs-NC-Down/rno04930.html","rno04930")</f>
        <v>rno04930</v>
      </c>
    </row>
    <row r="188" spans="1:13" x14ac:dyDescent="0.25">
      <c r="A188" t="s">
        <v>447</v>
      </c>
      <c r="B188" t="s">
        <v>448</v>
      </c>
      <c r="C188" t="s">
        <v>115</v>
      </c>
      <c r="D188" t="s">
        <v>446</v>
      </c>
      <c r="E188">
        <v>13</v>
      </c>
      <c r="F188">
        <v>444</v>
      </c>
      <c r="G188">
        <v>108</v>
      </c>
      <c r="H188">
        <v>7679</v>
      </c>
      <c r="I188">
        <v>9.1441520384224796E-3</v>
      </c>
      <c r="J188">
        <v>6.1951630060312297E-2</v>
      </c>
      <c r="K188">
        <v>2.0818109776443099</v>
      </c>
      <c r="L188" t="s">
        <v>1563</v>
      </c>
      <c r="M188" t="str">
        <f>HYPERLINK("../../3.KEGG_map/SCI_II-vs-NC-Down/rno04931.html","rno04931")</f>
        <v>rno04931</v>
      </c>
    </row>
    <row r="189" spans="1:13" x14ac:dyDescent="0.25">
      <c r="A189" t="s">
        <v>450</v>
      </c>
      <c r="B189" t="s">
        <v>451</v>
      </c>
      <c r="C189" t="s">
        <v>115</v>
      </c>
      <c r="D189" t="s">
        <v>446</v>
      </c>
      <c r="E189">
        <v>5</v>
      </c>
      <c r="F189">
        <v>444</v>
      </c>
      <c r="G189">
        <v>145</v>
      </c>
      <c r="H189">
        <v>7679</v>
      </c>
      <c r="I189">
        <v>0.92821699500360699</v>
      </c>
      <c r="J189">
        <v>1</v>
      </c>
      <c r="K189">
        <v>0.59638086362224296</v>
      </c>
      <c r="L189" t="s">
        <v>1564</v>
      </c>
      <c r="M189" t="str">
        <f>HYPERLINK("../../3.KEGG_map/SCI_II-vs-NC-Down/rno04932.html","rno04932")</f>
        <v>rno04932</v>
      </c>
    </row>
    <row r="190" spans="1:13" x14ac:dyDescent="0.25">
      <c r="A190" t="s">
        <v>453</v>
      </c>
      <c r="B190" t="s">
        <v>454</v>
      </c>
      <c r="C190" t="s">
        <v>115</v>
      </c>
      <c r="D190" t="s">
        <v>446</v>
      </c>
      <c r="E190">
        <v>5</v>
      </c>
      <c r="F190">
        <v>444</v>
      </c>
      <c r="G190">
        <v>99</v>
      </c>
      <c r="H190">
        <v>7679</v>
      </c>
      <c r="I190">
        <v>0.68546203436733</v>
      </c>
      <c r="J190">
        <v>1</v>
      </c>
      <c r="K190">
        <v>0.87348712348712299</v>
      </c>
      <c r="L190" t="s">
        <v>1565</v>
      </c>
      <c r="M190" t="str">
        <f>HYPERLINK("../../3.KEGG_map/SCI_II-vs-NC-Down/rno04933.html","rno04933")</f>
        <v>rno04933</v>
      </c>
    </row>
    <row r="191" spans="1:13" x14ac:dyDescent="0.25">
      <c r="A191" t="s">
        <v>456</v>
      </c>
      <c r="B191" t="s">
        <v>457</v>
      </c>
      <c r="C191" t="s">
        <v>115</v>
      </c>
      <c r="D191" t="s">
        <v>446</v>
      </c>
      <c r="E191">
        <v>19</v>
      </c>
      <c r="F191">
        <v>444</v>
      </c>
      <c r="G191">
        <v>153</v>
      </c>
      <c r="H191">
        <v>7679</v>
      </c>
      <c r="I191">
        <v>1.25460406073234E-3</v>
      </c>
      <c r="J191">
        <v>1.2592507424387601E-2</v>
      </c>
      <c r="K191">
        <v>2.1477506918683398</v>
      </c>
      <c r="L191" t="s">
        <v>1566</v>
      </c>
      <c r="M191" t="str">
        <f>HYPERLINK("../../3.KEGG_map/SCI_II-vs-NC-Down/rno04934.html","rno04934")</f>
        <v>rno04934</v>
      </c>
    </row>
    <row r="192" spans="1:13" x14ac:dyDescent="0.25">
      <c r="A192" t="s">
        <v>459</v>
      </c>
      <c r="B192" t="s">
        <v>460</v>
      </c>
      <c r="C192" t="s">
        <v>115</v>
      </c>
      <c r="D192" t="s">
        <v>446</v>
      </c>
      <c r="E192">
        <v>1</v>
      </c>
      <c r="F192">
        <v>444</v>
      </c>
      <c r="G192">
        <v>60</v>
      </c>
      <c r="H192">
        <v>7679</v>
      </c>
      <c r="I192">
        <v>0.97233976092875396</v>
      </c>
      <c r="J192">
        <v>1</v>
      </c>
      <c r="K192">
        <v>0.28825075075075102</v>
      </c>
      <c r="L192" t="s">
        <v>1247</v>
      </c>
      <c r="M192" t="str">
        <f>HYPERLINK("../../3.KEGG_map/SCI_II-vs-NC-Down/rno04940.html","rno04940")</f>
        <v>rno04940</v>
      </c>
    </row>
    <row r="193" spans="1:13" x14ac:dyDescent="0.25">
      <c r="A193" t="s">
        <v>1306</v>
      </c>
      <c r="B193" t="s">
        <v>1307</v>
      </c>
      <c r="C193" t="s">
        <v>115</v>
      </c>
      <c r="D193" t="s">
        <v>446</v>
      </c>
      <c r="E193">
        <v>1</v>
      </c>
      <c r="F193">
        <v>444</v>
      </c>
      <c r="G193">
        <v>27</v>
      </c>
      <c r="H193">
        <v>7679</v>
      </c>
      <c r="I193">
        <v>0.80029299409566601</v>
      </c>
      <c r="J193">
        <v>1</v>
      </c>
      <c r="K193">
        <v>0.64055722389055703</v>
      </c>
      <c r="L193" t="s">
        <v>1567</v>
      </c>
      <c r="M193" t="str">
        <f>HYPERLINK("../../3.KEGG_map/SCI_II-vs-NC-Down/rno04950.html","rno04950")</f>
        <v>rno04950</v>
      </c>
    </row>
    <row r="194" spans="1:13" x14ac:dyDescent="0.25">
      <c r="A194" t="s">
        <v>822</v>
      </c>
      <c r="B194" t="s">
        <v>823</v>
      </c>
      <c r="C194" t="s">
        <v>150</v>
      </c>
      <c r="D194" t="s">
        <v>464</v>
      </c>
      <c r="E194">
        <v>6</v>
      </c>
      <c r="F194">
        <v>444</v>
      </c>
      <c r="G194">
        <v>38</v>
      </c>
      <c r="H194">
        <v>7679</v>
      </c>
      <c r="I194">
        <v>2.0621123102890101E-2</v>
      </c>
      <c r="J194">
        <v>0.121485312193114</v>
      </c>
      <c r="K194">
        <v>2.7307965860597401</v>
      </c>
      <c r="L194" t="s">
        <v>1568</v>
      </c>
      <c r="M194" t="str">
        <f>HYPERLINK("../../3.KEGG_map/SCI_II-vs-NC-Down/rno04960.html","rno04960")</f>
        <v>rno04960</v>
      </c>
    </row>
    <row r="195" spans="1:13" x14ac:dyDescent="0.25">
      <c r="A195" t="s">
        <v>462</v>
      </c>
      <c r="B195" t="s">
        <v>463</v>
      </c>
      <c r="C195" t="s">
        <v>150</v>
      </c>
      <c r="D195" t="s">
        <v>464</v>
      </c>
      <c r="E195">
        <v>4</v>
      </c>
      <c r="F195">
        <v>444</v>
      </c>
      <c r="G195">
        <v>52</v>
      </c>
      <c r="H195">
        <v>7679</v>
      </c>
      <c r="I195">
        <v>0.35419399510925698</v>
      </c>
      <c r="J195">
        <v>0.79327746012073197</v>
      </c>
      <c r="K195">
        <v>1.3303880803880801</v>
      </c>
      <c r="L195" t="s">
        <v>1569</v>
      </c>
      <c r="M195" t="str">
        <f>HYPERLINK("../../3.KEGG_map/SCI_II-vs-NC-Down/rno04961.html","rno04961")</f>
        <v>rno04961</v>
      </c>
    </row>
    <row r="196" spans="1:13" x14ac:dyDescent="0.25">
      <c r="A196" t="s">
        <v>466</v>
      </c>
      <c r="B196" t="s">
        <v>467</v>
      </c>
      <c r="C196" t="s">
        <v>150</v>
      </c>
      <c r="D196" t="s">
        <v>464</v>
      </c>
      <c r="E196">
        <v>2</v>
      </c>
      <c r="F196">
        <v>444</v>
      </c>
      <c r="G196">
        <v>42</v>
      </c>
      <c r="H196">
        <v>7679</v>
      </c>
      <c r="I196">
        <v>0.70759912049080598</v>
      </c>
      <c r="J196">
        <v>1</v>
      </c>
      <c r="K196">
        <v>0.82357357357357397</v>
      </c>
      <c r="L196" t="s">
        <v>1570</v>
      </c>
      <c r="M196" t="str">
        <f>HYPERLINK("../../3.KEGG_map/SCI_II-vs-NC-Down/rno04962.html","rno04962")</f>
        <v>rno04962</v>
      </c>
    </row>
    <row r="197" spans="1:13" x14ac:dyDescent="0.25">
      <c r="A197" t="s">
        <v>1312</v>
      </c>
      <c r="B197" t="s">
        <v>1313</v>
      </c>
      <c r="C197" t="s">
        <v>150</v>
      </c>
      <c r="D197" t="s">
        <v>464</v>
      </c>
      <c r="E197">
        <v>3</v>
      </c>
      <c r="F197">
        <v>444</v>
      </c>
      <c r="G197">
        <v>22</v>
      </c>
      <c r="H197">
        <v>7679</v>
      </c>
      <c r="I197">
        <v>0.13116414631725101</v>
      </c>
      <c r="J197">
        <v>0.424217777226641</v>
      </c>
      <c r="K197">
        <v>2.3584152334152302</v>
      </c>
      <c r="L197" t="s">
        <v>1571</v>
      </c>
      <c r="M197" t="str">
        <f>HYPERLINK("../../3.KEGG_map/SCI_II-vs-NC-Down/rno04964.html","rno04964")</f>
        <v>rno04964</v>
      </c>
    </row>
    <row r="198" spans="1:13" x14ac:dyDescent="0.25">
      <c r="A198" t="s">
        <v>1315</v>
      </c>
      <c r="B198" t="s">
        <v>1316</v>
      </c>
      <c r="C198" t="s">
        <v>150</v>
      </c>
      <c r="D198" t="s">
        <v>464</v>
      </c>
      <c r="E198">
        <v>3</v>
      </c>
      <c r="F198">
        <v>444</v>
      </c>
      <c r="G198">
        <v>27</v>
      </c>
      <c r="H198">
        <v>7679</v>
      </c>
      <c r="I198">
        <v>0.202932861295016</v>
      </c>
      <c r="J198">
        <v>0.53916475893087601</v>
      </c>
      <c r="K198">
        <v>1.92167167167167</v>
      </c>
      <c r="L198" t="s">
        <v>1572</v>
      </c>
      <c r="M198" t="str">
        <f>HYPERLINK("../../3.KEGG_map/SCI_II-vs-NC-Down/rno04966.html","rno04966")</f>
        <v>rno04966</v>
      </c>
    </row>
    <row r="199" spans="1:13" x14ac:dyDescent="0.25">
      <c r="A199" t="s">
        <v>469</v>
      </c>
      <c r="B199" t="s">
        <v>470</v>
      </c>
      <c r="C199" t="s">
        <v>150</v>
      </c>
      <c r="D199" t="s">
        <v>471</v>
      </c>
      <c r="E199">
        <v>14</v>
      </c>
      <c r="F199">
        <v>444</v>
      </c>
      <c r="G199">
        <v>76</v>
      </c>
      <c r="H199">
        <v>7679</v>
      </c>
      <c r="I199" s="1">
        <v>9.5651985404438599E-5</v>
      </c>
      <c r="J199">
        <v>1.8515491460430601E-3</v>
      </c>
      <c r="K199">
        <v>3.1859293504030299</v>
      </c>
      <c r="L199" t="s">
        <v>1573</v>
      </c>
      <c r="M199" t="str">
        <f>HYPERLINK("../../3.KEGG_map/SCI_II-vs-NC-Down/rno04970.html","rno04970")</f>
        <v>rno04970</v>
      </c>
    </row>
    <row r="200" spans="1:13" x14ac:dyDescent="0.25">
      <c r="A200" t="s">
        <v>473</v>
      </c>
      <c r="B200" t="s">
        <v>474</v>
      </c>
      <c r="C200" t="s">
        <v>150</v>
      </c>
      <c r="D200" t="s">
        <v>471</v>
      </c>
      <c r="E200">
        <v>9</v>
      </c>
      <c r="F200">
        <v>444</v>
      </c>
      <c r="G200">
        <v>74</v>
      </c>
      <c r="H200">
        <v>7679</v>
      </c>
      <c r="I200">
        <v>2.6058487423812199E-2</v>
      </c>
      <c r="J200">
        <v>0.133843898026626</v>
      </c>
      <c r="K200">
        <v>2.1034514243973699</v>
      </c>
      <c r="L200" t="s">
        <v>1574</v>
      </c>
      <c r="M200" t="str">
        <f>HYPERLINK("../../3.KEGG_map/SCI_II-vs-NC-Down/rno04971.html","rno04971")</f>
        <v>rno04971</v>
      </c>
    </row>
    <row r="201" spans="1:13" x14ac:dyDescent="0.25">
      <c r="A201" t="s">
        <v>476</v>
      </c>
      <c r="B201" t="s">
        <v>477</v>
      </c>
      <c r="C201" t="s">
        <v>150</v>
      </c>
      <c r="D201" t="s">
        <v>471</v>
      </c>
      <c r="E201">
        <v>14</v>
      </c>
      <c r="F201">
        <v>444</v>
      </c>
      <c r="G201">
        <v>98</v>
      </c>
      <c r="H201">
        <v>7679</v>
      </c>
      <c r="I201">
        <v>1.41532898038345E-3</v>
      </c>
      <c r="J201">
        <v>1.36983626315684E-2</v>
      </c>
      <c r="K201">
        <v>2.47072072072072</v>
      </c>
      <c r="L201" t="s">
        <v>1575</v>
      </c>
      <c r="M201" t="str">
        <f>HYPERLINK("../../3.KEGG_map/SCI_II-vs-NC-Down/rno04972.html","rno04972")</f>
        <v>rno04972</v>
      </c>
    </row>
    <row r="202" spans="1:13" x14ac:dyDescent="0.25">
      <c r="A202" t="s">
        <v>828</v>
      </c>
      <c r="B202" t="s">
        <v>829</v>
      </c>
      <c r="C202" t="s">
        <v>150</v>
      </c>
      <c r="D202" t="s">
        <v>471</v>
      </c>
      <c r="E202">
        <v>4</v>
      </c>
      <c r="F202">
        <v>444</v>
      </c>
      <c r="G202">
        <v>39</v>
      </c>
      <c r="H202">
        <v>7679</v>
      </c>
      <c r="I202">
        <v>0.18656562820633901</v>
      </c>
      <c r="J202">
        <v>0.525907440449631</v>
      </c>
      <c r="K202">
        <v>1.7738507738507701</v>
      </c>
      <c r="L202" t="s">
        <v>1576</v>
      </c>
      <c r="M202" t="str">
        <f>HYPERLINK("../../3.KEGG_map/SCI_II-vs-NC-Down/rno04973.html","rno04973")</f>
        <v>rno04973</v>
      </c>
    </row>
    <row r="203" spans="1:13" x14ac:dyDescent="0.25">
      <c r="A203" t="s">
        <v>479</v>
      </c>
      <c r="B203" t="s">
        <v>480</v>
      </c>
      <c r="C203" t="s">
        <v>150</v>
      </c>
      <c r="D203" t="s">
        <v>471</v>
      </c>
      <c r="E203">
        <v>10</v>
      </c>
      <c r="F203">
        <v>444</v>
      </c>
      <c r="G203">
        <v>87</v>
      </c>
      <c r="H203">
        <v>7679</v>
      </c>
      <c r="I203">
        <v>2.78844375458107E-2</v>
      </c>
      <c r="J203">
        <v>0.13627496705669201</v>
      </c>
      <c r="K203">
        <v>1.98793621207414</v>
      </c>
      <c r="L203" t="s">
        <v>1577</v>
      </c>
      <c r="M203" t="str">
        <f>HYPERLINK("../../3.KEGG_map/SCI_II-vs-NC-Down/rno04974.html","rno04974")</f>
        <v>rno04974</v>
      </c>
    </row>
    <row r="204" spans="1:13" x14ac:dyDescent="0.25">
      <c r="A204" t="s">
        <v>1322</v>
      </c>
      <c r="B204" t="s">
        <v>1323</v>
      </c>
      <c r="C204" t="s">
        <v>150</v>
      </c>
      <c r="D204" t="s">
        <v>471</v>
      </c>
      <c r="E204">
        <v>5</v>
      </c>
      <c r="F204">
        <v>444</v>
      </c>
      <c r="G204">
        <v>40</v>
      </c>
      <c r="H204">
        <v>7679</v>
      </c>
      <c r="I204">
        <v>7.8745464493193695E-2</v>
      </c>
      <c r="J204">
        <v>0.28837866050885802</v>
      </c>
      <c r="K204">
        <v>2.16188063063063</v>
      </c>
      <c r="L204" t="s">
        <v>1578</v>
      </c>
      <c r="M204" t="str">
        <f>HYPERLINK("../../3.KEGG_map/SCI_II-vs-NC-Down/rno04975.html","rno04975")</f>
        <v>rno04975</v>
      </c>
    </row>
    <row r="205" spans="1:13" x14ac:dyDescent="0.25">
      <c r="A205" t="s">
        <v>831</v>
      </c>
      <c r="B205" t="s">
        <v>832</v>
      </c>
      <c r="C205" t="s">
        <v>150</v>
      </c>
      <c r="D205" t="s">
        <v>471</v>
      </c>
      <c r="E205">
        <v>10</v>
      </c>
      <c r="F205">
        <v>444</v>
      </c>
      <c r="G205">
        <v>71</v>
      </c>
      <c r="H205">
        <v>7679</v>
      </c>
      <c r="I205">
        <v>7.2789343900590796E-3</v>
      </c>
      <c r="J205">
        <v>5.4861045554933999E-2</v>
      </c>
      <c r="K205">
        <v>2.43592183733029</v>
      </c>
      <c r="L205" t="s">
        <v>1579</v>
      </c>
      <c r="M205" t="str">
        <f>HYPERLINK("../../3.KEGG_map/SCI_II-vs-NC-Down/rno04976.html","rno04976")</f>
        <v>rno04976</v>
      </c>
    </row>
    <row r="206" spans="1:13" x14ac:dyDescent="0.25">
      <c r="A206" t="s">
        <v>482</v>
      </c>
      <c r="B206" t="s">
        <v>483</v>
      </c>
      <c r="C206" t="s">
        <v>150</v>
      </c>
      <c r="D206" t="s">
        <v>471</v>
      </c>
      <c r="E206">
        <v>2</v>
      </c>
      <c r="F206">
        <v>444</v>
      </c>
      <c r="G206">
        <v>24</v>
      </c>
      <c r="H206">
        <v>7679</v>
      </c>
      <c r="I206">
        <v>0.40806624434753802</v>
      </c>
      <c r="J206">
        <v>0.86899986753048197</v>
      </c>
      <c r="K206">
        <v>1.44125375375375</v>
      </c>
      <c r="L206" t="s">
        <v>1580</v>
      </c>
      <c r="M206" t="str">
        <f>HYPERLINK("../../3.KEGG_map/SCI_II-vs-NC-Down/rno04977.html","rno04977")</f>
        <v>rno04977</v>
      </c>
    </row>
    <row r="207" spans="1:13" x14ac:dyDescent="0.25">
      <c r="A207" t="s">
        <v>485</v>
      </c>
      <c r="B207" t="s">
        <v>486</v>
      </c>
      <c r="C207" t="s">
        <v>150</v>
      </c>
      <c r="D207" t="s">
        <v>471</v>
      </c>
      <c r="E207">
        <v>3</v>
      </c>
      <c r="F207">
        <v>444</v>
      </c>
      <c r="G207">
        <v>43</v>
      </c>
      <c r="H207">
        <v>7679</v>
      </c>
      <c r="I207">
        <v>0.45668817345221902</v>
      </c>
      <c r="J207">
        <v>0.93054507522970897</v>
      </c>
      <c r="K207">
        <v>1.20663104965431</v>
      </c>
      <c r="L207" t="s">
        <v>1581</v>
      </c>
      <c r="M207" t="str">
        <f>HYPERLINK("../../3.KEGG_map/SCI_II-vs-NC-Down/rno04978.html","rno04978")</f>
        <v>rno04978</v>
      </c>
    </row>
    <row r="208" spans="1:13" x14ac:dyDescent="0.25">
      <c r="A208" t="s">
        <v>1328</v>
      </c>
      <c r="B208" t="s">
        <v>1329</v>
      </c>
      <c r="C208" t="s">
        <v>150</v>
      </c>
      <c r="D208" t="s">
        <v>471</v>
      </c>
      <c r="E208">
        <v>1</v>
      </c>
      <c r="F208">
        <v>444</v>
      </c>
      <c r="G208">
        <v>49</v>
      </c>
      <c r="H208">
        <v>7679</v>
      </c>
      <c r="I208">
        <v>0.94648689928912599</v>
      </c>
      <c r="J208">
        <v>1</v>
      </c>
      <c r="K208">
        <v>0.35296010296010299</v>
      </c>
      <c r="L208" t="s">
        <v>1582</v>
      </c>
      <c r="M208" t="str">
        <f>HYPERLINK("../../3.KEGG_map/SCI_II-vs-NC-Down/rno04979.html","rno04979")</f>
        <v>rno04979</v>
      </c>
    </row>
    <row r="209" spans="1:13" x14ac:dyDescent="0.25">
      <c r="A209" t="s">
        <v>488</v>
      </c>
      <c r="B209" t="s">
        <v>489</v>
      </c>
      <c r="C209" t="s">
        <v>115</v>
      </c>
      <c r="D209" t="s">
        <v>490</v>
      </c>
      <c r="E209">
        <v>7</v>
      </c>
      <c r="F209">
        <v>444</v>
      </c>
      <c r="G209">
        <v>164</v>
      </c>
      <c r="H209">
        <v>7679</v>
      </c>
      <c r="I209">
        <v>0.84446094012756701</v>
      </c>
      <c r="J209">
        <v>1</v>
      </c>
      <c r="K209">
        <v>0.73820314216655702</v>
      </c>
      <c r="L209" t="s">
        <v>1583</v>
      </c>
      <c r="M209" t="str">
        <f>HYPERLINK("../../3.KEGG_map/SCI_II-vs-NC-Down/rno05010.html","rno05010")</f>
        <v>rno05010</v>
      </c>
    </row>
    <row r="210" spans="1:13" x14ac:dyDescent="0.25">
      <c r="A210" t="s">
        <v>1332</v>
      </c>
      <c r="B210" t="s">
        <v>1333</v>
      </c>
      <c r="C210" t="s">
        <v>115</v>
      </c>
      <c r="D210" t="s">
        <v>490</v>
      </c>
      <c r="E210">
        <v>3</v>
      </c>
      <c r="F210">
        <v>444</v>
      </c>
      <c r="G210">
        <v>127</v>
      </c>
      <c r="H210">
        <v>7679</v>
      </c>
      <c r="I210">
        <v>0.98051491372495603</v>
      </c>
      <c r="J210">
        <v>1</v>
      </c>
      <c r="K210">
        <v>0.40854437114279601</v>
      </c>
      <c r="L210" t="s">
        <v>1584</v>
      </c>
      <c r="M210" t="str">
        <f>HYPERLINK("../../3.KEGG_map/SCI_II-vs-NC-Down/rno05012.html","rno05012")</f>
        <v>rno05012</v>
      </c>
    </row>
    <row r="211" spans="1:13" x14ac:dyDescent="0.25">
      <c r="A211" t="s">
        <v>491</v>
      </c>
      <c r="B211" t="s">
        <v>492</v>
      </c>
      <c r="C211" t="s">
        <v>115</v>
      </c>
      <c r="D211" t="s">
        <v>490</v>
      </c>
      <c r="E211">
        <v>6</v>
      </c>
      <c r="F211">
        <v>444</v>
      </c>
      <c r="G211">
        <v>53</v>
      </c>
      <c r="H211">
        <v>7679</v>
      </c>
      <c r="I211">
        <v>8.3744108786490898E-2</v>
      </c>
      <c r="J211">
        <v>0.30259537974852002</v>
      </c>
      <c r="K211">
        <v>1.9579296277409499</v>
      </c>
      <c r="L211" t="s">
        <v>1585</v>
      </c>
      <c r="M211" t="str">
        <f>HYPERLINK("../../3.KEGG_map/SCI_II-vs-NC-Down/rno05014.html","rno05014")</f>
        <v>rno05014</v>
      </c>
    </row>
    <row r="212" spans="1:13" x14ac:dyDescent="0.25">
      <c r="A212" t="s">
        <v>494</v>
      </c>
      <c r="B212" t="s">
        <v>495</v>
      </c>
      <c r="C212" t="s">
        <v>115</v>
      </c>
      <c r="D212" t="s">
        <v>490</v>
      </c>
      <c r="E212">
        <v>6</v>
      </c>
      <c r="F212">
        <v>444</v>
      </c>
      <c r="G212">
        <v>181</v>
      </c>
      <c r="H212">
        <v>7679</v>
      </c>
      <c r="I212">
        <v>0.95512278702393805</v>
      </c>
      <c r="J212">
        <v>1</v>
      </c>
      <c r="K212">
        <v>0.57331641033298497</v>
      </c>
      <c r="L212" t="s">
        <v>1586</v>
      </c>
      <c r="M212" t="str">
        <f>HYPERLINK("../../3.KEGG_map/SCI_II-vs-NC-Down/rno05016.html","rno05016")</f>
        <v>rno05016</v>
      </c>
    </row>
    <row r="213" spans="1:13" x14ac:dyDescent="0.25">
      <c r="A213" t="s">
        <v>1337</v>
      </c>
      <c r="B213" t="s">
        <v>1338</v>
      </c>
      <c r="C213" t="s">
        <v>115</v>
      </c>
      <c r="D213" t="s">
        <v>490</v>
      </c>
      <c r="E213">
        <v>3</v>
      </c>
      <c r="F213">
        <v>444</v>
      </c>
      <c r="G213">
        <v>34</v>
      </c>
      <c r="H213">
        <v>7679</v>
      </c>
      <c r="I213">
        <v>0.31367166487133802</v>
      </c>
      <c r="J213">
        <v>0.732801906725281</v>
      </c>
      <c r="K213">
        <v>1.5260333863275</v>
      </c>
      <c r="L213" t="s">
        <v>1587</v>
      </c>
      <c r="M213" t="str">
        <f>HYPERLINK("../../3.KEGG_map/SCI_II-vs-NC-Down/rno05020.html","rno05020")</f>
        <v>rno05020</v>
      </c>
    </row>
    <row r="214" spans="1:13" x14ac:dyDescent="0.25">
      <c r="A214" t="s">
        <v>496</v>
      </c>
      <c r="B214" t="s">
        <v>497</v>
      </c>
      <c r="C214" t="s">
        <v>115</v>
      </c>
      <c r="D214" t="s">
        <v>498</v>
      </c>
      <c r="E214">
        <v>12</v>
      </c>
      <c r="F214">
        <v>444</v>
      </c>
      <c r="G214">
        <v>47</v>
      </c>
      <c r="H214">
        <v>7679</v>
      </c>
      <c r="I214" s="1">
        <v>9.8419811871871202E-6</v>
      </c>
      <c r="J214">
        <v>3.3339711271596398E-4</v>
      </c>
      <c r="K214">
        <v>4.4157561817136299</v>
      </c>
      <c r="L214" t="s">
        <v>1588</v>
      </c>
      <c r="M214" t="str">
        <f>HYPERLINK("../../3.KEGG_map/SCI_II-vs-NC-Down/rno05030.html","rno05030")</f>
        <v>rno05030</v>
      </c>
    </row>
    <row r="215" spans="1:13" x14ac:dyDescent="0.25">
      <c r="A215" t="s">
        <v>499</v>
      </c>
      <c r="B215" t="s">
        <v>500</v>
      </c>
      <c r="C215" t="s">
        <v>115</v>
      </c>
      <c r="D215" t="s">
        <v>498</v>
      </c>
      <c r="E215">
        <v>13</v>
      </c>
      <c r="F215">
        <v>444</v>
      </c>
      <c r="G215">
        <v>66</v>
      </c>
      <c r="H215">
        <v>7679</v>
      </c>
      <c r="I215" s="1">
        <v>8.2689237611276203E-5</v>
      </c>
      <c r="J215">
        <v>1.7237525686658399E-3</v>
      </c>
      <c r="K215">
        <v>3.4065997815997799</v>
      </c>
      <c r="L215" t="s">
        <v>1589</v>
      </c>
      <c r="M215" t="str">
        <f>HYPERLINK("../../3.KEGG_map/SCI_II-vs-NC-Down/rno05031.html","rno05031")</f>
        <v>rno05031</v>
      </c>
    </row>
    <row r="216" spans="1:13" x14ac:dyDescent="0.25">
      <c r="A216" t="s">
        <v>1031</v>
      </c>
      <c r="B216" t="s">
        <v>1032</v>
      </c>
      <c r="C216" t="s">
        <v>115</v>
      </c>
      <c r="D216" t="s">
        <v>498</v>
      </c>
      <c r="E216">
        <v>14</v>
      </c>
      <c r="F216">
        <v>444</v>
      </c>
      <c r="G216">
        <v>90</v>
      </c>
      <c r="H216">
        <v>7679</v>
      </c>
      <c r="I216">
        <v>5.9855301002853599E-4</v>
      </c>
      <c r="J216">
        <v>7.0525159007710104E-3</v>
      </c>
      <c r="K216">
        <v>2.6903403403403399</v>
      </c>
      <c r="L216" t="s">
        <v>1590</v>
      </c>
      <c r="M216" t="str">
        <f>HYPERLINK("../../3.KEGG_map/SCI_II-vs-NC-Down/rno05032.html","rno05032")</f>
        <v>rno05032</v>
      </c>
    </row>
    <row r="217" spans="1:13" x14ac:dyDescent="0.25">
      <c r="A217" t="s">
        <v>1343</v>
      </c>
      <c r="B217" t="s">
        <v>1344</v>
      </c>
      <c r="C217" t="s">
        <v>115</v>
      </c>
      <c r="D217" t="s">
        <v>498</v>
      </c>
      <c r="E217">
        <v>7</v>
      </c>
      <c r="F217">
        <v>444</v>
      </c>
      <c r="G217">
        <v>40</v>
      </c>
      <c r="H217">
        <v>7679</v>
      </c>
      <c r="I217">
        <v>7.2878141696591297E-3</v>
      </c>
      <c r="J217">
        <v>5.4861045554933999E-2</v>
      </c>
      <c r="K217">
        <v>3.0266328828828799</v>
      </c>
      <c r="L217" t="s">
        <v>1591</v>
      </c>
      <c r="M217" t="str">
        <f>HYPERLINK("../../3.KEGG_map/SCI_II-vs-NC-Down/rno05033.html","rno05033")</f>
        <v>rno05033</v>
      </c>
    </row>
    <row r="218" spans="1:13" x14ac:dyDescent="0.25">
      <c r="A218" t="s">
        <v>502</v>
      </c>
      <c r="B218" t="s">
        <v>503</v>
      </c>
      <c r="C218" t="s">
        <v>115</v>
      </c>
      <c r="D218" t="s">
        <v>498</v>
      </c>
      <c r="E218">
        <v>16</v>
      </c>
      <c r="F218">
        <v>444</v>
      </c>
      <c r="G218">
        <v>143</v>
      </c>
      <c r="H218">
        <v>7679</v>
      </c>
      <c r="I218">
        <v>8.2204821500764403E-3</v>
      </c>
      <c r="J218">
        <v>5.7773001327105902E-2</v>
      </c>
      <c r="K218">
        <v>1.9351099351099399</v>
      </c>
      <c r="L218" t="s">
        <v>1592</v>
      </c>
      <c r="M218" t="str">
        <f>HYPERLINK("../../3.KEGG_map/SCI_II-vs-NC-Down/rno05034.html","rno05034")</f>
        <v>rno05034</v>
      </c>
    </row>
    <row r="219" spans="1:13" x14ac:dyDescent="0.25">
      <c r="A219" t="s">
        <v>504</v>
      </c>
      <c r="B219" t="s">
        <v>505</v>
      </c>
      <c r="C219" t="s">
        <v>115</v>
      </c>
      <c r="D219" t="s">
        <v>506</v>
      </c>
      <c r="E219">
        <v>2</v>
      </c>
      <c r="F219">
        <v>444</v>
      </c>
      <c r="G219">
        <v>75</v>
      </c>
      <c r="H219">
        <v>7679</v>
      </c>
      <c r="I219">
        <v>0.93655359932678095</v>
      </c>
      <c r="J219">
        <v>1</v>
      </c>
      <c r="K219">
        <v>0.46120120120120101</v>
      </c>
      <c r="L219" t="s">
        <v>1593</v>
      </c>
      <c r="M219" t="str">
        <f>HYPERLINK("../../3.KEGG_map/SCI_II-vs-NC-Down/rno05100.html","rno05100")</f>
        <v>rno05100</v>
      </c>
    </row>
    <row r="220" spans="1:13" x14ac:dyDescent="0.25">
      <c r="A220" t="s">
        <v>511</v>
      </c>
      <c r="B220" t="s">
        <v>512</v>
      </c>
      <c r="C220" t="s">
        <v>115</v>
      </c>
      <c r="D220" t="s">
        <v>506</v>
      </c>
      <c r="E220">
        <v>2</v>
      </c>
      <c r="F220">
        <v>444</v>
      </c>
      <c r="G220">
        <v>72</v>
      </c>
      <c r="H220">
        <v>7679</v>
      </c>
      <c r="I220">
        <v>0.92653397659141801</v>
      </c>
      <c r="J220">
        <v>1</v>
      </c>
      <c r="K220">
        <v>0.48041791791791799</v>
      </c>
      <c r="L220" t="s">
        <v>1594</v>
      </c>
      <c r="M220" t="str">
        <f>HYPERLINK("../../3.KEGG_map/SCI_II-vs-NC-Down/rno05133.html","rno05133")</f>
        <v>rno05133</v>
      </c>
    </row>
    <row r="221" spans="1:13" x14ac:dyDescent="0.25">
      <c r="A221" t="s">
        <v>514</v>
      </c>
      <c r="B221" t="s">
        <v>515</v>
      </c>
      <c r="C221" t="s">
        <v>115</v>
      </c>
      <c r="D221" t="s">
        <v>506</v>
      </c>
      <c r="E221">
        <v>1</v>
      </c>
      <c r="F221">
        <v>444</v>
      </c>
      <c r="G221">
        <v>53</v>
      </c>
      <c r="H221">
        <v>7679</v>
      </c>
      <c r="I221">
        <v>0.957899262093037</v>
      </c>
      <c r="J221">
        <v>1</v>
      </c>
      <c r="K221">
        <v>0.32632160462349102</v>
      </c>
      <c r="L221" t="s">
        <v>1247</v>
      </c>
      <c r="M221" t="str">
        <f>HYPERLINK("../../3.KEGG_map/SCI_II-vs-NC-Down/rno05134.html","rno05134")</f>
        <v>rno05134</v>
      </c>
    </row>
    <row r="222" spans="1:13" x14ac:dyDescent="0.25">
      <c r="A222" t="s">
        <v>517</v>
      </c>
      <c r="B222" t="s">
        <v>518</v>
      </c>
      <c r="C222" t="s">
        <v>115</v>
      </c>
      <c r="D222" t="s">
        <v>519</v>
      </c>
      <c r="E222">
        <v>1</v>
      </c>
      <c r="F222">
        <v>444</v>
      </c>
      <c r="G222">
        <v>65</v>
      </c>
      <c r="H222">
        <v>7679</v>
      </c>
      <c r="I222">
        <v>0.97951479563689703</v>
      </c>
      <c r="J222">
        <v>1</v>
      </c>
      <c r="K222">
        <v>0.26607761607761599</v>
      </c>
      <c r="L222" t="s">
        <v>1247</v>
      </c>
      <c r="M222" t="str">
        <f>HYPERLINK("../../3.KEGG_map/SCI_II-vs-NC-Down/rno05140.html","rno05140")</f>
        <v>rno05140</v>
      </c>
    </row>
    <row r="223" spans="1:13" x14ac:dyDescent="0.25">
      <c r="A223" t="s">
        <v>521</v>
      </c>
      <c r="B223" t="s">
        <v>522</v>
      </c>
      <c r="C223" t="s">
        <v>115</v>
      </c>
      <c r="D223" t="s">
        <v>519</v>
      </c>
      <c r="E223">
        <v>5</v>
      </c>
      <c r="F223">
        <v>444</v>
      </c>
      <c r="G223">
        <v>101</v>
      </c>
      <c r="H223">
        <v>7679</v>
      </c>
      <c r="I223">
        <v>0.70236330669218905</v>
      </c>
      <c r="J223">
        <v>1</v>
      </c>
      <c r="K223">
        <v>0.85619034876460598</v>
      </c>
      <c r="L223" t="s">
        <v>1595</v>
      </c>
      <c r="M223" t="str">
        <f>HYPERLINK("../../3.KEGG_map/SCI_II-vs-NC-Down/rno05142.html","rno05142")</f>
        <v>rno05142</v>
      </c>
    </row>
    <row r="224" spans="1:13" x14ac:dyDescent="0.25">
      <c r="A224" t="s">
        <v>524</v>
      </c>
      <c r="B224" t="s">
        <v>525</v>
      </c>
      <c r="C224" t="s">
        <v>115</v>
      </c>
      <c r="D224" t="s">
        <v>519</v>
      </c>
      <c r="E224">
        <v>1</v>
      </c>
      <c r="F224">
        <v>444</v>
      </c>
      <c r="G224">
        <v>34</v>
      </c>
      <c r="H224">
        <v>7679</v>
      </c>
      <c r="I224">
        <v>0.86859903430068797</v>
      </c>
      <c r="J224">
        <v>1</v>
      </c>
      <c r="K224">
        <v>0.50867779544250102</v>
      </c>
      <c r="L224" t="s">
        <v>1247</v>
      </c>
      <c r="M224" t="str">
        <f>HYPERLINK("../../3.KEGG_map/SCI_II-vs-NC-Down/rno05143.html","rno05143")</f>
        <v>rno05143</v>
      </c>
    </row>
    <row r="225" spans="1:13" x14ac:dyDescent="0.25">
      <c r="A225" t="s">
        <v>527</v>
      </c>
      <c r="B225" t="s">
        <v>528</v>
      </c>
      <c r="C225" t="s">
        <v>115</v>
      </c>
      <c r="D225" t="s">
        <v>519</v>
      </c>
      <c r="E225">
        <v>2</v>
      </c>
      <c r="F225">
        <v>444</v>
      </c>
      <c r="G225">
        <v>52</v>
      </c>
      <c r="H225">
        <v>7679</v>
      </c>
      <c r="I225">
        <v>0.81162972193159599</v>
      </c>
      <c r="J225">
        <v>1</v>
      </c>
      <c r="K225">
        <v>0.66519404019404005</v>
      </c>
      <c r="L225" t="s">
        <v>1596</v>
      </c>
      <c r="M225" t="str">
        <f>HYPERLINK("../../3.KEGG_map/SCI_II-vs-NC-Down/rno05144.html","rno05144")</f>
        <v>rno05144</v>
      </c>
    </row>
    <row r="226" spans="1:13" x14ac:dyDescent="0.25">
      <c r="A226" t="s">
        <v>530</v>
      </c>
      <c r="B226" t="s">
        <v>531</v>
      </c>
      <c r="C226" t="s">
        <v>115</v>
      </c>
      <c r="D226" t="s">
        <v>519</v>
      </c>
      <c r="E226">
        <v>5</v>
      </c>
      <c r="F226">
        <v>444</v>
      </c>
      <c r="G226">
        <v>107</v>
      </c>
      <c r="H226">
        <v>7679</v>
      </c>
      <c r="I226">
        <v>0.74923203212634504</v>
      </c>
      <c r="J226">
        <v>1</v>
      </c>
      <c r="K226">
        <v>0.80817967500210497</v>
      </c>
      <c r="L226" t="s">
        <v>1597</v>
      </c>
      <c r="M226" t="str">
        <f>HYPERLINK("../../3.KEGG_map/SCI_II-vs-NC-Down/rno05145.html","rno05145")</f>
        <v>rno05145</v>
      </c>
    </row>
    <row r="227" spans="1:13" x14ac:dyDescent="0.25">
      <c r="A227" t="s">
        <v>533</v>
      </c>
      <c r="B227" t="s">
        <v>534</v>
      </c>
      <c r="C227" t="s">
        <v>115</v>
      </c>
      <c r="D227" t="s">
        <v>519</v>
      </c>
      <c r="E227">
        <v>6</v>
      </c>
      <c r="F227">
        <v>444</v>
      </c>
      <c r="G227">
        <v>96</v>
      </c>
      <c r="H227">
        <v>7679</v>
      </c>
      <c r="I227">
        <v>0.483090413326908</v>
      </c>
      <c r="J227">
        <v>0.96825295804851697</v>
      </c>
      <c r="K227">
        <v>1.0809403153153201</v>
      </c>
      <c r="L227" t="s">
        <v>1598</v>
      </c>
      <c r="M227" t="str">
        <f>HYPERLINK("../../3.KEGG_map/SCI_II-vs-NC-Down/rno05146.html","rno05146")</f>
        <v>rno05146</v>
      </c>
    </row>
    <row r="228" spans="1:13" x14ac:dyDescent="0.25">
      <c r="A228" t="s">
        <v>538</v>
      </c>
      <c r="B228" t="s">
        <v>539</v>
      </c>
      <c r="C228" t="s">
        <v>115</v>
      </c>
      <c r="D228" t="s">
        <v>506</v>
      </c>
      <c r="E228">
        <v>3</v>
      </c>
      <c r="F228">
        <v>444</v>
      </c>
      <c r="G228">
        <v>169</v>
      </c>
      <c r="H228">
        <v>7679</v>
      </c>
      <c r="I228">
        <v>0.99744127834694696</v>
      </c>
      <c r="J228">
        <v>1</v>
      </c>
      <c r="K228">
        <v>0.30701263393571099</v>
      </c>
      <c r="L228" t="s">
        <v>1599</v>
      </c>
      <c r="M228" t="str">
        <f>HYPERLINK("../../3.KEGG_map/SCI_II-vs-NC-Down/rno05152.html","rno05152")</f>
        <v>rno05152</v>
      </c>
    </row>
    <row r="229" spans="1:13" x14ac:dyDescent="0.25">
      <c r="A229" t="s">
        <v>540</v>
      </c>
      <c r="B229" t="s">
        <v>541</v>
      </c>
      <c r="C229" t="s">
        <v>115</v>
      </c>
      <c r="D229" t="s">
        <v>542</v>
      </c>
      <c r="E229">
        <v>3</v>
      </c>
      <c r="F229">
        <v>444</v>
      </c>
      <c r="G229">
        <v>122</v>
      </c>
      <c r="H229">
        <v>7679</v>
      </c>
      <c r="I229">
        <v>0.97544722125950001</v>
      </c>
      <c r="J229">
        <v>1</v>
      </c>
      <c r="K229">
        <v>0.42528799291094399</v>
      </c>
      <c r="L229" t="s">
        <v>1600</v>
      </c>
      <c r="M229" t="str">
        <f>HYPERLINK("../../3.KEGG_map/SCI_II-vs-NC-Down/rno05160.html","rno05160")</f>
        <v>rno05160</v>
      </c>
    </row>
    <row r="230" spans="1:13" x14ac:dyDescent="0.25">
      <c r="A230" t="s">
        <v>544</v>
      </c>
      <c r="B230" t="s">
        <v>545</v>
      </c>
      <c r="C230" t="s">
        <v>115</v>
      </c>
      <c r="D230" t="s">
        <v>542</v>
      </c>
      <c r="E230">
        <v>1</v>
      </c>
      <c r="F230">
        <v>444</v>
      </c>
      <c r="G230">
        <v>134</v>
      </c>
      <c r="H230">
        <v>7679</v>
      </c>
      <c r="I230">
        <v>0.99968184709433405</v>
      </c>
      <c r="J230">
        <v>1</v>
      </c>
      <c r="K230">
        <v>0.12906750033615699</v>
      </c>
      <c r="L230" t="s">
        <v>1601</v>
      </c>
      <c r="M230" t="str">
        <f>HYPERLINK("../../3.KEGG_map/SCI_II-vs-NC-Down/rno05161.html","rno05161")</f>
        <v>rno05161</v>
      </c>
    </row>
    <row r="231" spans="1:13" x14ac:dyDescent="0.25">
      <c r="A231" t="s">
        <v>547</v>
      </c>
      <c r="B231" t="s">
        <v>548</v>
      </c>
      <c r="C231" t="s">
        <v>115</v>
      </c>
      <c r="D231" t="s">
        <v>542</v>
      </c>
      <c r="E231">
        <v>3</v>
      </c>
      <c r="F231">
        <v>444</v>
      </c>
      <c r="G231">
        <v>125</v>
      </c>
      <c r="H231">
        <v>7679</v>
      </c>
      <c r="I231">
        <v>0.97862043671537202</v>
      </c>
      <c r="J231">
        <v>1</v>
      </c>
      <c r="K231">
        <v>0.41508108108108099</v>
      </c>
      <c r="L231" t="s">
        <v>1602</v>
      </c>
      <c r="M231" t="str">
        <f>HYPERLINK("../../3.KEGG_map/SCI_II-vs-NC-Down/rno05162.html","rno05162")</f>
        <v>rno05162</v>
      </c>
    </row>
    <row r="232" spans="1:13" x14ac:dyDescent="0.25">
      <c r="A232" t="s">
        <v>549</v>
      </c>
      <c r="B232" t="s">
        <v>550</v>
      </c>
      <c r="C232" t="s">
        <v>115</v>
      </c>
      <c r="D232" t="s">
        <v>542</v>
      </c>
      <c r="E232">
        <v>2</v>
      </c>
      <c r="F232">
        <v>444</v>
      </c>
      <c r="G232">
        <v>158</v>
      </c>
      <c r="H232">
        <v>7679</v>
      </c>
      <c r="I232">
        <v>0.99919209119019403</v>
      </c>
      <c r="J232">
        <v>1</v>
      </c>
      <c r="K232">
        <v>0.21892462082335501</v>
      </c>
      <c r="L232" t="s">
        <v>1515</v>
      </c>
      <c r="M232" t="str">
        <f>HYPERLINK("../../3.KEGG_map/SCI_II-vs-NC-Down/rno05164.html","rno05164")</f>
        <v>rno05164</v>
      </c>
    </row>
    <row r="233" spans="1:13" x14ac:dyDescent="0.25">
      <c r="A233" t="s">
        <v>552</v>
      </c>
      <c r="B233" t="s">
        <v>553</v>
      </c>
      <c r="C233" t="s">
        <v>115</v>
      </c>
      <c r="D233" t="s">
        <v>542</v>
      </c>
      <c r="E233">
        <v>14</v>
      </c>
      <c r="F233">
        <v>444</v>
      </c>
      <c r="G233">
        <v>327</v>
      </c>
      <c r="H233">
        <v>7679</v>
      </c>
      <c r="I233">
        <v>0.90959849896913503</v>
      </c>
      <c r="J233">
        <v>1</v>
      </c>
      <c r="K233">
        <v>0.74046064413036905</v>
      </c>
      <c r="L233" t="s">
        <v>1603</v>
      </c>
      <c r="M233" t="str">
        <f>HYPERLINK("../../3.KEGG_map/SCI_II-vs-NC-Down/rno05165.html","rno05165")</f>
        <v>rno05165</v>
      </c>
    </row>
    <row r="234" spans="1:13" x14ac:dyDescent="0.25">
      <c r="A234" t="s">
        <v>555</v>
      </c>
      <c r="B234" t="s">
        <v>556</v>
      </c>
      <c r="C234" t="s">
        <v>115</v>
      </c>
      <c r="D234" t="s">
        <v>542</v>
      </c>
      <c r="E234">
        <v>10</v>
      </c>
      <c r="F234">
        <v>444</v>
      </c>
      <c r="G234">
        <v>269</v>
      </c>
      <c r="H234">
        <v>7679</v>
      </c>
      <c r="I234">
        <v>0.95391506509742596</v>
      </c>
      <c r="J234">
        <v>1</v>
      </c>
      <c r="K234">
        <v>0.642938477510968</v>
      </c>
      <c r="L234" t="s">
        <v>1604</v>
      </c>
      <c r="M234" t="str">
        <f>HYPERLINK("../../3.KEGG_map/SCI_II-vs-NC-Down/rno05166.html","rno05166")</f>
        <v>rno05166</v>
      </c>
    </row>
    <row r="235" spans="1:13" x14ac:dyDescent="0.25">
      <c r="A235" t="s">
        <v>558</v>
      </c>
      <c r="B235" t="s">
        <v>559</v>
      </c>
      <c r="C235" t="s">
        <v>115</v>
      </c>
      <c r="D235" t="s">
        <v>542</v>
      </c>
      <c r="E235">
        <v>4</v>
      </c>
      <c r="F235">
        <v>444</v>
      </c>
      <c r="G235">
        <v>194</v>
      </c>
      <c r="H235">
        <v>7679</v>
      </c>
      <c r="I235">
        <v>0.99682297301011602</v>
      </c>
      <c r="J235">
        <v>1</v>
      </c>
      <c r="K235">
        <v>0.35659886690814502</v>
      </c>
      <c r="L235" t="s">
        <v>1605</v>
      </c>
      <c r="M235" t="str">
        <f>HYPERLINK("../../3.KEGG_map/SCI_II-vs-NC-Down/rno05167.html","rno05167")</f>
        <v>rno05167</v>
      </c>
    </row>
    <row r="236" spans="1:13" x14ac:dyDescent="0.25">
      <c r="A236" t="s">
        <v>560</v>
      </c>
      <c r="B236" t="s">
        <v>561</v>
      </c>
      <c r="C236" t="s">
        <v>115</v>
      </c>
      <c r="D236" t="s">
        <v>542</v>
      </c>
      <c r="E236">
        <v>2</v>
      </c>
      <c r="F236">
        <v>444</v>
      </c>
      <c r="G236">
        <v>190</v>
      </c>
      <c r="H236">
        <v>7679</v>
      </c>
      <c r="I236">
        <v>0.99986351897926695</v>
      </c>
      <c r="J236">
        <v>1</v>
      </c>
      <c r="K236">
        <v>0.18205310573731601</v>
      </c>
      <c r="L236" t="s">
        <v>1606</v>
      </c>
      <c r="M236" t="str">
        <f>HYPERLINK("../../3.KEGG_map/SCI_II-vs-NC-Down/rno05168.html","rno05168")</f>
        <v>rno05168</v>
      </c>
    </row>
    <row r="237" spans="1:13" x14ac:dyDescent="0.25">
      <c r="A237" t="s">
        <v>562</v>
      </c>
      <c r="B237" t="s">
        <v>563</v>
      </c>
      <c r="C237" t="s">
        <v>115</v>
      </c>
      <c r="D237" t="s">
        <v>542</v>
      </c>
      <c r="E237">
        <v>2</v>
      </c>
      <c r="F237">
        <v>444</v>
      </c>
      <c r="G237">
        <v>204</v>
      </c>
      <c r="H237">
        <v>7679</v>
      </c>
      <c r="I237">
        <v>0.99993798252421295</v>
      </c>
      <c r="J237">
        <v>1</v>
      </c>
      <c r="K237">
        <v>0.1695592651475</v>
      </c>
      <c r="L237" t="s">
        <v>1607</v>
      </c>
      <c r="M237" t="str">
        <f>HYPERLINK("../../3.KEGG_map/SCI_II-vs-NC-Down/rno05169.html","rno05169")</f>
        <v>rno05169</v>
      </c>
    </row>
    <row r="238" spans="1:13" x14ac:dyDescent="0.25">
      <c r="A238" t="s">
        <v>564</v>
      </c>
      <c r="B238" t="s">
        <v>565</v>
      </c>
      <c r="C238" t="s">
        <v>115</v>
      </c>
      <c r="D238" t="s">
        <v>566</v>
      </c>
      <c r="E238">
        <v>28</v>
      </c>
      <c r="F238">
        <v>444</v>
      </c>
      <c r="G238">
        <v>508</v>
      </c>
      <c r="H238">
        <v>7679</v>
      </c>
      <c r="I238">
        <v>0.63541548339014398</v>
      </c>
      <c r="J238">
        <v>1</v>
      </c>
      <c r="K238">
        <v>0.95327019933319102</v>
      </c>
      <c r="L238" t="s">
        <v>1608</v>
      </c>
      <c r="M238" t="str">
        <f>HYPERLINK("../../3.KEGG_map/SCI_II-vs-NC-Down/rno05200.html","rno05200")</f>
        <v>rno05200</v>
      </c>
    </row>
    <row r="239" spans="1:13" x14ac:dyDescent="0.25">
      <c r="A239" t="s">
        <v>568</v>
      </c>
      <c r="B239" t="s">
        <v>569</v>
      </c>
      <c r="C239" t="s">
        <v>115</v>
      </c>
      <c r="D239" t="s">
        <v>566</v>
      </c>
      <c r="E239">
        <v>10</v>
      </c>
      <c r="F239">
        <v>444</v>
      </c>
      <c r="G239">
        <v>168</v>
      </c>
      <c r="H239">
        <v>7679</v>
      </c>
      <c r="I239">
        <v>0.50947622505637402</v>
      </c>
      <c r="J239">
        <v>0.96825295804851697</v>
      </c>
      <c r="K239">
        <v>1.02946696696697</v>
      </c>
      <c r="L239" t="s">
        <v>1609</v>
      </c>
      <c r="M239" t="str">
        <f>HYPERLINK("../../3.KEGG_map/SCI_II-vs-NC-Down/rno05202.html","rno05202")</f>
        <v>rno05202</v>
      </c>
    </row>
    <row r="240" spans="1:13" x14ac:dyDescent="0.25">
      <c r="A240" t="s">
        <v>571</v>
      </c>
      <c r="B240" t="s">
        <v>572</v>
      </c>
      <c r="C240" t="s">
        <v>115</v>
      </c>
      <c r="D240" t="s">
        <v>566</v>
      </c>
      <c r="E240">
        <v>4</v>
      </c>
      <c r="F240">
        <v>444</v>
      </c>
      <c r="G240">
        <v>201</v>
      </c>
      <c r="H240">
        <v>7679</v>
      </c>
      <c r="I240">
        <v>0.997711120525405</v>
      </c>
      <c r="J240">
        <v>1</v>
      </c>
      <c r="K240">
        <v>0.34418000089641898</v>
      </c>
      <c r="L240" t="s">
        <v>1610</v>
      </c>
      <c r="M240" t="str">
        <f>HYPERLINK("../../3.KEGG_map/SCI_II-vs-NC-Down/rno05203.html","rno05203")</f>
        <v>rno05203</v>
      </c>
    </row>
    <row r="241" spans="1:13" x14ac:dyDescent="0.25">
      <c r="A241" t="s">
        <v>573</v>
      </c>
      <c r="B241" t="s">
        <v>574</v>
      </c>
      <c r="C241" t="s">
        <v>115</v>
      </c>
      <c r="D241" t="s">
        <v>566</v>
      </c>
      <c r="E241">
        <v>6</v>
      </c>
      <c r="F241">
        <v>444</v>
      </c>
      <c r="G241">
        <v>85</v>
      </c>
      <c r="H241">
        <v>7679</v>
      </c>
      <c r="I241">
        <v>0.36842533775914399</v>
      </c>
      <c r="J241">
        <v>0.805187633328451</v>
      </c>
      <c r="K241">
        <v>1.220826709062</v>
      </c>
      <c r="L241" t="s">
        <v>1611</v>
      </c>
      <c r="M241" t="str">
        <f>HYPERLINK("../../3.KEGG_map/SCI_II-vs-NC-Down/rno05204.html","rno05204")</f>
        <v>rno05204</v>
      </c>
    </row>
    <row r="242" spans="1:13" x14ac:dyDescent="0.25">
      <c r="A242" t="s">
        <v>575</v>
      </c>
      <c r="B242" t="s">
        <v>576</v>
      </c>
      <c r="C242" t="s">
        <v>115</v>
      </c>
      <c r="D242" t="s">
        <v>566</v>
      </c>
      <c r="E242">
        <v>18</v>
      </c>
      <c r="F242">
        <v>444</v>
      </c>
      <c r="G242">
        <v>198</v>
      </c>
      <c r="H242">
        <v>7679</v>
      </c>
      <c r="I242">
        <v>3.73251440977726E-2</v>
      </c>
      <c r="J242">
        <v>0.160557365880895</v>
      </c>
      <c r="K242">
        <v>1.57227682227682</v>
      </c>
      <c r="L242" t="s">
        <v>1612</v>
      </c>
      <c r="M242" t="str">
        <f>HYPERLINK("../../3.KEGG_map/SCI_II-vs-NC-Down/rno05205.html","rno05205")</f>
        <v>rno05205</v>
      </c>
    </row>
    <row r="243" spans="1:13" x14ac:dyDescent="0.25">
      <c r="A243" t="s">
        <v>578</v>
      </c>
      <c r="B243" t="s">
        <v>579</v>
      </c>
      <c r="C243" t="s">
        <v>115</v>
      </c>
      <c r="D243" t="s">
        <v>566</v>
      </c>
      <c r="E243">
        <v>5</v>
      </c>
      <c r="F243">
        <v>444</v>
      </c>
      <c r="G243">
        <v>141</v>
      </c>
      <c r="H243">
        <v>7679</v>
      </c>
      <c r="I243">
        <v>0.91715993003055596</v>
      </c>
      <c r="J243">
        <v>1</v>
      </c>
      <c r="K243">
        <v>0.61329946968244797</v>
      </c>
      <c r="L243" t="s">
        <v>1613</v>
      </c>
      <c r="M243" t="str">
        <f>HYPERLINK("../../3.KEGG_map/SCI_II-vs-NC-Down/rno05206.html","rno05206")</f>
        <v>rno05206</v>
      </c>
    </row>
    <row r="244" spans="1:13" x14ac:dyDescent="0.25">
      <c r="A244" t="s">
        <v>581</v>
      </c>
      <c r="B244" t="s">
        <v>582</v>
      </c>
      <c r="C244" t="s">
        <v>115</v>
      </c>
      <c r="D244" t="s">
        <v>583</v>
      </c>
      <c r="E244">
        <v>1</v>
      </c>
      <c r="F244">
        <v>444</v>
      </c>
      <c r="G244">
        <v>86</v>
      </c>
      <c r="H244">
        <v>7679</v>
      </c>
      <c r="I244">
        <v>0.99420932584575705</v>
      </c>
      <c r="J244">
        <v>1</v>
      </c>
      <c r="K244">
        <v>0.201105174942384</v>
      </c>
      <c r="L244" t="s">
        <v>1171</v>
      </c>
      <c r="M244" t="str">
        <f>HYPERLINK("../../3.KEGG_map/SCI_II-vs-NC-Down/rno05210.html","rno05210")</f>
        <v>rno05210</v>
      </c>
    </row>
    <row r="245" spans="1:13" x14ac:dyDescent="0.25">
      <c r="A245" t="s">
        <v>585</v>
      </c>
      <c r="B245" t="s">
        <v>586</v>
      </c>
      <c r="C245" t="s">
        <v>115</v>
      </c>
      <c r="D245" t="s">
        <v>583</v>
      </c>
      <c r="E245">
        <v>2</v>
      </c>
      <c r="F245">
        <v>444</v>
      </c>
      <c r="G245">
        <v>66</v>
      </c>
      <c r="H245">
        <v>7679</v>
      </c>
      <c r="I245">
        <v>0.90186796113214796</v>
      </c>
      <c r="J245">
        <v>1</v>
      </c>
      <c r="K245">
        <v>0.52409227409227399</v>
      </c>
      <c r="L245" t="s">
        <v>1614</v>
      </c>
      <c r="M245" t="str">
        <f>HYPERLINK("../../3.KEGG_map/SCI_II-vs-NC-Down/rno05211.html","rno05211")</f>
        <v>rno05211</v>
      </c>
    </row>
    <row r="246" spans="1:13" x14ac:dyDescent="0.25">
      <c r="A246" t="s">
        <v>588</v>
      </c>
      <c r="B246" t="s">
        <v>589</v>
      </c>
      <c r="C246" t="s">
        <v>115</v>
      </c>
      <c r="D246" t="s">
        <v>583</v>
      </c>
      <c r="E246">
        <v>2</v>
      </c>
      <c r="F246">
        <v>444</v>
      </c>
      <c r="G246">
        <v>74</v>
      </c>
      <c r="H246">
        <v>7679</v>
      </c>
      <c r="I246">
        <v>0.93336680176153597</v>
      </c>
      <c r="J246">
        <v>1</v>
      </c>
      <c r="K246">
        <v>0.46743364986608199</v>
      </c>
      <c r="L246" t="s">
        <v>1615</v>
      </c>
      <c r="M246" t="str">
        <f>HYPERLINK("../../3.KEGG_map/SCI_II-vs-NC-Down/rno05212.html","rno05212")</f>
        <v>rno05212</v>
      </c>
    </row>
    <row r="247" spans="1:13" x14ac:dyDescent="0.25">
      <c r="A247" t="s">
        <v>591</v>
      </c>
      <c r="B247" t="s">
        <v>592</v>
      </c>
      <c r="C247" t="s">
        <v>115</v>
      </c>
      <c r="D247" t="s">
        <v>583</v>
      </c>
      <c r="E247">
        <v>2</v>
      </c>
      <c r="F247">
        <v>444</v>
      </c>
      <c r="G247">
        <v>57</v>
      </c>
      <c r="H247">
        <v>7679</v>
      </c>
      <c r="I247">
        <v>0.850132096609864</v>
      </c>
      <c r="J247">
        <v>1</v>
      </c>
      <c r="K247">
        <v>0.60684368579105397</v>
      </c>
      <c r="L247" t="s">
        <v>1616</v>
      </c>
      <c r="M247" t="str">
        <f>HYPERLINK("../../3.KEGG_map/SCI_II-vs-NC-Down/rno05213.html","rno05213")</f>
        <v>rno05213</v>
      </c>
    </row>
    <row r="248" spans="1:13" x14ac:dyDescent="0.25">
      <c r="A248" t="s">
        <v>593</v>
      </c>
      <c r="B248" t="s">
        <v>594</v>
      </c>
      <c r="C248" t="s">
        <v>115</v>
      </c>
      <c r="D248" t="s">
        <v>583</v>
      </c>
      <c r="E248">
        <v>1</v>
      </c>
      <c r="F248">
        <v>444</v>
      </c>
      <c r="G248">
        <v>71</v>
      </c>
      <c r="H248">
        <v>7679</v>
      </c>
      <c r="I248">
        <v>0.98571681728272298</v>
      </c>
      <c r="J248">
        <v>1</v>
      </c>
      <c r="K248">
        <v>0.24359218373302899</v>
      </c>
      <c r="L248" t="s">
        <v>1171</v>
      </c>
      <c r="M248" t="str">
        <f>HYPERLINK("../../3.KEGG_map/SCI_II-vs-NC-Down/rno05214.html","rno05214")</f>
        <v>rno05214</v>
      </c>
    </row>
    <row r="249" spans="1:13" x14ac:dyDescent="0.25">
      <c r="A249" t="s">
        <v>595</v>
      </c>
      <c r="B249" t="s">
        <v>596</v>
      </c>
      <c r="C249" t="s">
        <v>115</v>
      </c>
      <c r="D249" t="s">
        <v>583</v>
      </c>
      <c r="E249">
        <v>3</v>
      </c>
      <c r="F249">
        <v>444</v>
      </c>
      <c r="G249">
        <v>96</v>
      </c>
      <c r="H249">
        <v>7679</v>
      </c>
      <c r="I249">
        <v>0.92217262312890502</v>
      </c>
      <c r="J249">
        <v>1</v>
      </c>
      <c r="K249">
        <v>0.54047015765765805</v>
      </c>
      <c r="L249" t="s">
        <v>1617</v>
      </c>
      <c r="M249" t="str">
        <f>HYPERLINK("../../3.KEGG_map/SCI_II-vs-NC-Down/rno05215.html","rno05215")</f>
        <v>rno05215</v>
      </c>
    </row>
    <row r="250" spans="1:13" x14ac:dyDescent="0.25">
      <c r="A250" t="s">
        <v>1055</v>
      </c>
      <c r="B250" t="s">
        <v>1056</v>
      </c>
      <c r="C250" t="s">
        <v>115</v>
      </c>
      <c r="D250" t="s">
        <v>583</v>
      </c>
      <c r="E250">
        <v>1</v>
      </c>
      <c r="F250">
        <v>444</v>
      </c>
      <c r="G250">
        <v>37</v>
      </c>
      <c r="H250">
        <v>7679</v>
      </c>
      <c r="I250">
        <v>0.89019199276110905</v>
      </c>
      <c r="J250">
        <v>1</v>
      </c>
      <c r="K250">
        <v>0.46743364986608199</v>
      </c>
      <c r="L250" t="s">
        <v>1369</v>
      </c>
      <c r="M250" t="str">
        <f>HYPERLINK("../../3.KEGG_map/SCI_II-vs-NC-Down/rno05216.html","rno05216")</f>
        <v>rno05216</v>
      </c>
    </row>
    <row r="251" spans="1:13" x14ac:dyDescent="0.25">
      <c r="A251" t="s">
        <v>858</v>
      </c>
      <c r="B251" t="s">
        <v>859</v>
      </c>
      <c r="C251" t="s">
        <v>115</v>
      </c>
      <c r="D251" t="s">
        <v>583</v>
      </c>
      <c r="E251">
        <v>6</v>
      </c>
      <c r="F251">
        <v>444</v>
      </c>
      <c r="G251">
        <v>60</v>
      </c>
      <c r="H251">
        <v>7679</v>
      </c>
      <c r="I251">
        <v>0.131491857147741</v>
      </c>
      <c r="J251">
        <v>0.424217777226641</v>
      </c>
      <c r="K251">
        <v>1.7295045045045001</v>
      </c>
      <c r="L251" t="s">
        <v>1618</v>
      </c>
      <c r="M251" t="str">
        <f>HYPERLINK("../../3.KEGG_map/SCI_II-vs-NC-Down/rno05217.html","rno05217")</f>
        <v>rno05217</v>
      </c>
    </row>
    <row r="252" spans="1:13" x14ac:dyDescent="0.25">
      <c r="A252" t="s">
        <v>598</v>
      </c>
      <c r="B252" t="s">
        <v>599</v>
      </c>
      <c r="C252" t="s">
        <v>115</v>
      </c>
      <c r="D252" t="s">
        <v>583</v>
      </c>
      <c r="E252">
        <v>2</v>
      </c>
      <c r="F252">
        <v>444</v>
      </c>
      <c r="G252">
        <v>72</v>
      </c>
      <c r="H252">
        <v>7679</v>
      </c>
      <c r="I252">
        <v>0.92653397659141801</v>
      </c>
      <c r="J252">
        <v>1</v>
      </c>
      <c r="K252">
        <v>0.48041791791791799</v>
      </c>
      <c r="L252" t="s">
        <v>1619</v>
      </c>
      <c r="M252" t="str">
        <f>HYPERLINK("../../3.KEGG_map/SCI_II-vs-NC-Down/rno05218.html","rno05218")</f>
        <v>rno05218</v>
      </c>
    </row>
    <row r="253" spans="1:13" x14ac:dyDescent="0.25">
      <c r="A253" t="s">
        <v>600</v>
      </c>
      <c r="B253" t="s">
        <v>601</v>
      </c>
      <c r="C253" t="s">
        <v>115</v>
      </c>
      <c r="D253" t="s">
        <v>583</v>
      </c>
      <c r="E253">
        <v>1</v>
      </c>
      <c r="F253">
        <v>444</v>
      </c>
      <c r="G253">
        <v>40</v>
      </c>
      <c r="H253">
        <v>7679</v>
      </c>
      <c r="I253">
        <v>0.90824327204173005</v>
      </c>
      <c r="J253">
        <v>1</v>
      </c>
      <c r="K253">
        <v>0.43237612612612603</v>
      </c>
      <c r="L253" t="s">
        <v>1171</v>
      </c>
      <c r="M253" t="str">
        <f>HYPERLINK("../../3.KEGG_map/SCI_II-vs-NC-Down/rno05219.html","rno05219")</f>
        <v>rno05219</v>
      </c>
    </row>
    <row r="254" spans="1:13" x14ac:dyDescent="0.25">
      <c r="A254" t="s">
        <v>865</v>
      </c>
      <c r="B254" t="s">
        <v>866</v>
      </c>
      <c r="C254" t="s">
        <v>115</v>
      </c>
      <c r="D254" t="s">
        <v>583</v>
      </c>
      <c r="E254">
        <v>1</v>
      </c>
      <c r="F254">
        <v>444</v>
      </c>
      <c r="G254">
        <v>66</v>
      </c>
      <c r="H254">
        <v>7679</v>
      </c>
      <c r="I254">
        <v>0.98070936232158501</v>
      </c>
      <c r="J254">
        <v>1</v>
      </c>
      <c r="K254">
        <v>0.262046137046137</v>
      </c>
      <c r="L254" t="s">
        <v>1620</v>
      </c>
      <c r="M254" t="str">
        <f>HYPERLINK("../../3.KEGG_map/SCI_II-vs-NC-Down/rno05221.html","rno05221")</f>
        <v>rno05221</v>
      </c>
    </row>
    <row r="255" spans="1:13" x14ac:dyDescent="0.25">
      <c r="A255" t="s">
        <v>603</v>
      </c>
      <c r="B255" t="s">
        <v>604</v>
      </c>
      <c r="C255" t="s">
        <v>115</v>
      </c>
      <c r="D255" t="s">
        <v>583</v>
      </c>
      <c r="E255">
        <v>4</v>
      </c>
      <c r="F255">
        <v>444</v>
      </c>
      <c r="G255">
        <v>91</v>
      </c>
      <c r="H255">
        <v>7679</v>
      </c>
      <c r="I255">
        <v>0.77991615982560702</v>
      </c>
      <c r="J255">
        <v>1</v>
      </c>
      <c r="K255">
        <v>0.76022176022176002</v>
      </c>
      <c r="L255" t="s">
        <v>1621</v>
      </c>
      <c r="M255" t="str">
        <f>HYPERLINK("../../3.KEGG_map/SCI_II-vs-NC-Down/rno05222.html","rno05222")</f>
        <v>rno05222</v>
      </c>
    </row>
    <row r="256" spans="1:13" x14ac:dyDescent="0.25">
      <c r="A256" t="s">
        <v>868</v>
      </c>
      <c r="B256" t="s">
        <v>869</v>
      </c>
      <c r="C256" t="s">
        <v>115</v>
      </c>
      <c r="D256" t="s">
        <v>583</v>
      </c>
      <c r="E256">
        <v>3</v>
      </c>
      <c r="F256">
        <v>444</v>
      </c>
      <c r="G256">
        <v>66</v>
      </c>
      <c r="H256">
        <v>7679</v>
      </c>
      <c r="I256">
        <v>0.74357496522851996</v>
      </c>
      <c r="J256">
        <v>1</v>
      </c>
      <c r="K256">
        <v>0.78613841113841099</v>
      </c>
      <c r="L256" t="s">
        <v>1622</v>
      </c>
      <c r="M256" t="str">
        <f>HYPERLINK("../../3.KEGG_map/SCI_II-vs-NC-Down/rno05223.html","rno05223")</f>
        <v>rno05223</v>
      </c>
    </row>
    <row r="257" spans="1:13" x14ac:dyDescent="0.25">
      <c r="A257" t="s">
        <v>606</v>
      </c>
      <c r="B257" t="s">
        <v>607</v>
      </c>
      <c r="C257" t="s">
        <v>115</v>
      </c>
      <c r="D257" t="s">
        <v>583</v>
      </c>
      <c r="E257">
        <v>8</v>
      </c>
      <c r="F257">
        <v>444</v>
      </c>
      <c r="G257">
        <v>145</v>
      </c>
      <c r="H257">
        <v>7679</v>
      </c>
      <c r="I257">
        <v>0.60641089551805205</v>
      </c>
      <c r="J257">
        <v>1</v>
      </c>
      <c r="K257">
        <v>0.95420938179558901</v>
      </c>
      <c r="L257" t="s">
        <v>1623</v>
      </c>
      <c r="M257" t="str">
        <f>HYPERLINK("../../3.KEGG_map/SCI_II-vs-NC-Down/rno05224.html","rno05224")</f>
        <v>rno05224</v>
      </c>
    </row>
    <row r="258" spans="1:13" x14ac:dyDescent="0.25">
      <c r="A258" t="s">
        <v>608</v>
      </c>
      <c r="B258" t="s">
        <v>609</v>
      </c>
      <c r="C258" t="s">
        <v>115</v>
      </c>
      <c r="D258" t="s">
        <v>583</v>
      </c>
      <c r="E258">
        <v>9</v>
      </c>
      <c r="F258">
        <v>444</v>
      </c>
      <c r="G258">
        <v>169</v>
      </c>
      <c r="H258">
        <v>7679</v>
      </c>
      <c r="I258">
        <v>0.64942168537388101</v>
      </c>
      <c r="J258">
        <v>1</v>
      </c>
      <c r="K258">
        <v>0.92103790180713296</v>
      </c>
      <c r="L258" t="s">
        <v>1624</v>
      </c>
      <c r="M258" t="str">
        <f>HYPERLINK("../../3.KEGG_map/SCI_II-vs-NC-Down/rno05225.html","rno05225")</f>
        <v>rno05225</v>
      </c>
    </row>
    <row r="259" spans="1:13" x14ac:dyDescent="0.25">
      <c r="A259" t="s">
        <v>611</v>
      </c>
      <c r="B259" t="s">
        <v>612</v>
      </c>
      <c r="C259" t="s">
        <v>115</v>
      </c>
      <c r="D259" t="s">
        <v>583</v>
      </c>
      <c r="E259">
        <v>11</v>
      </c>
      <c r="F259">
        <v>444</v>
      </c>
      <c r="G259">
        <v>147</v>
      </c>
      <c r="H259">
        <v>7679</v>
      </c>
      <c r="I259">
        <v>0.22985981771275901</v>
      </c>
      <c r="J259">
        <v>0.58766047735997895</v>
      </c>
      <c r="K259">
        <v>1.29418704418704</v>
      </c>
      <c r="L259" t="s">
        <v>1625</v>
      </c>
      <c r="M259" t="str">
        <f>HYPERLINK("../../3.KEGG_map/SCI_II-vs-NC-Down/rno05226.html","rno05226")</f>
        <v>rno05226</v>
      </c>
    </row>
    <row r="260" spans="1:13" x14ac:dyDescent="0.25">
      <c r="A260" t="s">
        <v>614</v>
      </c>
      <c r="B260" t="s">
        <v>615</v>
      </c>
      <c r="C260" t="s">
        <v>115</v>
      </c>
      <c r="D260" t="s">
        <v>566</v>
      </c>
      <c r="E260">
        <v>1</v>
      </c>
      <c r="F260">
        <v>444</v>
      </c>
      <c r="G260">
        <v>61</v>
      </c>
      <c r="H260">
        <v>7679</v>
      </c>
      <c r="I260">
        <v>0.973951671435071</v>
      </c>
      <c r="J260">
        <v>1</v>
      </c>
      <c r="K260">
        <v>0.28352532860729601</v>
      </c>
      <c r="L260" t="s">
        <v>1377</v>
      </c>
      <c r="M260" t="str">
        <f>HYPERLINK("../../3.KEGG_map/SCI_II-vs-NC-Down/rno05230.html","rno05230")</f>
        <v>rno05230</v>
      </c>
    </row>
    <row r="261" spans="1:13" x14ac:dyDescent="0.25">
      <c r="A261" t="s">
        <v>617</v>
      </c>
      <c r="B261" t="s">
        <v>618</v>
      </c>
      <c r="C261" t="s">
        <v>115</v>
      </c>
      <c r="D261" t="s">
        <v>566</v>
      </c>
      <c r="E261">
        <v>8</v>
      </c>
      <c r="F261">
        <v>444</v>
      </c>
      <c r="G261">
        <v>97</v>
      </c>
      <c r="H261">
        <v>7679</v>
      </c>
      <c r="I261">
        <v>0.197554239138924</v>
      </c>
      <c r="J261">
        <v>0.53916475893087601</v>
      </c>
      <c r="K261">
        <v>1.4263954676325801</v>
      </c>
      <c r="L261" t="s">
        <v>1626</v>
      </c>
      <c r="M261" t="str">
        <f>HYPERLINK("../../3.KEGG_map/SCI_II-vs-NC-Down/rno05231.html","rno05231")</f>
        <v>rno05231</v>
      </c>
    </row>
    <row r="262" spans="1:13" x14ac:dyDescent="0.25">
      <c r="A262" t="s">
        <v>619</v>
      </c>
      <c r="B262" t="s">
        <v>620</v>
      </c>
      <c r="C262" t="s">
        <v>115</v>
      </c>
      <c r="D262" t="s">
        <v>621</v>
      </c>
      <c r="E262">
        <v>2</v>
      </c>
      <c r="F262">
        <v>444</v>
      </c>
      <c r="G262">
        <v>60</v>
      </c>
      <c r="H262">
        <v>7679</v>
      </c>
      <c r="I262">
        <v>0.86965459247028098</v>
      </c>
      <c r="J262">
        <v>1</v>
      </c>
      <c r="K262">
        <v>0.57650150150150103</v>
      </c>
      <c r="L262" t="s">
        <v>1627</v>
      </c>
      <c r="M262" t="str">
        <f>HYPERLINK("../../3.KEGG_map/SCI_II-vs-NC-Down/rno05320.html","rno05320")</f>
        <v>rno05320</v>
      </c>
    </row>
    <row r="263" spans="1:13" x14ac:dyDescent="0.25">
      <c r="A263" t="s">
        <v>622</v>
      </c>
      <c r="B263" t="s">
        <v>623</v>
      </c>
      <c r="C263" t="s">
        <v>115</v>
      </c>
      <c r="D263" t="s">
        <v>621</v>
      </c>
      <c r="E263">
        <v>1</v>
      </c>
      <c r="F263">
        <v>444</v>
      </c>
      <c r="G263">
        <v>59</v>
      </c>
      <c r="H263">
        <v>7679</v>
      </c>
      <c r="I263">
        <v>0.97062834145444599</v>
      </c>
      <c r="J263">
        <v>1</v>
      </c>
      <c r="K263">
        <v>0.293136356695679</v>
      </c>
      <c r="L263" t="s">
        <v>1247</v>
      </c>
      <c r="M263" t="str">
        <f>HYPERLINK("../../3.KEGG_map/SCI_II-vs-NC-Down/rno05321.html","rno05321")</f>
        <v>rno05321</v>
      </c>
    </row>
    <row r="264" spans="1:13" x14ac:dyDescent="0.25">
      <c r="A264" t="s">
        <v>625</v>
      </c>
      <c r="B264" t="s">
        <v>626</v>
      </c>
      <c r="C264" t="s">
        <v>115</v>
      </c>
      <c r="D264" t="s">
        <v>621</v>
      </c>
      <c r="E264">
        <v>2</v>
      </c>
      <c r="F264">
        <v>444</v>
      </c>
      <c r="G264">
        <v>91</v>
      </c>
      <c r="H264">
        <v>7679</v>
      </c>
      <c r="I264">
        <v>0.97149032735234597</v>
      </c>
      <c r="J264">
        <v>1</v>
      </c>
      <c r="K264">
        <v>0.38011088011088001</v>
      </c>
      <c r="L264" t="s">
        <v>1628</v>
      </c>
      <c r="M264" t="str">
        <f>HYPERLINK("../../3.KEGG_map/SCI_II-vs-NC-Down/rno05322.html","rno05322")</f>
        <v>rno05322</v>
      </c>
    </row>
    <row r="265" spans="1:13" x14ac:dyDescent="0.25">
      <c r="A265" t="s">
        <v>627</v>
      </c>
      <c r="B265" t="s">
        <v>628</v>
      </c>
      <c r="C265" t="s">
        <v>115</v>
      </c>
      <c r="D265" t="s">
        <v>621</v>
      </c>
      <c r="E265">
        <v>3</v>
      </c>
      <c r="F265">
        <v>444</v>
      </c>
      <c r="G265">
        <v>81</v>
      </c>
      <c r="H265">
        <v>7679</v>
      </c>
      <c r="I265">
        <v>0.85543776793512005</v>
      </c>
      <c r="J265">
        <v>1</v>
      </c>
      <c r="K265">
        <v>0.64055722389055703</v>
      </c>
      <c r="L265" t="s">
        <v>1629</v>
      </c>
      <c r="M265" t="str">
        <f>HYPERLINK("../../3.KEGG_map/SCI_II-vs-NC-Down/rno05323.html","rno05323")</f>
        <v>rno05323</v>
      </c>
    </row>
    <row r="266" spans="1:13" x14ac:dyDescent="0.25">
      <c r="A266" t="s">
        <v>629</v>
      </c>
      <c r="B266" t="s">
        <v>630</v>
      </c>
      <c r="C266" t="s">
        <v>115</v>
      </c>
      <c r="D266" t="s">
        <v>621</v>
      </c>
      <c r="E266">
        <v>1</v>
      </c>
      <c r="F266">
        <v>444</v>
      </c>
      <c r="G266">
        <v>53</v>
      </c>
      <c r="H266">
        <v>7679</v>
      </c>
      <c r="I266">
        <v>0.957899262093037</v>
      </c>
      <c r="J266">
        <v>1</v>
      </c>
      <c r="K266">
        <v>0.32632160462349102</v>
      </c>
      <c r="L266" t="s">
        <v>1247</v>
      </c>
      <c r="M266" t="str">
        <f>HYPERLINK("../../3.KEGG_map/SCI_II-vs-NC-Down/rno05330.html","rno05330")</f>
        <v>rno05330</v>
      </c>
    </row>
    <row r="267" spans="1:13" x14ac:dyDescent="0.25">
      <c r="A267" t="s">
        <v>1384</v>
      </c>
      <c r="B267" t="s">
        <v>1385</v>
      </c>
      <c r="C267" t="s">
        <v>115</v>
      </c>
      <c r="D267" t="s">
        <v>621</v>
      </c>
      <c r="E267">
        <v>2</v>
      </c>
      <c r="F267">
        <v>444</v>
      </c>
      <c r="G267">
        <v>36</v>
      </c>
      <c r="H267">
        <v>7679</v>
      </c>
      <c r="I267">
        <v>0.62461097793687603</v>
      </c>
      <c r="J267">
        <v>1</v>
      </c>
      <c r="K267">
        <v>0.96083583583583598</v>
      </c>
      <c r="L267" t="s">
        <v>1386</v>
      </c>
      <c r="M267" t="str">
        <f>HYPERLINK("../../3.KEGG_map/SCI_II-vs-NC-Down/rno05340.html","rno05340")</f>
        <v>rno05340</v>
      </c>
    </row>
    <row r="268" spans="1:13" x14ac:dyDescent="0.25">
      <c r="A268" t="s">
        <v>633</v>
      </c>
      <c r="B268" t="s">
        <v>634</v>
      </c>
      <c r="C268" t="s">
        <v>115</v>
      </c>
      <c r="D268" t="s">
        <v>635</v>
      </c>
      <c r="E268">
        <v>14</v>
      </c>
      <c r="F268">
        <v>444</v>
      </c>
      <c r="G268">
        <v>86</v>
      </c>
      <c r="H268">
        <v>7679</v>
      </c>
      <c r="I268">
        <v>3.7147431041770798E-4</v>
      </c>
      <c r="J268">
        <v>5.2983967433262603E-3</v>
      </c>
      <c r="K268">
        <v>2.81547244919338</v>
      </c>
      <c r="L268" t="s">
        <v>1630</v>
      </c>
      <c r="M268" t="str">
        <f>HYPERLINK("../../3.KEGG_map/SCI_II-vs-NC-Down/rno05410.html","rno05410")</f>
        <v>rno05410</v>
      </c>
    </row>
    <row r="269" spans="1:13" x14ac:dyDescent="0.25">
      <c r="A269" t="s">
        <v>637</v>
      </c>
      <c r="B269" t="s">
        <v>638</v>
      </c>
      <c r="C269" t="s">
        <v>115</v>
      </c>
      <c r="D269" t="s">
        <v>635</v>
      </c>
      <c r="E269">
        <v>9</v>
      </c>
      <c r="F269">
        <v>444</v>
      </c>
      <c r="G269">
        <v>72</v>
      </c>
      <c r="H269">
        <v>7679</v>
      </c>
      <c r="I269">
        <v>2.2192642941787102E-2</v>
      </c>
      <c r="J269">
        <v>0.12652130515144999</v>
      </c>
      <c r="K269">
        <v>2.16188063063063</v>
      </c>
      <c r="L269" t="s">
        <v>1631</v>
      </c>
      <c r="M269" t="str">
        <f>HYPERLINK("../../3.KEGG_map/SCI_II-vs-NC-Down/rno05412.html","rno05412")</f>
        <v>rno05412</v>
      </c>
    </row>
    <row r="270" spans="1:13" x14ac:dyDescent="0.25">
      <c r="A270" t="s">
        <v>640</v>
      </c>
      <c r="B270" t="s">
        <v>641</v>
      </c>
      <c r="C270" t="s">
        <v>115</v>
      </c>
      <c r="D270" t="s">
        <v>635</v>
      </c>
      <c r="E270">
        <v>14</v>
      </c>
      <c r="F270">
        <v>444</v>
      </c>
      <c r="G270">
        <v>88</v>
      </c>
      <c r="H270">
        <v>7679</v>
      </c>
      <c r="I270">
        <v>4.7352916739030001E-4</v>
      </c>
      <c r="J270">
        <v>6.1107811601319702E-3</v>
      </c>
      <c r="K270">
        <v>2.75148443898444</v>
      </c>
      <c r="L270" t="s">
        <v>1632</v>
      </c>
      <c r="M270" t="str">
        <f>HYPERLINK("../../3.KEGG_map/SCI_II-vs-NC-Down/rno05414.html","rno05414")</f>
        <v>rno05414</v>
      </c>
    </row>
    <row r="271" spans="1:13" x14ac:dyDescent="0.25">
      <c r="A271" t="s">
        <v>642</v>
      </c>
      <c r="B271" t="s">
        <v>643</v>
      </c>
      <c r="C271" t="s">
        <v>115</v>
      </c>
      <c r="D271" t="s">
        <v>635</v>
      </c>
      <c r="E271">
        <v>3</v>
      </c>
      <c r="F271">
        <v>444</v>
      </c>
      <c r="G271">
        <v>73</v>
      </c>
      <c r="H271">
        <v>7679</v>
      </c>
      <c r="I271">
        <v>0.80245773847587698</v>
      </c>
      <c r="J271">
        <v>1</v>
      </c>
      <c r="K271">
        <v>0.71075527582376896</v>
      </c>
      <c r="L271" t="s">
        <v>1390</v>
      </c>
      <c r="M271" t="str">
        <f>HYPERLINK("../../3.KEGG_map/SCI_II-vs-NC-Down/rno05416.html","rno05416")</f>
        <v>rno05416</v>
      </c>
    </row>
    <row r="272" spans="1:13" x14ac:dyDescent="0.25">
      <c r="A272" t="s">
        <v>645</v>
      </c>
      <c r="B272" t="s">
        <v>646</v>
      </c>
      <c r="C272" t="s">
        <v>115</v>
      </c>
      <c r="D272" t="s">
        <v>635</v>
      </c>
      <c r="E272">
        <v>6</v>
      </c>
      <c r="F272">
        <v>444</v>
      </c>
      <c r="G272">
        <v>141</v>
      </c>
      <c r="H272">
        <v>7679</v>
      </c>
      <c r="I272">
        <v>0.83288687200898803</v>
      </c>
      <c r="J272">
        <v>1</v>
      </c>
      <c r="K272">
        <v>0.73595936361893799</v>
      </c>
      <c r="L272" t="s">
        <v>1633</v>
      </c>
      <c r="M272" t="str">
        <f>HYPERLINK("../../3.KEGG_map/SCI_II-vs-NC-Down/rno05418.html","rno05418")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94AD-C328-4D10-9CCB-F03B477E430E}">
  <dimension ref="A1:M236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2</v>
      </c>
      <c r="F2">
        <v>235</v>
      </c>
      <c r="G2">
        <v>64</v>
      </c>
      <c r="H2">
        <v>7679</v>
      </c>
      <c r="I2">
        <v>0.58787526968773596</v>
      </c>
      <c r="J2">
        <v>0.99999999999839395</v>
      </c>
      <c r="K2">
        <v>1.02114361702128</v>
      </c>
      <c r="L2" t="s">
        <v>1634</v>
      </c>
      <c r="M2" t="str">
        <f>HYPERLINK("../../3.KEGG_map/SCI_III-vs-NC-Down/rno00010.html","rno00010")</f>
        <v>rno00010</v>
      </c>
    </row>
    <row r="3" spans="1:13" x14ac:dyDescent="0.25">
      <c r="A3" t="s">
        <v>1081</v>
      </c>
      <c r="B3" t="s">
        <v>1082</v>
      </c>
      <c r="C3" t="s">
        <v>15</v>
      </c>
      <c r="D3" t="s">
        <v>25</v>
      </c>
      <c r="E3">
        <v>2</v>
      </c>
      <c r="F3">
        <v>235</v>
      </c>
      <c r="G3">
        <v>13</v>
      </c>
      <c r="H3">
        <v>7679</v>
      </c>
      <c r="I3">
        <v>5.8266088215506003E-2</v>
      </c>
      <c r="J3">
        <v>0.39156381134665902</v>
      </c>
      <c r="K3">
        <v>5.0271685761047502</v>
      </c>
      <c r="L3" t="s">
        <v>1083</v>
      </c>
      <c r="M3" t="str">
        <f>HYPERLINK("../../3.KEGG_map/SCI_III-vs-NC-Down/rno00061.html","rno00061")</f>
        <v>rno00061</v>
      </c>
    </row>
    <row r="4" spans="1:13" x14ac:dyDescent="0.25">
      <c r="A4" t="s">
        <v>1087</v>
      </c>
      <c r="B4" t="s">
        <v>1088</v>
      </c>
      <c r="C4" t="s">
        <v>15</v>
      </c>
      <c r="D4" t="s">
        <v>25</v>
      </c>
      <c r="E4">
        <v>3</v>
      </c>
      <c r="F4">
        <v>235</v>
      </c>
      <c r="G4">
        <v>44</v>
      </c>
      <c r="H4">
        <v>7679</v>
      </c>
      <c r="I4">
        <v>0.150828289495751</v>
      </c>
      <c r="J4">
        <v>0.67425404261708499</v>
      </c>
      <c r="K4">
        <v>2.2279497098646002</v>
      </c>
      <c r="L4" t="s">
        <v>1635</v>
      </c>
      <c r="M4" t="str">
        <f>HYPERLINK("../../3.KEGG_map/SCI_III-vs-NC-Down/rno00071.html","rno00071")</f>
        <v>rno00071</v>
      </c>
    </row>
    <row r="5" spans="1:13" x14ac:dyDescent="0.25">
      <c r="A5" t="s">
        <v>23</v>
      </c>
      <c r="B5" t="s">
        <v>24</v>
      </c>
      <c r="C5" t="s">
        <v>15</v>
      </c>
      <c r="D5" t="s">
        <v>25</v>
      </c>
      <c r="E5">
        <v>2</v>
      </c>
      <c r="F5">
        <v>235</v>
      </c>
      <c r="G5">
        <v>75</v>
      </c>
      <c r="H5">
        <v>7679</v>
      </c>
      <c r="I5">
        <v>0.67414410975623096</v>
      </c>
      <c r="J5">
        <v>0.99999999999839395</v>
      </c>
      <c r="K5">
        <v>0.87137588652482301</v>
      </c>
      <c r="L5" t="s">
        <v>1636</v>
      </c>
      <c r="M5" t="str">
        <f>HYPERLINK("../../3.KEGG_map/SCI_III-vs-NC-Down/rno00140.html","rno00140")</f>
        <v>rno00140</v>
      </c>
    </row>
    <row r="6" spans="1:13" x14ac:dyDescent="0.25">
      <c r="A6" t="s">
        <v>649</v>
      </c>
      <c r="B6" t="s">
        <v>650</v>
      </c>
      <c r="C6" t="s">
        <v>15</v>
      </c>
      <c r="D6" t="s">
        <v>651</v>
      </c>
      <c r="E6">
        <v>1</v>
      </c>
      <c r="F6">
        <v>235</v>
      </c>
      <c r="G6">
        <v>119</v>
      </c>
      <c r="H6">
        <v>7679</v>
      </c>
      <c r="I6">
        <v>0.97595449433147297</v>
      </c>
      <c r="J6">
        <v>0.99999999999839395</v>
      </c>
      <c r="K6">
        <v>0.27459324155193998</v>
      </c>
      <c r="L6" t="s">
        <v>1637</v>
      </c>
      <c r="M6" t="str">
        <f>HYPERLINK("../../3.KEGG_map/SCI_III-vs-NC-Down/rno00190.html","rno00190")</f>
        <v>rno00190</v>
      </c>
    </row>
    <row r="7" spans="1:13" x14ac:dyDescent="0.25">
      <c r="A7" t="s">
        <v>31</v>
      </c>
      <c r="B7" t="s">
        <v>32</v>
      </c>
      <c r="C7" t="s">
        <v>15</v>
      </c>
      <c r="D7" t="s">
        <v>33</v>
      </c>
      <c r="E7">
        <v>3</v>
      </c>
      <c r="F7">
        <v>235</v>
      </c>
      <c r="G7">
        <v>169</v>
      </c>
      <c r="H7">
        <v>7679</v>
      </c>
      <c r="I7">
        <v>0.895423387827748</v>
      </c>
      <c r="J7">
        <v>0.99999999999839395</v>
      </c>
      <c r="K7">
        <v>0.58005791262747097</v>
      </c>
      <c r="L7" t="s">
        <v>1638</v>
      </c>
      <c r="M7" t="str">
        <f>HYPERLINK("../../3.KEGG_map/SCI_III-vs-NC-Down/rno00230.html","rno00230")</f>
        <v>rno00230</v>
      </c>
    </row>
    <row r="8" spans="1:13" x14ac:dyDescent="0.25">
      <c r="A8" t="s">
        <v>35</v>
      </c>
      <c r="B8" t="s">
        <v>36</v>
      </c>
      <c r="C8" t="s">
        <v>15</v>
      </c>
      <c r="D8" t="s">
        <v>33</v>
      </c>
      <c r="E8">
        <v>1</v>
      </c>
      <c r="F8">
        <v>235</v>
      </c>
      <c r="G8">
        <v>96</v>
      </c>
      <c r="H8">
        <v>7679</v>
      </c>
      <c r="I8">
        <v>0.95034623928460604</v>
      </c>
      <c r="J8">
        <v>0.99999999999839395</v>
      </c>
      <c r="K8">
        <v>0.34038120567375901</v>
      </c>
      <c r="L8" t="s">
        <v>1639</v>
      </c>
      <c r="M8" t="str">
        <f>HYPERLINK("../../3.KEGG_map/SCI_III-vs-NC-Down/rno00240.html","rno00240")</f>
        <v>rno00240</v>
      </c>
    </row>
    <row r="9" spans="1:13" x14ac:dyDescent="0.25">
      <c r="A9" t="s">
        <v>38</v>
      </c>
      <c r="B9" t="s">
        <v>39</v>
      </c>
      <c r="C9" t="s">
        <v>15</v>
      </c>
      <c r="D9" t="s">
        <v>29</v>
      </c>
      <c r="E9">
        <v>1</v>
      </c>
      <c r="F9">
        <v>235</v>
      </c>
      <c r="G9">
        <v>35</v>
      </c>
      <c r="H9">
        <v>7679</v>
      </c>
      <c r="I9">
        <v>0.66388041355116301</v>
      </c>
      <c r="J9">
        <v>0.99999999999839395</v>
      </c>
      <c r="K9">
        <v>0.93361702127659596</v>
      </c>
      <c r="L9" t="s">
        <v>1640</v>
      </c>
      <c r="M9" t="str">
        <f>HYPERLINK("../../3.KEGG_map/SCI_III-vs-NC-Down/rno00250.html","rno00250")</f>
        <v>rno00250</v>
      </c>
    </row>
    <row r="10" spans="1:13" x14ac:dyDescent="0.25">
      <c r="A10" t="s">
        <v>1104</v>
      </c>
      <c r="B10" t="s">
        <v>1105</v>
      </c>
      <c r="C10" t="s">
        <v>15</v>
      </c>
      <c r="D10" t="s">
        <v>29</v>
      </c>
      <c r="E10">
        <v>2</v>
      </c>
      <c r="F10">
        <v>235</v>
      </c>
      <c r="G10">
        <v>38</v>
      </c>
      <c r="H10">
        <v>7679</v>
      </c>
      <c r="I10">
        <v>0.32495126663044699</v>
      </c>
      <c r="J10">
        <v>0.95379603369580901</v>
      </c>
      <c r="K10">
        <v>1.7198208286674099</v>
      </c>
      <c r="L10" t="s">
        <v>1641</v>
      </c>
      <c r="M10" t="str">
        <f>HYPERLINK("../../3.KEGG_map/SCI_III-vs-NC-Down/rno00260.html","rno00260")</f>
        <v>rno00260</v>
      </c>
    </row>
    <row r="11" spans="1:13" x14ac:dyDescent="0.25">
      <c r="A11" t="s">
        <v>40</v>
      </c>
      <c r="B11" t="s">
        <v>41</v>
      </c>
      <c r="C11" t="s">
        <v>15</v>
      </c>
      <c r="D11" t="s">
        <v>29</v>
      </c>
      <c r="E11">
        <v>1</v>
      </c>
      <c r="F11">
        <v>235</v>
      </c>
      <c r="G11">
        <v>45</v>
      </c>
      <c r="H11">
        <v>7679</v>
      </c>
      <c r="I11">
        <v>0.75407548531653401</v>
      </c>
      <c r="J11">
        <v>0.99999999999839395</v>
      </c>
      <c r="K11">
        <v>0.72614657210401901</v>
      </c>
      <c r="L11" t="s">
        <v>1642</v>
      </c>
      <c r="M11" t="str">
        <f>HYPERLINK("../../3.KEGG_map/SCI_III-vs-NC-Down/rno00270.html","rno00270")</f>
        <v>rno00270</v>
      </c>
    </row>
    <row r="12" spans="1:13" x14ac:dyDescent="0.25">
      <c r="A12" t="s">
        <v>655</v>
      </c>
      <c r="B12" t="s">
        <v>656</v>
      </c>
      <c r="C12" t="s">
        <v>15</v>
      </c>
      <c r="D12" t="s">
        <v>29</v>
      </c>
      <c r="E12">
        <v>1</v>
      </c>
      <c r="F12">
        <v>235</v>
      </c>
      <c r="G12">
        <v>53</v>
      </c>
      <c r="H12">
        <v>7679</v>
      </c>
      <c r="I12">
        <v>0.80852231390736795</v>
      </c>
      <c r="J12">
        <v>0.99999999999839395</v>
      </c>
      <c r="K12">
        <v>0.61653954235246899</v>
      </c>
      <c r="L12" t="s">
        <v>1643</v>
      </c>
      <c r="M12" t="str">
        <f>HYPERLINK("../../3.KEGG_map/SCI_III-vs-NC-Down/rno00280.html","rno00280")</f>
        <v>rno00280</v>
      </c>
    </row>
    <row r="13" spans="1:13" x14ac:dyDescent="0.25">
      <c r="A13" t="s">
        <v>42</v>
      </c>
      <c r="B13" t="s">
        <v>43</v>
      </c>
      <c r="C13" t="s">
        <v>15</v>
      </c>
      <c r="D13" t="s">
        <v>29</v>
      </c>
      <c r="E13">
        <v>2</v>
      </c>
      <c r="F13">
        <v>235</v>
      </c>
      <c r="G13">
        <v>54</v>
      </c>
      <c r="H13">
        <v>7679</v>
      </c>
      <c r="I13">
        <v>0.49579551345054501</v>
      </c>
      <c r="J13">
        <v>0.99999999999839395</v>
      </c>
      <c r="K13">
        <v>1.21024428684003</v>
      </c>
      <c r="L13" t="s">
        <v>1644</v>
      </c>
      <c r="M13" t="str">
        <f>HYPERLINK("../../3.KEGG_map/SCI_III-vs-NC-Down/rno00310.html","rno00310")</f>
        <v>rno00310</v>
      </c>
    </row>
    <row r="14" spans="1:13" x14ac:dyDescent="0.25">
      <c r="A14" t="s">
        <v>1110</v>
      </c>
      <c r="B14" t="s">
        <v>1111</v>
      </c>
      <c r="C14" t="s">
        <v>15</v>
      </c>
      <c r="D14" t="s">
        <v>29</v>
      </c>
      <c r="E14">
        <v>4</v>
      </c>
      <c r="F14">
        <v>235</v>
      </c>
      <c r="G14">
        <v>48</v>
      </c>
      <c r="H14">
        <v>7679</v>
      </c>
      <c r="I14">
        <v>5.83180144558854E-2</v>
      </c>
      <c r="J14">
        <v>0.39156381134665902</v>
      </c>
      <c r="K14">
        <v>2.7230496453900699</v>
      </c>
      <c r="L14" t="s">
        <v>1645</v>
      </c>
      <c r="M14" t="str">
        <f>HYPERLINK("../../3.KEGG_map/SCI_III-vs-NC-Down/rno00330.html","rno00330")</f>
        <v>rno00330</v>
      </c>
    </row>
    <row r="15" spans="1:13" x14ac:dyDescent="0.25">
      <c r="A15" t="s">
        <v>1113</v>
      </c>
      <c r="B15" t="s">
        <v>1114</v>
      </c>
      <c r="C15" t="s">
        <v>15</v>
      </c>
      <c r="D15" t="s">
        <v>29</v>
      </c>
      <c r="E15">
        <v>1</v>
      </c>
      <c r="F15">
        <v>235</v>
      </c>
      <c r="G15">
        <v>23</v>
      </c>
      <c r="H15">
        <v>7679</v>
      </c>
      <c r="I15">
        <v>0.51125039696132002</v>
      </c>
      <c r="J15">
        <v>0.99999999999839395</v>
      </c>
      <c r="K15">
        <v>1.4207215541165601</v>
      </c>
      <c r="L15" t="s">
        <v>1646</v>
      </c>
      <c r="M15" t="str">
        <f>HYPERLINK("../../3.KEGG_map/SCI_III-vs-NC-Down/rno00340.html","rno00340")</f>
        <v>rno00340</v>
      </c>
    </row>
    <row r="16" spans="1:13" x14ac:dyDescent="0.25">
      <c r="A16" t="s">
        <v>1116</v>
      </c>
      <c r="B16" t="s">
        <v>1117</v>
      </c>
      <c r="C16" t="s">
        <v>15</v>
      </c>
      <c r="D16" t="s">
        <v>29</v>
      </c>
      <c r="E16">
        <v>4</v>
      </c>
      <c r="F16">
        <v>235</v>
      </c>
      <c r="G16">
        <v>38</v>
      </c>
      <c r="H16">
        <v>7679</v>
      </c>
      <c r="I16">
        <v>2.7952734449669801E-2</v>
      </c>
      <c r="J16">
        <v>0.31064013343134</v>
      </c>
      <c r="K16">
        <v>3.4396416573348301</v>
      </c>
      <c r="L16" t="s">
        <v>1647</v>
      </c>
      <c r="M16" t="str">
        <f>HYPERLINK("../../3.KEGG_map/SCI_III-vs-NC-Down/rno00350.html","rno00350")</f>
        <v>rno00350</v>
      </c>
    </row>
    <row r="17" spans="1:13" x14ac:dyDescent="0.25">
      <c r="A17" t="s">
        <v>1119</v>
      </c>
      <c r="B17" t="s">
        <v>1120</v>
      </c>
      <c r="C17" t="s">
        <v>15</v>
      </c>
      <c r="D17" t="s">
        <v>29</v>
      </c>
      <c r="E17">
        <v>2</v>
      </c>
      <c r="F17">
        <v>235</v>
      </c>
      <c r="G17">
        <v>20</v>
      </c>
      <c r="H17">
        <v>7679</v>
      </c>
      <c r="I17">
        <v>0.123646325830423</v>
      </c>
      <c r="J17">
        <v>0.64570859044776696</v>
      </c>
      <c r="K17">
        <v>3.2676595744680901</v>
      </c>
      <c r="L17" t="s">
        <v>1648</v>
      </c>
      <c r="M17" t="str">
        <f>HYPERLINK("../../3.KEGG_map/SCI_III-vs-NC-Down/rno00360.html","rno00360")</f>
        <v>rno00360</v>
      </c>
    </row>
    <row r="18" spans="1:13" x14ac:dyDescent="0.25">
      <c r="A18" t="s">
        <v>1122</v>
      </c>
      <c r="B18" t="s">
        <v>1123</v>
      </c>
      <c r="C18" t="s">
        <v>15</v>
      </c>
      <c r="D18" t="s">
        <v>29</v>
      </c>
      <c r="E18">
        <v>4</v>
      </c>
      <c r="F18">
        <v>235</v>
      </c>
      <c r="G18">
        <v>45</v>
      </c>
      <c r="H18">
        <v>7679</v>
      </c>
      <c r="I18">
        <v>4.7887041017650102E-2</v>
      </c>
      <c r="J18">
        <v>0.36498371701122401</v>
      </c>
      <c r="K18">
        <v>2.90458628841608</v>
      </c>
      <c r="L18" t="s">
        <v>1649</v>
      </c>
      <c r="M18" t="str">
        <f>HYPERLINK("../../3.KEGG_map/SCI_III-vs-NC-Down/rno00380.html","rno00380")</f>
        <v>rno00380</v>
      </c>
    </row>
    <row r="19" spans="1:13" x14ac:dyDescent="0.25">
      <c r="A19" t="s">
        <v>1650</v>
      </c>
      <c r="B19" t="s">
        <v>1651</v>
      </c>
      <c r="C19" t="s">
        <v>15</v>
      </c>
      <c r="D19" t="s">
        <v>47</v>
      </c>
      <c r="E19">
        <v>1</v>
      </c>
      <c r="F19">
        <v>235</v>
      </c>
      <c r="G19">
        <v>11</v>
      </c>
      <c r="H19">
        <v>7679</v>
      </c>
      <c r="I19">
        <v>0.28973506219317002</v>
      </c>
      <c r="J19">
        <v>0.90788447231888203</v>
      </c>
      <c r="K19">
        <v>2.9705996131528001</v>
      </c>
      <c r="L19" t="s">
        <v>1642</v>
      </c>
      <c r="M19" t="str">
        <f>HYPERLINK("../../3.KEGG_map/SCI_III-vs-NC-Down/rno00430.html","rno00430")</f>
        <v>rno00430</v>
      </c>
    </row>
    <row r="20" spans="1:13" x14ac:dyDescent="0.25">
      <c r="A20" t="s">
        <v>1418</v>
      </c>
      <c r="B20" t="s">
        <v>1419</v>
      </c>
      <c r="C20" t="s">
        <v>15</v>
      </c>
      <c r="D20" t="s">
        <v>47</v>
      </c>
      <c r="E20">
        <v>1</v>
      </c>
      <c r="F20">
        <v>235</v>
      </c>
      <c r="G20">
        <v>17</v>
      </c>
      <c r="H20">
        <v>7679</v>
      </c>
      <c r="I20">
        <v>0.41076888069549999</v>
      </c>
      <c r="J20">
        <v>0.97502504295347703</v>
      </c>
      <c r="K20">
        <v>1.92215269086358</v>
      </c>
      <c r="L20" t="s">
        <v>1420</v>
      </c>
      <c r="M20" t="str">
        <f>HYPERLINK("../../3.KEGG_map/SCI_III-vs-NC-Down/rno00450.html","rno00450")</f>
        <v>rno00450</v>
      </c>
    </row>
    <row r="21" spans="1:13" x14ac:dyDescent="0.25">
      <c r="A21" t="s">
        <v>45</v>
      </c>
      <c r="B21" t="s">
        <v>46</v>
      </c>
      <c r="C21" t="s">
        <v>15</v>
      </c>
      <c r="D21" t="s">
        <v>47</v>
      </c>
      <c r="E21">
        <v>2</v>
      </c>
      <c r="F21">
        <v>235</v>
      </c>
      <c r="G21">
        <v>58</v>
      </c>
      <c r="H21">
        <v>7679</v>
      </c>
      <c r="I21">
        <v>0.53416224077526797</v>
      </c>
      <c r="J21">
        <v>0.99999999999839395</v>
      </c>
      <c r="K21">
        <v>1.12677916360968</v>
      </c>
      <c r="L21" t="s">
        <v>1652</v>
      </c>
      <c r="M21" t="str">
        <f>HYPERLINK("../../3.KEGG_map/SCI_III-vs-NC-Down/rno00480.html","rno00480")</f>
        <v>rno00480</v>
      </c>
    </row>
    <row r="22" spans="1:13" x14ac:dyDescent="0.25">
      <c r="A22" t="s">
        <v>885</v>
      </c>
      <c r="B22" t="s">
        <v>886</v>
      </c>
      <c r="C22" t="s">
        <v>15</v>
      </c>
      <c r="D22" t="s">
        <v>51</v>
      </c>
      <c r="E22">
        <v>1</v>
      </c>
      <c r="F22">
        <v>235</v>
      </c>
      <c r="G22">
        <v>48</v>
      </c>
      <c r="H22">
        <v>7679</v>
      </c>
      <c r="I22">
        <v>0.77609746207170105</v>
      </c>
      <c r="J22">
        <v>0.99999999999839395</v>
      </c>
      <c r="K22">
        <v>0.68076241134751803</v>
      </c>
      <c r="L22" t="s">
        <v>1128</v>
      </c>
      <c r="M22" t="str">
        <f>HYPERLINK("../../3.KEGG_map/SCI_III-vs-NC-Down/rno00510.html","rno00510")</f>
        <v>rno00510</v>
      </c>
    </row>
    <row r="23" spans="1:13" x14ac:dyDescent="0.25">
      <c r="A23" t="s">
        <v>888</v>
      </c>
      <c r="B23" t="s">
        <v>889</v>
      </c>
      <c r="C23" t="s">
        <v>15</v>
      </c>
      <c r="D23" t="s">
        <v>51</v>
      </c>
      <c r="E23">
        <v>1</v>
      </c>
      <c r="F23">
        <v>235</v>
      </c>
      <c r="G23">
        <v>27</v>
      </c>
      <c r="H23">
        <v>7679</v>
      </c>
      <c r="I23">
        <v>0.568562725646518</v>
      </c>
      <c r="J23">
        <v>0.99999999999839395</v>
      </c>
      <c r="K23">
        <v>1.21024428684003</v>
      </c>
      <c r="L23" t="s">
        <v>1653</v>
      </c>
      <c r="M23" t="str">
        <f>HYPERLINK("../../3.KEGG_map/SCI_III-vs-NC-Down/rno00512.html","rno00512")</f>
        <v>rno00512</v>
      </c>
    </row>
    <row r="24" spans="1:13" x14ac:dyDescent="0.25">
      <c r="A24" t="s">
        <v>49</v>
      </c>
      <c r="B24" t="s">
        <v>50</v>
      </c>
      <c r="C24" t="s">
        <v>15</v>
      </c>
      <c r="D24" t="s">
        <v>51</v>
      </c>
      <c r="E24">
        <v>2</v>
      </c>
      <c r="F24">
        <v>235</v>
      </c>
      <c r="G24">
        <v>22</v>
      </c>
      <c r="H24">
        <v>7679</v>
      </c>
      <c r="I24">
        <v>0.14459091672414001</v>
      </c>
      <c r="J24">
        <v>0.67213681787817203</v>
      </c>
      <c r="K24">
        <v>2.9705996131528001</v>
      </c>
      <c r="L24" t="s">
        <v>1427</v>
      </c>
      <c r="M24" t="str">
        <f>HYPERLINK("../../3.KEGG_map/SCI_III-vs-NC-Down/rno00514.html","rno00514")</f>
        <v>rno00514</v>
      </c>
    </row>
    <row r="25" spans="1:13" x14ac:dyDescent="0.25">
      <c r="A25" t="s">
        <v>53</v>
      </c>
      <c r="B25" t="s">
        <v>54</v>
      </c>
      <c r="C25" t="s">
        <v>15</v>
      </c>
      <c r="D25" t="s">
        <v>16</v>
      </c>
      <c r="E25">
        <v>1</v>
      </c>
      <c r="F25">
        <v>235</v>
      </c>
      <c r="G25">
        <v>47</v>
      </c>
      <c r="H25">
        <v>7679</v>
      </c>
      <c r="I25">
        <v>0.76898415986632696</v>
      </c>
      <c r="J25">
        <v>0.99999999999839395</v>
      </c>
      <c r="K25">
        <v>0.69524671797193305</v>
      </c>
      <c r="L25" t="s">
        <v>1654</v>
      </c>
      <c r="M25" t="str">
        <f>HYPERLINK("../../3.KEGG_map/SCI_III-vs-NC-Down/rno00520.html","rno00520")</f>
        <v>rno00520</v>
      </c>
    </row>
    <row r="26" spans="1:13" x14ac:dyDescent="0.25">
      <c r="A26" t="s">
        <v>1655</v>
      </c>
      <c r="B26" t="s">
        <v>1656</v>
      </c>
      <c r="C26" t="s">
        <v>15</v>
      </c>
      <c r="D26" t="s">
        <v>51</v>
      </c>
      <c r="E26">
        <v>1</v>
      </c>
      <c r="F26">
        <v>235</v>
      </c>
      <c r="G26">
        <v>14</v>
      </c>
      <c r="H26">
        <v>7679</v>
      </c>
      <c r="I26">
        <v>0.35306434257909902</v>
      </c>
      <c r="J26">
        <v>0.95408139253877999</v>
      </c>
      <c r="K26">
        <v>2.3340425531914901</v>
      </c>
      <c r="L26" t="s">
        <v>1657</v>
      </c>
      <c r="M26" t="str">
        <f>HYPERLINK("../../3.KEGG_map/SCI_III-vs-NC-Down/rno00533.html","rno00533")</f>
        <v>rno00533</v>
      </c>
    </row>
    <row r="27" spans="1:13" x14ac:dyDescent="0.25">
      <c r="A27" t="s">
        <v>1134</v>
      </c>
      <c r="B27" t="s">
        <v>1135</v>
      </c>
      <c r="C27" t="s">
        <v>15</v>
      </c>
      <c r="D27" t="s">
        <v>51</v>
      </c>
      <c r="E27">
        <v>1</v>
      </c>
      <c r="F27">
        <v>235</v>
      </c>
      <c r="G27">
        <v>25</v>
      </c>
      <c r="H27">
        <v>7679</v>
      </c>
      <c r="I27">
        <v>0.54079602927868697</v>
      </c>
      <c r="J27">
        <v>0.99999999999839395</v>
      </c>
      <c r="K27">
        <v>1.3070638297872299</v>
      </c>
      <c r="L27" t="s">
        <v>1658</v>
      </c>
      <c r="M27" t="str">
        <f>HYPERLINK("../../3.KEGG_map/SCI_III-vs-NC-Down/rno00534.html","rno00534")</f>
        <v>rno00534</v>
      </c>
    </row>
    <row r="28" spans="1:13" x14ac:dyDescent="0.25">
      <c r="A28" t="s">
        <v>59</v>
      </c>
      <c r="B28" t="s">
        <v>60</v>
      </c>
      <c r="C28" t="s">
        <v>15</v>
      </c>
      <c r="D28" t="s">
        <v>25</v>
      </c>
      <c r="E28">
        <v>1</v>
      </c>
      <c r="F28">
        <v>235</v>
      </c>
      <c r="G28">
        <v>61</v>
      </c>
      <c r="H28">
        <v>7679</v>
      </c>
      <c r="I28">
        <v>0.850954575846257</v>
      </c>
      <c r="J28">
        <v>0.99999999999839395</v>
      </c>
      <c r="K28">
        <v>0.53568189745378403</v>
      </c>
      <c r="L28" t="s">
        <v>1659</v>
      </c>
      <c r="M28" t="str">
        <f>HYPERLINK("../../3.KEGG_map/SCI_III-vs-NC-Down/rno00561.html","rno00561")</f>
        <v>rno00561</v>
      </c>
    </row>
    <row r="29" spans="1:13" x14ac:dyDescent="0.25">
      <c r="A29" t="s">
        <v>62</v>
      </c>
      <c r="B29" t="s">
        <v>63</v>
      </c>
      <c r="C29" t="s">
        <v>15</v>
      </c>
      <c r="D29" t="s">
        <v>16</v>
      </c>
      <c r="E29">
        <v>1</v>
      </c>
      <c r="F29">
        <v>235</v>
      </c>
      <c r="G29">
        <v>73</v>
      </c>
      <c r="H29">
        <v>7679</v>
      </c>
      <c r="I29">
        <v>0.89769389206246497</v>
      </c>
      <c r="J29">
        <v>0.99999999999839395</v>
      </c>
      <c r="K29">
        <v>0.44762459924220299</v>
      </c>
      <c r="L29" t="s">
        <v>1660</v>
      </c>
      <c r="M29" t="str">
        <f>HYPERLINK("../../3.KEGG_map/SCI_III-vs-NC-Down/rno00562.html","rno00562")</f>
        <v>rno00562</v>
      </c>
    </row>
    <row r="30" spans="1:13" x14ac:dyDescent="0.25">
      <c r="A30" t="s">
        <v>68</v>
      </c>
      <c r="B30" t="s">
        <v>69</v>
      </c>
      <c r="C30" t="s">
        <v>15</v>
      </c>
      <c r="D30" t="s">
        <v>25</v>
      </c>
      <c r="E30">
        <v>2</v>
      </c>
      <c r="F30">
        <v>235</v>
      </c>
      <c r="G30">
        <v>96</v>
      </c>
      <c r="H30">
        <v>7679</v>
      </c>
      <c r="I30">
        <v>0.79791885573047705</v>
      </c>
      <c r="J30">
        <v>0.99999999999839395</v>
      </c>
      <c r="K30">
        <v>0.68076241134751803</v>
      </c>
      <c r="L30" t="s">
        <v>1143</v>
      </c>
      <c r="M30" t="str">
        <f>HYPERLINK("../../3.KEGG_map/SCI_III-vs-NC-Down/rno00564.html","rno00564")</f>
        <v>rno00564</v>
      </c>
    </row>
    <row r="31" spans="1:13" x14ac:dyDescent="0.25">
      <c r="A31" t="s">
        <v>71</v>
      </c>
      <c r="B31" t="s">
        <v>72</v>
      </c>
      <c r="C31" t="s">
        <v>15</v>
      </c>
      <c r="D31" t="s">
        <v>25</v>
      </c>
      <c r="E31">
        <v>4</v>
      </c>
      <c r="F31">
        <v>235</v>
      </c>
      <c r="G31">
        <v>45</v>
      </c>
      <c r="H31">
        <v>7679</v>
      </c>
      <c r="I31">
        <v>4.7887041017650102E-2</v>
      </c>
      <c r="J31">
        <v>0.36498371701122401</v>
      </c>
      <c r="K31">
        <v>2.90458628841608</v>
      </c>
      <c r="L31" t="s">
        <v>1661</v>
      </c>
      <c r="M31" t="str">
        <f>HYPERLINK("../../3.KEGG_map/SCI_III-vs-NC-Down/rno00565.html","rno00565")</f>
        <v>rno00565</v>
      </c>
    </row>
    <row r="32" spans="1:13" x14ac:dyDescent="0.25">
      <c r="A32" t="s">
        <v>74</v>
      </c>
      <c r="B32" t="s">
        <v>75</v>
      </c>
      <c r="C32" t="s">
        <v>15</v>
      </c>
      <c r="D32" t="s">
        <v>25</v>
      </c>
      <c r="E32">
        <v>3</v>
      </c>
      <c r="F32">
        <v>235</v>
      </c>
      <c r="G32">
        <v>77</v>
      </c>
      <c r="H32">
        <v>7679</v>
      </c>
      <c r="I32">
        <v>0.420754799437705</v>
      </c>
      <c r="J32">
        <v>0.97898393928574801</v>
      </c>
      <c r="K32">
        <v>1.2731141199226299</v>
      </c>
      <c r="L32" t="s">
        <v>1662</v>
      </c>
      <c r="M32" t="str">
        <f>HYPERLINK("../../3.KEGG_map/SCI_III-vs-NC-Down/rno00590.html","rno00590")</f>
        <v>rno00590</v>
      </c>
    </row>
    <row r="33" spans="1:13" x14ac:dyDescent="0.25">
      <c r="A33" t="s">
        <v>77</v>
      </c>
      <c r="B33" t="s">
        <v>78</v>
      </c>
      <c r="C33" t="s">
        <v>15</v>
      </c>
      <c r="D33" t="s">
        <v>25</v>
      </c>
      <c r="E33">
        <v>3</v>
      </c>
      <c r="F33">
        <v>235</v>
      </c>
      <c r="G33">
        <v>39</v>
      </c>
      <c r="H33">
        <v>7679</v>
      </c>
      <c r="I33">
        <v>0.115900549026038</v>
      </c>
      <c r="J33">
        <v>0.63340997723532499</v>
      </c>
      <c r="K33">
        <v>2.5135842880523702</v>
      </c>
      <c r="L33" t="s">
        <v>1663</v>
      </c>
      <c r="M33" t="str">
        <f>HYPERLINK("../../3.KEGG_map/SCI_III-vs-NC-Down/rno00591.html","rno00591")</f>
        <v>rno00591</v>
      </c>
    </row>
    <row r="34" spans="1:13" x14ac:dyDescent="0.25">
      <c r="A34" t="s">
        <v>79</v>
      </c>
      <c r="B34" t="s">
        <v>80</v>
      </c>
      <c r="C34" t="s">
        <v>15</v>
      </c>
      <c r="D34" t="s">
        <v>25</v>
      </c>
      <c r="E34">
        <v>2</v>
      </c>
      <c r="F34">
        <v>235</v>
      </c>
      <c r="G34">
        <v>23</v>
      </c>
      <c r="H34">
        <v>7679</v>
      </c>
      <c r="I34">
        <v>0.15532320692843599</v>
      </c>
      <c r="J34">
        <v>0.67425404261708499</v>
      </c>
      <c r="K34">
        <v>2.8414431082331202</v>
      </c>
      <c r="L34" t="s">
        <v>1143</v>
      </c>
      <c r="M34" t="str">
        <f>HYPERLINK("../../3.KEGG_map/SCI_III-vs-NC-Down/rno00592.html","rno00592")</f>
        <v>rno00592</v>
      </c>
    </row>
    <row r="35" spans="1:13" x14ac:dyDescent="0.25">
      <c r="A35" t="s">
        <v>82</v>
      </c>
      <c r="B35" t="s">
        <v>83</v>
      </c>
      <c r="C35" t="s">
        <v>15</v>
      </c>
      <c r="D35" t="s">
        <v>25</v>
      </c>
      <c r="E35">
        <v>3</v>
      </c>
      <c r="F35">
        <v>235</v>
      </c>
      <c r="G35">
        <v>49</v>
      </c>
      <c r="H35">
        <v>7679</v>
      </c>
      <c r="I35">
        <v>0.18861383189023101</v>
      </c>
      <c r="J35">
        <v>0.75125848295261599</v>
      </c>
      <c r="K35">
        <v>2.0006079027355601</v>
      </c>
      <c r="L35" t="s">
        <v>1664</v>
      </c>
      <c r="M35" t="str">
        <f>HYPERLINK("../../3.KEGG_map/SCI_III-vs-NC-Down/rno00600.html","rno00600")</f>
        <v>rno00600</v>
      </c>
    </row>
    <row r="36" spans="1:13" x14ac:dyDescent="0.25">
      <c r="A36" t="s">
        <v>85</v>
      </c>
      <c r="B36" t="s">
        <v>86</v>
      </c>
      <c r="C36" t="s">
        <v>15</v>
      </c>
      <c r="D36" t="s">
        <v>51</v>
      </c>
      <c r="E36">
        <v>1</v>
      </c>
      <c r="F36">
        <v>235</v>
      </c>
      <c r="G36">
        <v>29</v>
      </c>
      <c r="H36">
        <v>7679</v>
      </c>
      <c r="I36">
        <v>0.59465716522382595</v>
      </c>
      <c r="J36">
        <v>0.99999999999839395</v>
      </c>
      <c r="K36">
        <v>1.12677916360968</v>
      </c>
      <c r="L36" t="s">
        <v>1665</v>
      </c>
      <c r="M36" t="str">
        <f>HYPERLINK("../../3.KEGG_map/SCI_III-vs-NC-Down/rno00601.html","rno00601")</f>
        <v>rno00601</v>
      </c>
    </row>
    <row r="37" spans="1:13" x14ac:dyDescent="0.25">
      <c r="A37" t="s">
        <v>1146</v>
      </c>
      <c r="B37" t="s">
        <v>1147</v>
      </c>
      <c r="C37" t="s">
        <v>15</v>
      </c>
      <c r="D37" t="s">
        <v>51</v>
      </c>
      <c r="E37">
        <v>1</v>
      </c>
      <c r="F37">
        <v>235</v>
      </c>
      <c r="G37">
        <v>15</v>
      </c>
      <c r="H37">
        <v>7679</v>
      </c>
      <c r="I37">
        <v>0.37289863866440998</v>
      </c>
      <c r="J37">
        <v>0.95408139253877999</v>
      </c>
      <c r="K37">
        <v>2.1784397163120599</v>
      </c>
      <c r="L37" t="s">
        <v>1665</v>
      </c>
      <c r="M37" t="str">
        <f>HYPERLINK("../../3.KEGG_map/SCI_III-vs-NC-Down/rno00603.html","rno00603")</f>
        <v>rno00603</v>
      </c>
    </row>
    <row r="38" spans="1:13" x14ac:dyDescent="0.25">
      <c r="A38" t="s">
        <v>88</v>
      </c>
      <c r="B38" t="s">
        <v>89</v>
      </c>
      <c r="C38" t="s">
        <v>15</v>
      </c>
      <c r="D38" t="s">
        <v>51</v>
      </c>
      <c r="E38">
        <v>1</v>
      </c>
      <c r="F38">
        <v>235</v>
      </c>
      <c r="G38">
        <v>15</v>
      </c>
      <c r="H38">
        <v>7679</v>
      </c>
      <c r="I38">
        <v>0.37289863866440998</v>
      </c>
      <c r="J38">
        <v>0.95408139253877999</v>
      </c>
      <c r="K38">
        <v>2.1784397163120599</v>
      </c>
      <c r="L38" t="s">
        <v>1666</v>
      </c>
      <c r="M38" t="str">
        <f>HYPERLINK("../../3.KEGG_map/SCI_III-vs-NC-Down/rno00604.html","rno00604")</f>
        <v>rno00604</v>
      </c>
    </row>
    <row r="39" spans="1:13" x14ac:dyDescent="0.25">
      <c r="A39" t="s">
        <v>91</v>
      </c>
      <c r="B39" t="s">
        <v>92</v>
      </c>
      <c r="C39" t="s">
        <v>15</v>
      </c>
      <c r="D39" t="s">
        <v>16</v>
      </c>
      <c r="E39">
        <v>1</v>
      </c>
      <c r="F39">
        <v>235</v>
      </c>
      <c r="G39">
        <v>39</v>
      </c>
      <c r="H39">
        <v>7679</v>
      </c>
      <c r="I39">
        <v>0.70335388135535504</v>
      </c>
      <c r="J39">
        <v>0.99999999999839395</v>
      </c>
      <c r="K39">
        <v>0.837861429350791</v>
      </c>
      <c r="L39" t="s">
        <v>1667</v>
      </c>
      <c r="M39" t="str">
        <f>HYPERLINK("../../3.KEGG_map/SCI_III-vs-NC-Down/rno00620.html","rno00620")</f>
        <v>rno00620</v>
      </c>
    </row>
    <row r="40" spans="1:13" x14ac:dyDescent="0.25">
      <c r="A40" t="s">
        <v>675</v>
      </c>
      <c r="B40" t="s">
        <v>676</v>
      </c>
      <c r="C40" t="s">
        <v>15</v>
      </c>
      <c r="D40" t="s">
        <v>16</v>
      </c>
      <c r="E40">
        <v>2</v>
      </c>
      <c r="F40">
        <v>235</v>
      </c>
      <c r="G40">
        <v>31</v>
      </c>
      <c r="H40">
        <v>7679</v>
      </c>
      <c r="I40">
        <v>0.24498540037442801</v>
      </c>
      <c r="J40">
        <v>0.85506178655978504</v>
      </c>
      <c r="K40">
        <v>2.10816746739876</v>
      </c>
      <c r="L40" t="s">
        <v>1668</v>
      </c>
      <c r="M40" t="str">
        <f>HYPERLINK("../../3.KEGG_map/SCI_III-vs-NC-Down/rno00640.html","rno00640")</f>
        <v>rno00640</v>
      </c>
    </row>
    <row r="41" spans="1:13" x14ac:dyDescent="0.25">
      <c r="A41" t="s">
        <v>1669</v>
      </c>
      <c r="B41" t="s">
        <v>1670</v>
      </c>
      <c r="C41" t="s">
        <v>15</v>
      </c>
      <c r="D41" t="s">
        <v>96</v>
      </c>
      <c r="E41">
        <v>1</v>
      </c>
      <c r="F41">
        <v>235</v>
      </c>
      <c r="G41">
        <v>18</v>
      </c>
      <c r="H41">
        <v>7679</v>
      </c>
      <c r="I41">
        <v>0.42884109591823</v>
      </c>
      <c r="J41">
        <v>0.98801625039984398</v>
      </c>
      <c r="K41">
        <v>1.8153664302600501</v>
      </c>
      <c r="L41" t="s">
        <v>1671</v>
      </c>
      <c r="M41" t="str">
        <f>HYPERLINK("../../3.KEGG_map/SCI_III-vs-NC-Down/rno00670.html","rno00670")</f>
        <v>rno00670</v>
      </c>
    </row>
    <row r="42" spans="1:13" x14ac:dyDescent="0.25">
      <c r="A42" t="s">
        <v>1154</v>
      </c>
      <c r="B42" t="s">
        <v>1155</v>
      </c>
      <c r="C42" t="s">
        <v>15</v>
      </c>
      <c r="D42" t="s">
        <v>96</v>
      </c>
      <c r="E42">
        <v>1</v>
      </c>
      <c r="F42">
        <v>235</v>
      </c>
      <c r="G42">
        <v>15</v>
      </c>
      <c r="H42">
        <v>7679</v>
      </c>
      <c r="I42">
        <v>0.37289863866440998</v>
      </c>
      <c r="J42">
        <v>0.95408139253877999</v>
      </c>
      <c r="K42">
        <v>2.1784397163120599</v>
      </c>
      <c r="L42" t="s">
        <v>1156</v>
      </c>
      <c r="M42" t="str">
        <f>HYPERLINK("../../3.KEGG_map/SCI_III-vs-NC-Down/rno00730.html","rno00730")</f>
        <v>rno00730</v>
      </c>
    </row>
    <row r="43" spans="1:13" x14ac:dyDescent="0.25">
      <c r="A43" t="s">
        <v>1157</v>
      </c>
      <c r="B43" t="s">
        <v>1158</v>
      </c>
      <c r="C43" t="s">
        <v>15</v>
      </c>
      <c r="D43" t="s">
        <v>96</v>
      </c>
      <c r="E43">
        <v>2</v>
      </c>
      <c r="F43">
        <v>235</v>
      </c>
      <c r="G43">
        <v>10</v>
      </c>
      <c r="H43">
        <v>7679</v>
      </c>
      <c r="I43">
        <v>3.5690568521898697E-2</v>
      </c>
      <c r="J43">
        <v>0.31064013343134</v>
      </c>
      <c r="K43">
        <v>6.5353191489361704</v>
      </c>
      <c r="L43" t="s">
        <v>1672</v>
      </c>
      <c r="M43" t="str">
        <f>HYPERLINK("../../3.KEGG_map/SCI_III-vs-NC-Down/rno00750.html","rno00750")</f>
        <v>rno00750</v>
      </c>
    </row>
    <row r="44" spans="1:13" x14ac:dyDescent="0.25">
      <c r="A44" t="s">
        <v>677</v>
      </c>
      <c r="B44" t="s">
        <v>678</v>
      </c>
      <c r="C44" t="s">
        <v>15</v>
      </c>
      <c r="D44" t="s">
        <v>96</v>
      </c>
      <c r="E44">
        <v>2</v>
      </c>
      <c r="F44">
        <v>235</v>
      </c>
      <c r="G44">
        <v>32</v>
      </c>
      <c r="H44">
        <v>7679</v>
      </c>
      <c r="I44">
        <v>0.256434335486106</v>
      </c>
      <c r="J44">
        <v>0.86029590968428904</v>
      </c>
      <c r="K44">
        <v>2.0422872340425502</v>
      </c>
      <c r="L44" t="s">
        <v>1673</v>
      </c>
      <c r="M44" t="str">
        <f>HYPERLINK("../../3.KEGG_map/SCI_III-vs-NC-Down/rno00760.html","rno00760")</f>
        <v>rno00760</v>
      </c>
    </row>
    <row r="45" spans="1:13" x14ac:dyDescent="0.25">
      <c r="A45" t="s">
        <v>679</v>
      </c>
      <c r="B45" t="s">
        <v>680</v>
      </c>
      <c r="C45" t="s">
        <v>15</v>
      </c>
      <c r="D45" t="s">
        <v>96</v>
      </c>
      <c r="E45">
        <v>1</v>
      </c>
      <c r="F45">
        <v>235</v>
      </c>
      <c r="G45">
        <v>19</v>
      </c>
      <c r="H45">
        <v>7679</v>
      </c>
      <c r="I45">
        <v>0.44636130769988003</v>
      </c>
      <c r="J45">
        <v>0.998999117233064</v>
      </c>
      <c r="K45">
        <v>1.7198208286674099</v>
      </c>
      <c r="L45" t="s">
        <v>1674</v>
      </c>
      <c r="M45" t="str">
        <f>HYPERLINK("../../3.KEGG_map/SCI_III-vs-NC-Down/rno00770.html","rno00770")</f>
        <v>rno00770</v>
      </c>
    </row>
    <row r="46" spans="1:13" x14ac:dyDescent="0.25">
      <c r="A46" t="s">
        <v>1161</v>
      </c>
      <c r="B46" t="s">
        <v>1162</v>
      </c>
      <c r="C46" t="s">
        <v>15</v>
      </c>
      <c r="D46" t="s">
        <v>96</v>
      </c>
      <c r="E46">
        <v>1</v>
      </c>
      <c r="F46">
        <v>235</v>
      </c>
      <c r="G46">
        <v>26</v>
      </c>
      <c r="H46">
        <v>7679</v>
      </c>
      <c r="I46">
        <v>0.55489492307533095</v>
      </c>
      <c r="J46">
        <v>0.99999999999839395</v>
      </c>
      <c r="K46">
        <v>1.25679214402619</v>
      </c>
      <c r="L46" t="s">
        <v>1156</v>
      </c>
      <c r="M46" t="str">
        <f>HYPERLINK("../../3.KEGG_map/SCI_III-vs-NC-Down/rno00790.html","rno00790")</f>
        <v>rno00790</v>
      </c>
    </row>
    <row r="47" spans="1:13" x14ac:dyDescent="0.25">
      <c r="A47" t="s">
        <v>94</v>
      </c>
      <c r="B47" t="s">
        <v>95</v>
      </c>
      <c r="C47" t="s">
        <v>15</v>
      </c>
      <c r="D47" t="s">
        <v>96</v>
      </c>
      <c r="E47">
        <v>6</v>
      </c>
      <c r="F47">
        <v>235</v>
      </c>
      <c r="G47">
        <v>80</v>
      </c>
      <c r="H47">
        <v>7679</v>
      </c>
      <c r="I47">
        <v>3.5337609161121802E-2</v>
      </c>
      <c r="J47">
        <v>0.31064013343134</v>
      </c>
      <c r="K47">
        <v>2.4507446808510598</v>
      </c>
      <c r="L47" t="s">
        <v>1675</v>
      </c>
      <c r="M47" t="str">
        <f>HYPERLINK("../../3.KEGG_map/SCI_III-vs-NC-Down/rno00830.html","rno00830")</f>
        <v>rno00830</v>
      </c>
    </row>
    <row r="48" spans="1:13" x14ac:dyDescent="0.25">
      <c r="A48" t="s">
        <v>101</v>
      </c>
      <c r="B48" t="s">
        <v>102</v>
      </c>
      <c r="C48" t="s">
        <v>15</v>
      </c>
      <c r="D48" t="s">
        <v>103</v>
      </c>
      <c r="E48">
        <v>3</v>
      </c>
      <c r="F48">
        <v>235</v>
      </c>
      <c r="G48">
        <v>64</v>
      </c>
      <c r="H48">
        <v>7679</v>
      </c>
      <c r="I48">
        <v>0.31183407147978698</v>
      </c>
      <c r="J48">
        <v>0.95379603369580901</v>
      </c>
      <c r="K48">
        <v>1.5317154255319101</v>
      </c>
      <c r="L48" t="s">
        <v>1676</v>
      </c>
      <c r="M48" t="str">
        <f>HYPERLINK("../../3.KEGG_map/SCI_III-vs-NC-Down/rno00980.html","rno00980")</f>
        <v>rno00980</v>
      </c>
    </row>
    <row r="49" spans="1:13" x14ac:dyDescent="0.25">
      <c r="A49" t="s">
        <v>105</v>
      </c>
      <c r="B49" t="s">
        <v>106</v>
      </c>
      <c r="C49" t="s">
        <v>15</v>
      </c>
      <c r="D49" t="s">
        <v>103</v>
      </c>
      <c r="E49">
        <v>5</v>
      </c>
      <c r="F49">
        <v>235</v>
      </c>
      <c r="G49">
        <v>65</v>
      </c>
      <c r="H49">
        <v>7679</v>
      </c>
      <c r="I49">
        <v>4.8146788201480599E-2</v>
      </c>
      <c r="J49">
        <v>0.36498371701122401</v>
      </c>
      <c r="K49">
        <v>2.5135842880523702</v>
      </c>
      <c r="L49" t="s">
        <v>1677</v>
      </c>
      <c r="M49" t="str">
        <f>HYPERLINK("../../3.KEGG_map/SCI_III-vs-NC-Down/rno00982.html","rno00982")</f>
        <v>rno00982</v>
      </c>
    </row>
    <row r="50" spans="1:13" x14ac:dyDescent="0.25">
      <c r="A50" t="s">
        <v>107</v>
      </c>
      <c r="B50" t="s">
        <v>108</v>
      </c>
      <c r="C50" t="s">
        <v>15</v>
      </c>
      <c r="D50" t="s">
        <v>103</v>
      </c>
      <c r="E50">
        <v>3</v>
      </c>
      <c r="F50">
        <v>235</v>
      </c>
      <c r="G50">
        <v>83</v>
      </c>
      <c r="H50">
        <v>7679</v>
      </c>
      <c r="I50">
        <v>0.469265618366975</v>
      </c>
      <c r="J50">
        <v>0.99999999999839395</v>
      </c>
      <c r="K50">
        <v>1.1810817739041299</v>
      </c>
      <c r="L50" t="s">
        <v>1678</v>
      </c>
      <c r="M50" t="str">
        <f>HYPERLINK("../../3.KEGG_map/SCI_III-vs-NC-Down/rno00983.html","rno00983")</f>
        <v>rno00983</v>
      </c>
    </row>
    <row r="51" spans="1:13" x14ac:dyDescent="0.25">
      <c r="A51" t="s">
        <v>110</v>
      </c>
      <c r="B51" t="s">
        <v>111</v>
      </c>
      <c r="C51" t="s">
        <v>15</v>
      </c>
      <c r="D51" t="s">
        <v>25</v>
      </c>
      <c r="E51">
        <v>1</v>
      </c>
      <c r="F51">
        <v>235</v>
      </c>
      <c r="G51">
        <v>26</v>
      </c>
      <c r="H51">
        <v>7679</v>
      </c>
      <c r="I51">
        <v>0.55489492307533095</v>
      </c>
      <c r="J51">
        <v>0.99999999999839395</v>
      </c>
      <c r="K51">
        <v>1.25679214402619</v>
      </c>
      <c r="L51" t="s">
        <v>1170</v>
      </c>
      <c r="M51" t="str">
        <f>HYPERLINK("../../3.KEGG_map/SCI_III-vs-NC-Down/rno01040.html","rno01040")</f>
        <v>rno01040</v>
      </c>
    </row>
    <row r="52" spans="1:13" x14ac:dyDescent="0.25">
      <c r="A52" t="s">
        <v>683</v>
      </c>
      <c r="B52" t="s">
        <v>684</v>
      </c>
      <c r="C52" t="s">
        <v>115</v>
      </c>
      <c r="D52" t="s">
        <v>116</v>
      </c>
      <c r="E52">
        <v>3</v>
      </c>
      <c r="F52">
        <v>235</v>
      </c>
      <c r="G52">
        <v>93</v>
      </c>
      <c r="H52">
        <v>7679</v>
      </c>
      <c r="I52">
        <v>0.54573904829948805</v>
      </c>
      <c r="J52">
        <v>0.99999999999839395</v>
      </c>
      <c r="K52">
        <v>1.05408373369938</v>
      </c>
      <c r="L52" t="s">
        <v>1679</v>
      </c>
      <c r="M52" t="str">
        <f>HYPERLINK("../../3.KEGG_map/SCI_III-vs-NC-Down/rno01522.html","rno01522")</f>
        <v>rno01522</v>
      </c>
    </row>
    <row r="53" spans="1:13" x14ac:dyDescent="0.25">
      <c r="A53" t="s">
        <v>686</v>
      </c>
      <c r="B53" t="s">
        <v>687</v>
      </c>
      <c r="C53" t="s">
        <v>115</v>
      </c>
      <c r="D53" t="s">
        <v>116</v>
      </c>
      <c r="E53">
        <v>1</v>
      </c>
      <c r="F53">
        <v>235</v>
      </c>
      <c r="G53">
        <v>30</v>
      </c>
      <c r="H53">
        <v>7679</v>
      </c>
      <c r="I53">
        <v>0.607108873220219</v>
      </c>
      <c r="J53">
        <v>0.99999999999839395</v>
      </c>
      <c r="K53">
        <v>1.08921985815603</v>
      </c>
      <c r="L53" t="s">
        <v>1680</v>
      </c>
      <c r="M53" t="str">
        <f>HYPERLINK("../../3.KEGG_map/SCI_III-vs-NC-Down/rno01523.html","rno01523")</f>
        <v>rno01523</v>
      </c>
    </row>
    <row r="54" spans="1:13" x14ac:dyDescent="0.25">
      <c r="A54" t="s">
        <v>118</v>
      </c>
      <c r="B54" t="s">
        <v>119</v>
      </c>
      <c r="C54" t="s">
        <v>115</v>
      </c>
      <c r="D54" t="s">
        <v>116</v>
      </c>
      <c r="E54">
        <v>3</v>
      </c>
      <c r="F54">
        <v>235</v>
      </c>
      <c r="G54">
        <v>76</v>
      </c>
      <c r="H54">
        <v>7679</v>
      </c>
      <c r="I54">
        <v>0.41252043969080798</v>
      </c>
      <c r="J54">
        <v>0.97502504295347703</v>
      </c>
      <c r="K54">
        <v>1.2898656215005599</v>
      </c>
      <c r="L54" t="s">
        <v>1681</v>
      </c>
      <c r="M54" t="str">
        <f>HYPERLINK("../../3.KEGG_map/SCI_III-vs-NC-Down/rno01524.html","rno01524")</f>
        <v>rno01524</v>
      </c>
    </row>
    <row r="55" spans="1:13" x14ac:dyDescent="0.25">
      <c r="A55" t="s">
        <v>121</v>
      </c>
      <c r="B55" t="s">
        <v>122</v>
      </c>
      <c r="C55" t="s">
        <v>123</v>
      </c>
      <c r="D55" t="s">
        <v>124</v>
      </c>
      <c r="E55">
        <v>6</v>
      </c>
      <c r="F55">
        <v>235</v>
      </c>
      <c r="G55">
        <v>47</v>
      </c>
      <c r="H55">
        <v>7679</v>
      </c>
      <c r="I55">
        <v>2.8932864053727901E-3</v>
      </c>
      <c r="J55">
        <v>9.7131757894658097E-2</v>
      </c>
      <c r="K55">
        <v>4.1714803078316001</v>
      </c>
      <c r="L55" t="s">
        <v>1682</v>
      </c>
      <c r="M55" t="str">
        <f>HYPERLINK("../../3.KEGG_map/SCI_III-vs-NC-Down/rno02010.html","rno02010")</f>
        <v>rno02010</v>
      </c>
    </row>
    <row r="56" spans="1:13" x14ac:dyDescent="0.25">
      <c r="A56" t="s">
        <v>137</v>
      </c>
      <c r="B56" t="s">
        <v>138</v>
      </c>
      <c r="C56" t="s">
        <v>128</v>
      </c>
      <c r="D56" t="s">
        <v>139</v>
      </c>
      <c r="E56">
        <v>1</v>
      </c>
      <c r="F56">
        <v>235</v>
      </c>
      <c r="G56">
        <v>80</v>
      </c>
      <c r="H56">
        <v>7679</v>
      </c>
      <c r="I56">
        <v>0.91787905410271298</v>
      </c>
      <c r="J56">
        <v>0.99999999999839395</v>
      </c>
      <c r="K56">
        <v>0.40845744680851098</v>
      </c>
      <c r="L56" t="s">
        <v>1683</v>
      </c>
      <c r="M56" t="str">
        <f>HYPERLINK("../../3.KEGG_map/SCI_III-vs-NC-Down/rno03018.html","rno03018")</f>
        <v>rno03018</v>
      </c>
    </row>
    <row r="57" spans="1:13" x14ac:dyDescent="0.25">
      <c r="A57" t="s">
        <v>1684</v>
      </c>
      <c r="B57" t="s">
        <v>1685</v>
      </c>
      <c r="C57" t="s">
        <v>128</v>
      </c>
      <c r="D57" t="s">
        <v>155</v>
      </c>
      <c r="E57">
        <v>1</v>
      </c>
      <c r="F57">
        <v>235</v>
      </c>
      <c r="G57">
        <v>34</v>
      </c>
      <c r="H57">
        <v>7679</v>
      </c>
      <c r="I57">
        <v>0.65322075055312301</v>
      </c>
      <c r="J57">
        <v>0.99999999999839395</v>
      </c>
      <c r="K57">
        <v>0.96107634543178999</v>
      </c>
      <c r="L57" t="s">
        <v>1686</v>
      </c>
      <c r="M57" t="str">
        <f>HYPERLINK("../../3.KEGG_map/SCI_III-vs-NC-Down/rno03030.html","rno03030")</f>
        <v>rno03030</v>
      </c>
    </row>
    <row r="58" spans="1:13" x14ac:dyDescent="0.25">
      <c r="A58" t="s">
        <v>141</v>
      </c>
      <c r="B58" t="s">
        <v>142</v>
      </c>
      <c r="C58" t="s">
        <v>128</v>
      </c>
      <c r="D58" t="s">
        <v>143</v>
      </c>
      <c r="E58">
        <v>1</v>
      </c>
      <c r="F58">
        <v>235</v>
      </c>
      <c r="G58">
        <v>129</v>
      </c>
      <c r="H58">
        <v>7679</v>
      </c>
      <c r="I58">
        <v>0.98246889686681105</v>
      </c>
      <c r="J58">
        <v>0.99999999999839395</v>
      </c>
      <c r="K58">
        <v>0.25330694375721602</v>
      </c>
      <c r="L58" t="s">
        <v>1687</v>
      </c>
      <c r="M58" t="str">
        <f>HYPERLINK("../../3.KEGG_map/SCI_III-vs-NC-Down/rno03040.html","rno03040")</f>
        <v>rno03040</v>
      </c>
    </row>
    <row r="59" spans="1:13" x14ac:dyDescent="0.25">
      <c r="A59" t="s">
        <v>148</v>
      </c>
      <c r="B59" t="s">
        <v>149</v>
      </c>
      <c r="C59" t="s">
        <v>150</v>
      </c>
      <c r="D59" t="s">
        <v>151</v>
      </c>
      <c r="E59">
        <v>6</v>
      </c>
      <c r="F59">
        <v>235</v>
      </c>
      <c r="G59">
        <v>79</v>
      </c>
      <c r="H59">
        <v>7679</v>
      </c>
      <c r="I59">
        <v>3.3509901988221902E-2</v>
      </c>
      <c r="J59">
        <v>0.31064013343134</v>
      </c>
      <c r="K59">
        <v>2.4817667654187998</v>
      </c>
      <c r="L59" t="s">
        <v>1688</v>
      </c>
      <c r="M59" t="str">
        <f>HYPERLINK("../../3.KEGG_map/SCI_III-vs-NC-Down/rno03320.html","rno03320")</f>
        <v>rno03320</v>
      </c>
    </row>
    <row r="60" spans="1:13" x14ac:dyDescent="0.25">
      <c r="A60" t="s">
        <v>917</v>
      </c>
      <c r="B60" t="s">
        <v>918</v>
      </c>
      <c r="C60" t="s">
        <v>128</v>
      </c>
      <c r="D60" t="s">
        <v>155</v>
      </c>
      <c r="E60">
        <v>1</v>
      </c>
      <c r="F60">
        <v>235</v>
      </c>
      <c r="G60">
        <v>49</v>
      </c>
      <c r="H60">
        <v>7679</v>
      </c>
      <c r="I60">
        <v>0.78299263916685902</v>
      </c>
      <c r="J60">
        <v>0.99999999999839395</v>
      </c>
      <c r="K60">
        <v>0.66686930091185403</v>
      </c>
      <c r="L60" t="s">
        <v>1689</v>
      </c>
      <c r="M60" t="str">
        <f>HYPERLINK("../../3.KEGG_map/SCI_III-vs-NC-Down/rno03460.html","rno03460")</f>
        <v>rno03460</v>
      </c>
    </row>
    <row r="61" spans="1:13" x14ac:dyDescent="0.25">
      <c r="A61" t="s">
        <v>160</v>
      </c>
      <c r="B61" t="s">
        <v>161</v>
      </c>
      <c r="C61" t="s">
        <v>123</v>
      </c>
      <c r="D61" t="s">
        <v>162</v>
      </c>
      <c r="E61">
        <v>13</v>
      </c>
      <c r="F61">
        <v>235</v>
      </c>
      <c r="G61">
        <v>288</v>
      </c>
      <c r="H61">
        <v>7679</v>
      </c>
      <c r="I61">
        <v>0.10354275848888</v>
      </c>
      <c r="J61">
        <v>0.57934638678301897</v>
      </c>
      <c r="K61">
        <v>1.47498522458629</v>
      </c>
      <c r="L61" t="s">
        <v>1690</v>
      </c>
      <c r="M61" t="str">
        <f>HYPERLINK("../../3.KEGG_map/SCI_III-vs-NC-Down/rno04010.html","rno04010")</f>
        <v>rno04010</v>
      </c>
    </row>
    <row r="62" spans="1:13" x14ac:dyDescent="0.25">
      <c r="A62" t="s">
        <v>164</v>
      </c>
      <c r="B62" t="s">
        <v>165</v>
      </c>
      <c r="C62" t="s">
        <v>123</v>
      </c>
      <c r="D62" t="s">
        <v>162</v>
      </c>
      <c r="E62">
        <v>1</v>
      </c>
      <c r="F62">
        <v>235</v>
      </c>
      <c r="G62">
        <v>85</v>
      </c>
      <c r="H62">
        <v>7679</v>
      </c>
      <c r="I62">
        <v>0.92981854396286101</v>
      </c>
      <c r="J62">
        <v>0.99999999999839395</v>
      </c>
      <c r="K62">
        <v>0.384430538172716</v>
      </c>
      <c r="L62" t="s">
        <v>1691</v>
      </c>
      <c r="M62" t="str">
        <f>HYPERLINK("../../3.KEGG_map/SCI_III-vs-NC-Down/rno04012.html","rno04012")</f>
        <v>rno04012</v>
      </c>
    </row>
    <row r="63" spans="1:13" x14ac:dyDescent="0.25">
      <c r="A63" t="s">
        <v>167</v>
      </c>
      <c r="B63" t="s">
        <v>168</v>
      </c>
      <c r="C63" t="s">
        <v>123</v>
      </c>
      <c r="D63" t="s">
        <v>162</v>
      </c>
      <c r="E63">
        <v>10</v>
      </c>
      <c r="F63">
        <v>235</v>
      </c>
      <c r="G63">
        <v>227</v>
      </c>
      <c r="H63">
        <v>7679</v>
      </c>
      <c r="I63">
        <v>0.15780413763378601</v>
      </c>
      <c r="J63">
        <v>0.67425404261708499</v>
      </c>
      <c r="K63">
        <v>1.43949760989783</v>
      </c>
      <c r="L63" t="s">
        <v>1692</v>
      </c>
      <c r="M63" t="str">
        <f>HYPERLINK("../../3.KEGG_map/SCI_III-vs-NC-Down/rno04014.html","rno04014")</f>
        <v>rno04014</v>
      </c>
    </row>
    <row r="64" spans="1:13" x14ac:dyDescent="0.25">
      <c r="A64" t="s">
        <v>170</v>
      </c>
      <c r="B64" t="s">
        <v>171</v>
      </c>
      <c r="C64" t="s">
        <v>123</v>
      </c>
      <c r="D64" t="s">
        <v>162</v>
      </c>
      <c r="E64">
        <v>4</v>
      </c>
      <c r="F64">
        <v>235</v>
      </c>
      <c r="G64">
        <v>205</v>
      </c>
      <c r="H64">
        <v>7679</v>
      </c>
      <c r="I64">
        <v>0.87888019330297296</v>
      </c>
      <c r="J64">
        <v>0.99999999999839395</v>
      </c>
      <c r="K64">
        <v>0.63759211209133404</v>
      </c>
      <c r="L64" t="s">
        <v>1693</v>
      </c>
      <c r="M64" t="str">
        <f>HYPERLINK("../../3.KEGG_map/SCI_III-vs-NC-Down/rno04015.html","rno04015")</f>
        <v>rno04015</v>
      </c>
    </row>
    <row r="65" spans="1:13" x14ac:dyDescent="0.25">
      <c r="A65" t="s">
        <v>173</v>
      </c>
      <c r="B65" t="s">
        <v>174</v>
      </c>
      <c r="C65" t="s">
        <v>123</v>
      </c>
      <c r="D65" t="s">
        <v>162</v>
      </c>
      <c r="E65">
        <v>17</v>
      </c>
      <c r="F65">
        <v>235</v>
      </c>
      <c r="G65">
        <v>182</v>
      </c>
      <c r="H65">
        <v>7679</v>
      </c>
      <c r="I65" s="1">
        <v>3.87425363003489E-5</v>
      </c>
      <c r="J65">
        <v>4.5522480152909899E-3</v>
      </c>
      <c r="K65">
        <v>3.0522094926350198</v>
      </c>
      <c r="L65" t="s">
        <v>1694</v>
      </c>
      <c r="M65" t="str">
        <f>HYPERLINK("../../3.KEGG_map/SCI_III-vs-NC-Down/rno04020.html","rno04020")</f>
        <v>rno04020</v>
      </c>
    </row>
    <row r="66" spans="1:13" x14ac:dyDescent="0.25">
      <c r="A66" t="s">
        <v>176</v>
      </c>
      <c r="B66" t="s">
        <v>177</v>
      </c>
      <c r="C66" t="s">
        <v>123</v>
      </c>
      <c r="D66" t="s">
        <v>162</v>
      </c>
      <c r="E66">
        <v>10</v>
      </c>
      <c r="F66">
        <v>235</v>
      </c>
      <c r="G66">
        <v>164</v>
      </c>
      <c r="H66">
        <v>7679</v>
      </c>
      <c r="I66">
        <v>2.87635637758407E-2</v>
      </c>
      <c r="J66">
        <v>0.31064013343134</v>
      </c>
      <c r="K66">
        <v>1.99247535028542</v>
      </c>
      <c r="L66" t="s">
        <v>1695</v>
      </c>
      <c r="M66" t="str">
        <f>HYPERLINK("../../3.KEGG_map/SCI_III-vs-NC-Down/rno04022.html","rno04022")</f>
        <v>rno04022</v>
      </c>
    </row>
    <row r="67" spans="1:13" x14ac:dyDescent="0.25">
      <c r="A67" t="s">
        <v>179</v>
      </c>
      <c r="B67" t="s">
        <v>180</v>
      </c>
      <c r="C67" t="s">
        <v>123</v>
      </c>
      <c r="D67" t="s">
        <v>162</v>
      </c>
      <c r="E67">
        <v>10</v>
      </c>
      <c r="F67">
        <v>235</v>
      </c>
      <c r="G67">
        <v>194</v>
      </c>
      <c r="H67">
        <v>7679</v>
      </c>
      <c r="I67">
        <v>7.3893731383356601E-2</v>
      </c>
      <c r="J67">
        <v>0.44561456647303499</v>
      </c>
      <c r="K67">
        <v>1.6843606053959199</v>
      </c>
      <c r="L67" t="s">
        <v>1696</v>
      </c>
      <c r="M67" t="str">
        <f>HYPERLINK("../../3.KEGG_map/SCI_III-vs-NC-Down/rno04024.html","rno04024")</f>
        <v>rno04024</v>
      </c>
    </row>
    <row r="68" spans="1:13" x14ac:dyDescent="0.25">
      <c r="A68" t="s">
        <v>182</v>
      </c>
      <c r="B68" t="s">
        <v>183</v>
      </c>
      <c r="C68" t="s">
        <v>123</v>
      </c>
      <c r="D68" t="s">
        <v>184</v>
      </c>
      <c r="E68">
        <v>10</v>
      </c>
      <c r="F68">
        <v>235</v>
      </c>
      <c r="G68">
        <v>240</v>
      </c>
      <c r="H68">
        <v>7679</v>
      </c>
      <c r="I68">
        <v>0.20022205687386399</v>
      </c>
      <c r="J68">
        <v>0.769485797538904</v>
      </c>
      <c r="K68">
        <v>1.36152482269504</v>
      </c>
      <c r="L68" t="s">
        <v>1697</v>
      </c>
      <c r="M68" t="str">
        <f>HYPERLINK("../../3.KEGG_map/SCI_III-vs-NC-Down/rno04060.html","rno04060")</f>
        <v>rno04060</v>
      </c>
    </row>
    <row r="69" spans="1:13" x14ac:dyDescent="0.25">
      <c r="A69" t="s">
        <v>186</v>
      </c>
      <c r="B69" t="s">
        <v>187</v>
      </c>
      <c r="C69" t="s">
        <v>150</v>
      </c>
      <c r="D69" t="s">
        <v>188</v>
      </c>
      <c r="E69">
        <v>5</v>
      </c>
      <c r="F69">
        <v>235</v>
      </c>
      <c r="G69">
        <v>172</v>
      </c>
      <c r="H69">
        <v>7679</v>
      </c>
      <c r="I69">
        <v>0.61010542042155003</v>
      </c>
      <c r="J69">
        <v>0.99999999999839395</v>
      </c>
      <c r="K69">
        <v>0.94990103908956003</v>
      </c>
      <c r="L69" t="s">
        <v>1698</v>
      </c>
      <c r="M69" t="str">
        <f>HYPERLINK("../../3.KEGG_map/SCI_III-vs-NC-Down/rno04062.html","rno04062")</f>
        <v>rno04062</v>
      </c>
    </row>
    <row r="70" spans="1:13" x14ac:dyDescent="0.25">
      <c r="A70" t="s">
        <v>712</v>
      </c>
      <c r="B70" t="s">
        <v>713</v>
      </c>
      <c r="C70" t="s">
        <v>123</v>
      </c>
      <c r="D70" t="s">
        <v>162</v>
      </c>
      <c r="E70">
        <v>4</v>
      </c>
      <c r="F70">
        <v>235</v>
      </c>
      <c r="G70">
        <v>89</v>
      </c>
      <c r="H70">
        <v>7679</v>
      </c>
      <c r="I70">
        <v>0.28975036350602601</v>
      </c>
      <c r="J70">
        <v>0.90788447231888203</v>
      </c>
      <c r="K70">
        <v>1.46861104470476</v>
      </c>
      <c r="L70" t="s">
        <v>1699</v>
      </c>
      <c r="M70" t="str">
        <f>HYPERLINK("../../3.KEGG_map/SCI_III-vs-NC-Down/rno04064.html","rno04064")</f>
        <v>rno04064</v>
      </c>
    </row>
    <row r="71" spans="1:13" x14ac:dyDescent="0.25">
      <c r="A71" t="s">
        <v>190</v>
      </c>
      <c r="B71" t="s">
        <v>191</v>
      </c>
      <c r="C71" t="s">
        <v>123</v>
      </c>
      <c r="D71" t="s">
        <v>162</v>
      </c>
      <c r="E71">
        <v>1</v>
      </c>
      <c r="F71">
        <v>235</v>
      </c>
      <c r="G71">
        <v>99</v>
      </c>
      <c r="H71">
        <v>7679</v>
      </c>
      <c r="I71">
        <v>0.95482159172644299</v>
      </c>
      <c r="J71">
        <v>0.99999999999839395</v>
      </c>
      <c r="K71">
        <v>0.33006662368364498</v>
      </c>
      <c r="L71" t="s">
        <v>1683</v>
      </c>
      <c r="M71" t="str">
        <f>HYPERLINK("../../3.KEGG_map/SCI_III-vs-NC-Down/rno04066.html","rno04066")</f>
        <v>rno04066</v>
      </c>
    </row>
    <row r="72" spans="1:13" x14ac:dyDescent="0.25">
      <c r="A72" t="s">
        <v>192</v>
      </c>
      <c r="B72" t="s">
        <v>193</v>
      </c>
      <c r="C72" t="s">
        <v>123</v>
      </c>
      <c r="D72" t="s">
        <v>162</v>
      </c>
      <c r="E72">
        <v>2</v>
      </c>
      <c r="F72">
        <v>235</v>
      </c>
      <c r="G72">
        <v>130</v>
      </c>
      <c r="H72">
        <v>7679</v>
      </c>
      <c r="I72">
        <v>0.91207745428633302</v>
      </c>
      <c r="J72">
        <v>0.99999999999839395</v>
      </c>
      <c r="K72">
        <v>0.50271685761047502</v>
      </c>
      <c r="L72" t="s">
        <v>1700</v>
      </c>
      <c r="M72" t="str">
        <f>HYPERLINK("../../3.KEGG_map/SCI_III-vs-NC-Down/rno04068.html","rno04068")</f>
        <v>rno04068</v>
      </c>
    </row>
    <row r="73" spans="1:13" x14ac:dyDescent="0.25">
      <c r="A73" t="s">
        <v>195</v>
      </c>
      <c r="B73" t="s">
        <v>196</v>
      </c>
      <c r="C73" t="s">
        <v>123</v>
      </c>
      <c r="D73" t="s">
        <v>162</v>
      </c>
      <c r="E73">
        <v>1</v>
      </c>
      <c r="F73">
        <v>235</v>
      </c>
      <c r="G73">
        <v>97</v>
      </c>
      <c r="H73">
        <v>7679</v>
      </c>
      <c r="I73">
        <v>0.95188502786011897</v>
      </c>
      <c r="J73">
        <v>0.99999999999839395</v>
      </c>
      <c r="K73">
        <v>0.33687212107918402</v>
      </c>
      <c r="L73" t="s">
        <v>1660</v>
      </c>
      <c r="M73" t="str">
        <f>HYPERLINK("../../3.KEGG_map/SCI_III-vs-NC-Down/rno04070.html","rno04070")</f>
        <v>rno04070</v>
      </c>
    </row>
    <row r="74" spans="1:13" x14ac:dyDescent="0.25">
      <c r="A74" t="s">
        <v>198</v>
      </c>
      <c r="B74" t="s">
        <v>199</v>
      </c>
      <c r="C74" t="s">
        <v>123</v>
      </c>
      <c r="D74" t="s">
        <v>162</v>
      </c>
      <c r="E74">
        <v>1</v>
      </c>
      <c r="F74">
        <v>235</v>
      </c>
      <c r="G74">
        <v>119</v>
      </c>
      <c r="H74">
        <v>7679</v>
      </c>
      <c r="I74">
        <v>0.97595449433147297</v>
      </c>
      <c r="J74">
        <v>0.99999999999839395</v>
      </c>
      <c r="K74">
        <v>0.27459324155193998</v>
      </c>
      <c r="L74" t="s">
        <v>1701</v>
      </c>
      <c r="M74" t="str">
        <f>HYPERLINK("../../3.KEGG_map/SCI_III-vs-NC-Down/rno04071.html","rno04071")</f>
        <v>rno04071</v>
      </c>
    </row>
    <row r="75" spans="1:13" x14ac:dyDescent="0.25">
      <c r="A75" t="s">
        <v>201</v>
      </c>
      <c r="B75" t="s">
        <v>202</v>
      </c>
      <c r="C75" t="s">
        <v>123</v>
      </c>
      <c r="D75" t="s">
        <v>162</v>
      </c>
      <c r="E75">
        <v>4</v>
      </c>
      <c r="F75">
        <v>235</v>
      </c>
      <c r="G75">
        <v>146</v>
      </c>
      <c r="H75">
        <v>7679</v>
      </c>
      <c r="I75">
        <v>0.65855931522979705</v>
      </c>
      <c r="J75">
        <v>0.99999999999839395</v>
      </c>
      <c r="K75">
        <v>0.89524919848440698</v>
      </c>
      <c r="L75" t="s">
        <v>1702</v>
      </c>
      <c r="M75" t="str">
        <f>HYPERLINK("../../3.KEGG_map/SCI_III-vs-NC-Down/rno04072.html","rno04072")</f>
        <v>rno04072</v>
      </c>
    </row>
    <row r="76" spans="1:13" x14ac:dyDescent="0.25">
      <c r="A76" t="s">
        <v>1198</v>
      </c>
      <c r="B76" t="s">
        <v>1199</v>
      </c>
      <c r="C76" t="s">
        <v>123</v>
      </c>
      <c r="D76" t="s">
        <v>184</v>
      </c>
      <c r="E76">
        <v>30</v>
      </c>
      <c r="F76">
        <v>235</v>
      </c>
      <c r="G76">
        <v>313</v>
      </c>
      <c r="H76">
        <v>7679</v>
      </c>
      <c r="I76" s="1">
        <v>2.0113154527764801E-8</v>
      </c>
      <c r="J76" s="1">
        <v>4.7265913140247201E-6</v>
      </c>
      <c r="K76">
        <v>3.1319420841547099</v>
      </c>
      <c r="L76" t="s">
        <v>1703</v>
      </c>
      <c r="M76" t="str">
        <f>HYPERLINK("../../3.KEGG_map/SCI_III-vs-NC-Down/rno04080.html","rno04080")</f>
        <v>rno04080</v>
      </c>
    </row>
    <row r="77" spans="1:13" x14ac:dyDescent="0.25">
      <c r="A77" t="s">
        <v>204</v>
      </c>
      <c r="B77" t="s">
        <v>205</v>
      </c>
      <c r="C77" t="s">
        <v>206</v>
      </c>
      <c r="D77" t="s">
        <v>207</v>
      </c>
      <c r="E77">
        <v>4</v>
      </c>
      <c r="F77">
        <v>235</v>
      </c>
      <c r="G77">
        <v>123</v>
      </c>
      <c r="H77">
        <v>7679</v>
      </c>
      <c r="I77">
        <v>0.52284623055804302</v>
      </c>
      <c r="J77">
        <v>0.99999999999839395</v>
      </c>
      <c r="K77">
        <v>1.06265352015222</v>
      </c>
      <c r="L77" t="s">
        <v>1704</v>
      </c>
      <c r="M77" t="str">
        <f>HYPERLINK("../../3.KEGG_map/SCI_III-vs-NC-Down/rno04110.html","rno04110")</f>
        <v>rno04110</v>
      </c>
    </row>
    <row r="78" spans="1:13" x14ac:dyDescent="0.25">
      <c r="A78" t="s">
        <v>209</v>
      </c>
      <c r="B78" t="s">
        <v>210</v>
      </c>
      <c r="C78" t="s">
        <v>206</v>
      </c>
      <c r="D78" t="s">
        <v>207</v>
      </c>
      <c r="E78">
        <v>2</v>
      </c>
      <c r="F78">
        <v>235</v>
      </c>
      <c r="G78">
        <v>112</v>
      </c>
      <c r="H78">
        <v>7679</v>
      </c>
      <c r="I78">
        <v>0.86236667198793104</v>
      </c>
      <c r="J78">
        <v>0.99999999999839395</v>
      </c>
      <c r="K78">
        <v>0.58351063829787198</v>
      </c>
      <c r="L78" t="s">
        <v>1705</v>
      </c>
      <c r="M78" t="str">
        <f>HYPERLINK("../../3.KEGG_map/SCI_III-vs-NC-Down/rno04114.html","rno04114")</f>
        <v>rno04114</v>
      </c>
    </row>
    <row r="79" spans="1:13" x14ac:dyDescent="0.25">
      <c r="A79" t="s">
        <v>212</v>
      </c>
      <c r="B79" t="s">
        <v>213</v>
      </c>
      <c r="C79" t="s">
        <v>206</v>
      </c>
      <c r="D79" t="s">
        <v>207</v>
      </c>
      <c r="E79">
        <v>4</v>
      </c>
      <c r="F79">
        <v>235</v>
      </c>
      <c r="G79">
        <v>66</v>
      </c>
      <c r="H79">
        <v>7679</v>
      </c>
      <c r="I79">
        <v>0.14285590783053401</v>
      </c>
      <c r="J79">
        <v>0.67213681787817203</v>
      </c>
      <c r="K79">
        <v>1.98039974210187</v>
      </c>
      <c r="L79" t="s">
        <v>1706</v>
      </c>
      <c r="M79" t="str">
        <f>HYPERLINK("../../3.KEGG_map/SCI_III-vs-NC-Down/rno04115.html","rno04115")</f>
        <v>rno04115</v>
      </c>
    </row>
    <row r="80" spans="1:13" x14ac:dyDescent="0.25">
      <c r="A80" t="s">
        <v>224</v>
      </c>
      <c r="B80" t="s">
        <v>225</v>
      </c>
      <c r="C80" t="s">
        <v>206</v>
      </c>
      <c r="D80" t="s">
        <v>220</v>
      </c>
      <c r="E80">
        <v>1</v>
      </c>
      <c r="F80">
        <v>235</v>
      </c>
      <c r="G80">
        <v>125</v>
      </c>
      <c r="H80">
        <v>7679</v>
      </c>
      <c r="I80">
        <v>0.98010603922759598</v>
      </c>
      <c r="J80">
        <v>0.99999999999839395</v>
      </c>
      <c r="K80">
        <v>0.261412765957447</v>
      </c>
      <c r="L80" t="s">
        <v>1707</v>
      </c>
      <c r="M80" t="str">
        <f>HYPERLINK("../../3.KEGG_map/SCI_III-vs-NC-Down/rno04142.html","rno04142")</f>
        <v>rno04142</v>
      </c>
    </row>
    <row r="81" spans="1:13" x14ac:dyDescent="0.25">
      <c r="A81" t="s">
        <v>227</v>
      </c>
      <c r="B81" t="s">
        <v>228</v>
      </c>
      <c r="C81" t="s">
        <v>206</v>
      </c>
      <c r="D81" t="s">
        <v>220</v>
      </c>
      <c r="E81">
        <v>2</v>
      </c>
      <c r="F81">
        <v>235</v>
      </c>
      <c r="G81">
        <v>256</v>
      </c>
      <c r="H81">
        <v>7679</v>
      </c>
      <c r="I81">
        <v>0.99713929170720506</v>
      </c>
      <c r="J81">
        <v>0.99999999999839395</v>
      </c>
      <c r="K81">
        <v>0.255285904255319</v>
      </c>
      <c r="L81" t="s">
        <v>1708</v>
      </c>
      <c r="M81" t="str">
        <f>HYPERLINK("../../3.KEGG_map/SCI_III-vs-NC-Down/rno04144.html","rno04144")</f>
        <v>rno04144</v>
      </c>
    </row>
    <row r="82" spans="1:13" x14ac:dyDescent="0.25">
      <c r="A82" t="s">
        <v>230</v>
      </c>
      <c r="B82" t="s">
        <v>231</v>
      </c>
      <c r="C82" t="s">
        <v>206</v>
      </c>
      <c r="D82" t="s">
        <v>220</v>
      </c>
      <c r="E82">
        <v>7</v>
      </c>
      <c r="F82">
        <v>235</v>
      </c>
      <c r="G82">
        <v>169</v>
      </c>
      <c r="H82">
        <v>7679</v>
      </c>
      <c r="I82">
        <v>0.25991918973440198</v>
      </c>
      <c r="J82">
        <v>0.86029590968428904</v>
      </c>
      <c r="K82">
        <v>1.35346846279743</v>
      </c>
      <c r="L82" t="s">
        <v>1709</v>
      </c>
      <c r="M82" t="str">
        <f>HYPERLINK("../../3.KEGG_map/SCI_III-vs-NC-Down/rno04145.html","rno04145")</f>
        <v>rno04145</v>
      </c>
    </row>
    <row r="83" spans="1:13" x14ac:dyDescent="0.25">
      <c r="A83" t="s">
        <v>233</v>
      </c>
      <c r="B83" t="s">
        <v>234</v>
      </c>
      <c r="C83" t="s">
        <v>206</v>
      </c>
      <c r="D83" t="s">
        <v>220</v>
      </c>
      <c r="E83">
        <v>2</v>
      </c>
      <c r="F83">
        <v>235</v>
      </c>
      <c r="G83">
        <v>81</v>
      </c>
      <c r="H83">
        <v>7679</v>
      </c>
      <c r="I83">
        <v>0.71471103424891702</v>
      </c>
      <c r="J83">
        <v>0.99999999999839395</v>
      </c>
      <c r="K83">
        <v>0.80682952456002099</v>
      </c>
      <c r="L83" t="s">
        <v>1710</v>
      </c>
      <c r="M83" t="str">
        <f>HYPERLINK("../../3.KEGG_map/SCI_III-vs-NC-Down/rno04146.html","rno04146")</f>
        <v>rno04146</v>
      </c>
    </row>
    <row r="84" spans="1:13" x14ac:dyDescent="0.25">
      <c r="A84" t="s">
        <v>236</v>
      </c>
      <c r="B84" t="s">
        <v>237</v>
      </c>
      <c r="C84" t="s">
        <v>123</v>
      </c>
      <c r="D84" t="s">
        <v>162</v>
      </c>
      <c r="E84">
        <v>2</v>
      </c>
      <c r="F84">
        <v>235</v>
      </c>
      <c r="G84">
        <v>150</v>
      </c>
      <c r="H84">
        <v>7679</v>
      </c>
      <c r="I84">
        <v>0.94741539129746899</v>
      </c>
      <c r="J84">
        <v>0.99999999999839395</v>
      </c>
      <c r="K84">
        <v>0.435687943262411</v>
      </c>
      <c r="L84" t="s">
        <v>1711</v>
      </c>
      <c r="M84" t="str">
        <f>HYPERLINK("../../3.KEGG_map/SCI_III-vs-NC-Down/rno04150.html","rno04150")</f>
        <v>rno04150</v>
      </c>
    </row>
    <row r="85" spans="1:13" x14ac:dyDescent="0.25">
      <c r="A85" t="s">
        <v>239</v>
      </c>
      <c r="B85" t="s">
        <v>240</v>
      </c>
      <c r="C85" t="s">
        <v>123</v>
      </c>
      <c r="D85" t="s">
        <v>162</v>
      </c>
      <c r="E85">
        <v>12</v>
      </c>
      <c r="F85">
        <v>235</v>
      </c>
      <c r="G85">
        <v>335</v>
      </c>
      <c r="H85">
        <v>7679</v>
      </c>
      <c r="I85">
        <v>0.32875522863557699</v>
      </c>
      <c r="J85">
        <v>0.95379603369580901</v>
      </c>
      <c r="K85">
        <v>1.1705049221975199</v>
      </c>
      <c r="L85" t="s">
        <v>1712</v>
      </c>
      <c r="M85" t="str">
        <f>HYPERLINK("../../3.KEGG_map/SCI_III-vs-NC-Down/rno04151.html","rno04151")</f>
        <v>rno04151</v>
      </c>
    </row>
    <row r="86" spans="1:13" x14ac:dyDescent="0.25">
      <c r="A86" t="s">
        <v>242</v>
      </c>
      <c r="B86" t="s">
        <v>243</v>
      </c>
      <c r="C86" t="s">
        <v>123</v>
      </c>
      <c r="D86" t="s">
        <v>162</v>
      </c>
      <c r="E86">
        <v>3</v>
      </c>
      <c r="F86">
        <v>235</v>
      </c>
      <c r="G86">
        <v>123</v>
      </c>
      <c r="H86">
        <v>7679</v>
      </c>
      <c r="I86">
        <v>0.73208289867357101</v>
      </c>
      <c r="J86">
        <v>0.99999999999839395</v>
      </c>
      <c r="K86">
        <v>0.79699014011416702</v>
      </c>
      <c r="L86" t="s">
        <v>1713</v>
      </c>
      <c r="M86" t="str">
        <f>HYPERLINK("../../3.KEGG_map/SCI_III-vs-NC-Down/rno04152.html","rno04152")</f>
        <v>rno04152</v>
      </c>
    </row>
    <row r="87" spans="1:13" x14ac:dyDescent="0.25">
      <c r="A87" t="s">
        <v>245</v>
      </c>
      <c r="B87" t="s">
        <v>246</v>
      </c>
      <c r="C87" t="s">
        <v>206</v>
      </c>
      <c r="D87" t="s">
        <v>207</v>
      </c>
      <c r="E87">
        <v>2</v>
      </c>
      <c r="F87">
        <v>235</v>
      </c>
      <c r="G87">
        <v>134</v>
      </c>
      <c r="H87">
        <v>7679</v>
      </c>
      <c r="I87">
        <v>0.92056831297016894</v>
      </c>
      <c r="J87">
        <v>0.99999999999839395</v>
      </c>
      <c r="K87">
        <v>0.48771038424896801</v>
      </c>
      <c r="L87" t="s">
        <v>1714</v>
      </c>
      <c r="M87" t="str">
        <f>HYPERLINK("../../3.KEGG_map/SCI_III-vs-NC-Down/rno04210.html","rno04210")</f>
        <v>rno04210</v>
      </c>
    </row>
    <row r="88" spans="1:13" x14ac:dyDescent="0.25">
      <c r="A88" t="s">
        <v>248</v>
      </c>
      <c r="B88" t="s">
        <v>249</v>
      </c>
      <c r="C88" t="s">
        <v>150</v>
      </c>
      <c r="D88" t="s">
        <v>250</v>
      </c>
      <c r="E88">
        <v>1</v>
      </c>
      <c r="F88">
        <v>235</v>
      </c>
      <c r="G88">
        <v>89</v>
      </c>
      <c r="H88">
        <v>7679</v>
      </c>
      <c r="I88">
        <v>0.93811231270529005</v>
      </c>
      <c r="J88">
        <v>0.99999999999839395</v>
      </c>
      <c r="K88">
        <v>0.367152761176189</v>
      </c>
      <c r="L88" t="s">
        <v>1715</v>
      </c>
      <c r="M88" t="str">
        <f>HYPERLINK("../../3.KEGG_map/SCI_III-vs-NC-Down/rno04211.html","rno04211")</f>
        <v>rno04211</v>
      </c>
    </row>
    <row r="89" spans="1:13" x14ac:dyDescent="0.25">
      <c r="A89" t="s">
        <v>1489</v>
      </c>
      <c r="B89" t="s">
        <v>1490</v>
      </c>
      <c r="C89" t="s">
        <v>206</v>
      </c>
      <c r="D89" t="s">
        <v>207</v>
      </c>
      <c r="E89">
        <v>1</v>
      </c>
      <c r="F89">
        <v>235</v>
      </c>
      <c r="G89">
        <v>32</v>
      </c>
      <c r="H89">
        <v>7679</v>
      </c>
      <c r="I89">
        <v>0.63088111758913101</v>
      </c>
      <c r="J89">
        <v>0.99999999999839395</v>
      </c>
      <c r="K89">
        <v>1.02114361702128</v>
      </c>
      <c r="L89" t="s">
        <v>1491</v>
      </c>
      <c r="M89" t="str">
        <f>HYPERLINK("../../3.KEGG_map/SCI_III-vs-NC-Down/rno04215.html","rno04215")</f>
        <v>rno04215</v>
      </c>
    </row>
    <row r="90" spans="1:13" x14ac:dyDescent="0.25">
      <c r="A90" t="s">
        <v>734</v>
      </c>
      <c r="B90" t="s">
        <v>735</v>
      </c>
      <c r="C90" t="s">
        <v>206</v>
      </c>
      <c r="D90" t="s">
        <v>207</v>
      </c>
      <c r="E90">
        <v>1</v>
      </c>
      <c r="F90">
        <v>235</v>
      </c>
      <c r="G90">
        <v>39</v>
      </c>
      <c r="H90">
        <v>7679</v>
      </c>
      <c r="I90">
        <v>0.70335388135535504</v>
      </c>
      <c r="J90">
        <v>0.99999999999839395</v>
      </c>
      <c r="K90">
        <v>0.837861429350791</v>
      </c>
      <c r="L90" t="s">
        <v>1218</v>
      </c>
      <c r="M90" t="str">
        <f>HYPERLINK("../../3.KEGG_map/SCI_III-vs-NC-Down/rno04216.html","rno04216")</f>
        <v>rno04216</v>
      </c>
    </row>
    <row r="91" spans="1:13" x14ac:dyDescent="0.25">
      <c r="A91" t="s">
        <v>258</v>
      </c>
      <c r="B91" t="s">
        <v>259</v>
      </c>
      <c r="C91" t="s">
        <v>206</v>
      </c>
      <c r="D91" t="s">
        <v>207</v>
      </c>
      <c r="E91">
        <v>4</v>
      </c>
      <c r="F91">
        <v>235</v>
      </c>
      <c r="G91">
        <v>173</v>
      </c>
      <c r="H91">
        <v>7679</v>
      </c>
      <c r="I91">
        <v>0.78151920222010396</v>
      </c>
      <c r="J91">
        <v>0.99999999999839395</v>
      </c>
      <c r="K91">
        <v>0.75552822531053998</v>
      </c>
      <c r="L91" t="s">
        <v>1716</v>
      </c>
      <c r="M91" t="str">
        <f>HYPERLINK("../../3.KEGG_map/SCI_III-vs-NC-Down/rno04218.html","rno04218")</f>
        <v>rno04218</v>
      </c>
    </row>
    <row r="92" spans="1:13" x14ac:dyDescent="0.25">
      <c r="A92" t="s">
        <v>261</v>
      </c>
      <c r="B92" t="s">
        <v>262</v>
      </c>
      <c r="C92" t="s">
        <v>150</v>
      </c>
      <c r="D92" t="s">
        <v>263</v>
      </c>
      <c r="E92">
        <v>3</v>
      </c>
      <c r="F92">
        <v>235</v>
      </c>
      <c r="G92">
        <v>75</v>
      </c>
      <c r="H92">
        <v>7679</v>
      </c>
      <c r="I92">
        <v>0.40425042000213102</v>
      </c>
      <c r="J92">
        <v>0.97502504295347703</v>
      </c>
      <c r="K92">
        <v>1.3070638297872299</v>
      </c>
      <c r="L92" t="s">
        <v>1717</v>
      </c>
      <c r="M92" t="str">
        <f>HYPERLINK("../../3.KEGG_map/SCI_III-vs-NC-Down/rno04260.html","rno04260")</f>
        <v>rno04260</v>
      </c>
    </row>
    <row r="93" spans="1:13" x14ac:dyDescent="0.25">
      <c r="A93" t="s">
        <v>265</v>
      </c>
      <c r="B93" t="s">
        <v>266</v>
      </c>
      <c r="C93" t="s">
        <v>150</v>
      </c>
      <c r="D93" t="s">
        <v>263</v>
      </c>
      <c r="E93">
        <v>9</v>
      </c>
      <c r="F93">
        <v>235</v>
      </c>
      <c r="G93">
        <v>143</v>
      </c>
      <c r="H93">
        <v>7679</v>
      </c>
      <c r="I93">
        <v>3.1093103611959799E-2</v>
      </c>
      <c r="J93">
        <v>0.31064013343134</v>
      </c>
      <c r="K93">
        <v>2.0565689629519399</v>
      </c>
      <c r="L93" t="s">
        <v>1718</v>
      </c>
      <c r="M93" t="str">
        <f>HYPERLINK("../../3.KEGG_map/SCI_III-vs-NC-Down/rno04261.html","rno04261")</f>
        <v>rno04261</v>
      </c>
    </row>
    <row r="94" spans="1:13" x14ac:dyDescent="0.25">
      <c r="A94" t="s">
        <v>268</v>
      </c>
      <c r="B94" t="s">
        <v>269</v>
      </c>
      <c r="C94" t="s">
        <v>150</v>
      </c>
      <c r="D94" t="s">
        <v>263</v>
      </c>
      <c r="E94">
        <v>7</v>
      </c>
      <c r="F94">
        <v>235</v>
      </c>
      <c r="G94">
        <v>130</v>
      </c>
      <c r="H94">
        <v>7679</v>
      </c>
      <c r="I94">
        <v>0.103386268418471</v>
      </c>
      <c r="J94">
        <v>0.57934638678301897</v>
      </c>
      <c r="K94">
        <v>1.7595090016366599</v>
      </c>
      <c r="L94" t="s">
        <v>1719</v>
      </c>
      <c r="M94" t="str">
        <f>HYPERLINK("../../3.KEGG_map/SCI_III-vs-NC-Down/rno04270.html","rno04270")</f>
        <v>rno04270</v>
      </c>
    </row>
    <row r="95" spans="1:13" x14ac:dyDescent="0.25">
      <c r="A95" t="s">
        <v>271</v>
      </c>
      <c r="B95" t="s">
        <v>272</v>
      </c>
      <c r="C95" t="s">
        <v>123</v>
      </c>
      <c r="D95" t="s">
        <v>162</v>
      </c>
      <c r="E95">
        <v>5</v>
      </c>
      <c r="F95">
        <v>235</v>
      </c>
      <c r="G95">
        <v>143</v>
      </c>
      <c r="H95">
        <v>7679</v>
      </c>
      <c r="I95">
        <v>0.446001840563228</v>
      </c>
      <c r="J95">
        <v>0.998999117233064</v>
      </c>
      <c r="K95">
        <v>1.14253831275108</v>
      </c>
      <c r="L95" t="s">
        <v>1720</v>
      </c>
      <c r="M95" t="str">
        <f>HYPERLINK("../../3.KEGG_map/SCI_III-vs-NC-Down/rno04310.html","rno04310")</f>
        <v>rno04310</v>
      </c>
    </row>
    <row r="96" spans="1:13" x14ac:dyDescent="0.25">
      <c r="A96" t="s">
        <v>277</v>
      </c>
      <c r="B96" t="s">
        <v>278</v>
      </c>
      <c r="C96" t="s">
        <v>123</v>
      </c>
      <c r="D96" t="s">
        <v>162</v>
      </c>
      <c r="E96">
        <v>3</v>
      </c>
      <c r="F96">
        <v>235</v>
      </c>
      <c r="G96">
        <v>43</v>
      </c>
      <c r="H96">
        <v>7679</v>
      </c>
      <c r="I96">
        <v>0.14358961077707699</v>
      </c>
      <c r="J96">
        <v>0.67213681787817203</v>
      </c>
      <c r="K96">
        <v>2.2797624938149399</v>
      </c>
      <c r="L96" t="s">
        <v>1721</v>
      </c>
      <c r="M96" t="str">
        <f>HYPERLINK("../../3.KEGG_map/SCI_III-vs-NC-Down/rno04340.html","rno04340")</f>
        <v>rno04340</v>
      </c>
    </row>
    <row r="97" spans="1:13" x14ac:dyDescent="0.25">
      <c r="A97" t="s">
        <v>280</v>
      </c>
      <c r="B97" t="s">
        <v>281</v>
      </c>
      <c r="C97" t="s">
        <v>123</v>
      </c>
      <c r="D97" t="s">
        <v>162</v>
      </c>
      <c r="E97">
        <v>2</v>
      </c>
      <c r="F97">
        <v>235</v>
      </c>
      <c r="G97">
        <v>84</v>
      </c>
      <c r="H97">
        <v>7679</v>
      </c>
      <c r="I97">
        <v>0.73336274079840102</v>
      </c>
      <c r="J97">
        <v>0.99999999999839395</v>
      </c>
      <c r="K97">
        <v>0.77801418439716297</v>
      </c>
      <c r="L97" t="s">
        <v>1722</v>
      </c>
      <c r="M97" t="str">
        <f>HYPERLINK("../../3.KEGG_map/SCI_III-vs-NC-Down/rno04350.html","rno04350")</f>
        <v>rno04350</v>
      </c>
    </row>
    <row r="98" spans="1:13" x14ac:dyDescent="0.25">
      <c r="A98" t="s">
        <v>283</v>
      </c>
      <c r="B98" t="s">
        <v>284</v>
      </c>
      <c r="C98" t="s">
        <v>150</v>
      </c>
      <c r="D98" t="s">
        <v>285</v>
      </c>
      <c r="E98">
        <v>11</v>
      </c>
      <c r="F98">
        <v>235</v>
      </c>
      <c r="G98">
        <v>175</v>
      </c>
      <c r="H98">
        <v>7679</v>
      </c>
      <c r="I98">
        <v>1.8322198344928001E-2</v>
      </c>
      <c r="J98">
        <v>0.31064013343134</v>
      </c>
      <c r="K98">
        <v>2.0539574468085098</v>
      </c>
      <c r="L98" t="s">
        <v>1723</v>
      </c>
      <c r="M98" t="str">
        <f>HYPERLINK("../../3.KEGG_map/SCI_III-vs-NC-Down/rno04360.html","rno04360")</f>
        <v>rno04360</v>
      </c>
    </row>
    <row r="99" spans="1:13" x14ac:dyDescent="0.25">
      <c r="A99" t="s">
        <v>747</v>
      </c>
      <c r="B99" t="s">
        <v>748</v>
      </c>
      <c r="C99" t="s">
        <v>123</v>
      </c>
      <c r="D99" t="s">
        <v>162</v>
      </c>
      <c r="E99">
        <v>1</v>
      </c>
      <c r="F99">
        <v>235</v>
      </c>
      <c r="G99">
        <v>57</v>
      </c>
      <c r="H99">
        <v>7679</v>
      </c>
      <c r="I99">
        <v>0.83105983723600396</v>
      </c>
      <c r="J99">
        <v>0.99999999999839395</v>
      </c>
      <c r="K99">
        <v>0.57327360955580398</v>
      </c>
      <c r="L99" t="s">
        <v>1229</v>
      </c>
      <c r="M99" t="str">
        <f>HYPERLINK("../../3.KEGG_map/SCI_III-vs-NC-Down/rno04370.html","rno04370")</f>
        <v>rno04370</v>
      </c>
    </row>
    <row r="100" spans="1:13" x14ac:dyDescent="0.25">
      <c r="A100" t="s">
        <v>287</v>
      </c>
      <c r="B100" t="s">
        <v>288</v>
      </c>
      <c r="C100" t="s">
        <v>123</v>
      </c>
      <c r="D100" t="s">
        <v>162</v>
      </c>
      <c r="E100">
        <v>5</v>
      </c>
      <c r="F100">
        <v>235</v>
      </c>
      <c r="G100">
        <v>134</v>
      </c>
      <c r="H100">
        <v>7679</v>
      </c>
      <c r="I100">
        <v>0.39125772184387902</v>
      </c>
      <c r="J100">
        <v>0.97502504295347703</v>
      </c>
      <c r="K100">
        <v>1.2192759606224199</v>
      </c>
      <c r="L100" t="s">
        <v>1724</v>
      </c>
      <c r="M100" t="str">
        <f>HYPERLINK("../../3.KEGG_map/SCI_III-vs-NC-Down/rno04371.html","rno04371")</f>
        <v>rno04371</v>
      </c>
    </row>
    <row r="101" spans="1:13" x14ac:dyDescent="0.25">
      <c r="A101" t="s">
        <v>290</v>
      </c>
      <c r="B101" t="s">
        <v>291</v>
      </c>
      <c r="C101" t="s">
        <v>150</v>
      </c>
      <c r="D101" t="s">
        <v>285</v>
      </c>
      <c r="E101">
        <v>5</v>
      </c>
      <c r="F101">
        <v>235</v>
      </c>
      <c r="G101">
        <v>122</v>
      </c>
      <c r="H101">
        <v>7679</v>
      </c>
      <c r="I101">
        <v>0.31797075254333002</v>
      </c>
      <c r="J101">
        <v>0.95379603369580901</v>
      </c>
      <c r="K101">
        <v>1.3392047436344601</v>
      </c>
      <c r="L101" t="s">
        <v>1725</v>
      </c>
      <c r="M101" t="str">
        <f>HYPERLINK("../../3.KEGG_map/SCI_III-vs-NC-Down/rno04380.html","rno04380")</f>
        <v>rno04380</v>
      </c>
    </row>
    <row r="102" spans="1:13" x14ac:dyDescent="0.25">
      <c r="A102" t="s">
        <v>293</v>
      </c>
      <c r="B102" t="s">
        <v>294</v>
      </c>
      <c r="C102" t="s">
        <v>123</v>
      </c>
      <c r="D102" t="s">
        <v>162</v>
      </c>
      <c r="E102">
        <v>4</v>
      </c>
      <c r="F102">
        <v>235</v>
      </c>
      <c r="G102">
        <v>152</v>
      </c>
      <c r="H102">
        <v>7679</v>
      </c>
      <c r="I102">
        <v>0.68937777471968598</v>
      </c>
      <c r="J102">
        <v>0.99999999999839395</v>
      </c>
      <c r="K102">
        <v>0.85991041433370696</v>
      </c>
      <c r="L102" t="s">
        <v>1726</v>
      </c>
      <c r="M102" t="str">
        <f>HYPERLINK("../../3.KEGG_map/SCI_III-vs-NC-Down/rno04390.html","rno04390")</f>
        <v>rno04390</v>
      </c>
    </row>
    <row r="103" spans="1:13" x14ac:dyDescent="0.25">
      <c r="A103" t="s">
        <v>296</v>
      </c>
      <c r="B103" t="s">
        <v>297</v>
      </c>
      <c r="C103" t="s">
        <v>123</v>
      </c>
      <c r="D103" t="s">
        <v>162</v>
      </c>
      <c r="E103">
        <v>1</v>
      </c>
      <c r="F103">
        <v>235</v>
      </c>
      <c r="G103">
        <v>28</v>
      </c>
      <c r="H103">
        <v>7679</v>
      </c>
      <c r="I103">
        <v>0.58181256352851896</v>
      </c>
      <c r="J103">
        <v>0.99999999999839395</v>
      </c>
      <c r="K103">
        <v>1.16702127659574</v>
      </c>
      <c r="L103" t="s">
        <v>1727</v>
      </c>
      <c r="M103" t="str">
        <f>HYPERLINK("../../3.KEGG_map/SCI_III-vs-NC-Down/rno04392.html","rno04392")</f>
        <v>rno04392</v>
      </c>
    </row>
    <row r="104" spans="1:13" x14ac:dyDescent="0.25">
      <c r="A104" t="s">
        <v>299</v>
      </c>
      <c r="B104" t="s">
        <v>300</v>
      </c>
      <c r="C104" t="s">
        <v>206</v>
      </c>
      <c r="D104" t="s">
        <v>301</v>
      </c>
      <c r="E104">
        <v>5</v>
      </c>
      <c r="F104">
        <v>235</v>
      </c>
      <c r="G104">
        <v>196</v>
      </c>
      <c r="H104">
        <v>7679</v>
      </c>
      <c r="I104">
        <v>0.72230045314031799</v>
      </c>
      <c r="J104">
        <v>0.99999999999839395</v>
      </c>
      <c r="K104">
        <v>0.83358662613981804</v>
      </c>
      <c r="L104" t="s">
        <v>1728</v>
      </c>
      <c r="M104" t="str">
        <f>HYPERLINK("../../3.KEGG_map/SCI_III-vs-NC-Down/rno04510.html","rno04510")</f>
        <v>rno04510</v>
      </c>
    </row>
    <row r="105" spans="1:13" x14ac:dyDescent="0.25">
      <c r="A105" t="s">
        <v>303</v>
      </c>
      <c r="B105" t="s">
        <v>304</v>
      </c>
      <c r="C105" t="s">
        <v>123</v>
      </c>
      <c r="D105" t="s">
        <v>184</v>
      </c>
      <c r="E105">
        <v>3</v>
      </c>
      <c r="F105">
        <v>235</v>
      </c>
      <c r="G105">
        <v>82</v>
      </c>
      <c r="H105">
        <v>7679</v>
      </c>
      <c r="I105">
        <v>0.461299172686082</v>
      </c>
      <c r="J105">
        <v>0.99999999999839395</v>
      </c>
      <c r="K105">
        <v>1.1954852101712501</v>
      </c>
      <c r="L105" t="s">
        <v>1729</v>
      </c>
      <c r="M105" t="str">
        <f>HYPERLINK("../../3.KEGG_map/SCI_III-vs-NC-Down/rno04512.html","rno04512")</f>
        <v>rno04512</v>
      </c>
    </row>
    <row r="106" spans="1:13" x14ac:dyDescent="0.25">
      <c r="A106" t="s">
        <v>306</v>
      </c>
      <c r="B106" t="s">
        <v>307</v>
      </c>
      <c r="C106" t="s">
        <v>123</v>
      </c>
      <c r="D106" t="s">
        <v>184</v>
      </c>
      <c r="E106">
        <v>10</v>
      </c>
      <c r="F106">
        <v>235</v>
      </c>
      <c r="G106">
        <v>155</v>
      </c>
      <c r="H106">
        <v>7679</v>
      </c>
      <c r="I106">
        <v>2.0366738915725002E-2</v>
      </c>
      <c r="J106">
        <v>0.31064013343134</v>
      </c>
      <c r="K106">
        <v>2.10816746739876</v>
      </c>
      <c r="L106" t="s">
        <v>1730</v>
      </c>
      <c r="M106" t="str">
        <f>HYPERLINK("../../3.KEGG_map/SCI_III-vs-NC-Down/rno04514.html","rno04514")</f>
        <v>rno04514</v>
      </c>
    </row>
    <row r="107" spans="1:13" x14ac:dyDescent="0.25">
      <c r="A107" t="s">
        <v>309</v>
      </c>
      <c r="B107" t="s">
        <v>310</v>
      </c>
      <c r="C107" t="s">
        <v>206</v>
      </c>
      <c r="D107" t="s">
        <v>301</v>
      </c>
      <c r="E107">
        <v>1</v>
      </c>
      <c r="F107">
        <v>235</v>
      </c>
      <c r="G107">
        <v>71</v>
      </c>
      <c r="H107">
        <v>7679</v>
      </c>
      <c r="I107">
        <v>0.89106788829977202</v>
      </c>
      <c r="J107">
        <v>0.99999999999839395</v>
      </c>
      <c r="K107">
        <v>0.46023374288282898</v>
      </c>
      <c r="L107" t="s">
        <v>1731</v>
      </c>
      <c r="M107" t="str">
        <f>HYPERLINK("../../3.KEGG_map/SCI_III-vs-NC-Down/rno04520.html","rno04520")</f>
        <v>rno04520</v>
      </c>
    </row>
    <row r="108" spans="1:13" x14ac:dyDescent="0.25">
      <c r="A108" t="s">
        <v>312</v>
      </c>
      <c r="B108" t="s">
        <v>313</v>
      </c>
      <c r="C108" t="s">
        <v>206</v>
      </c>
      <c r="D108" t="s">
        <v>301</v>
      </c>
      <c r="E108">
        <v>3</v>
      </c>
      <c r="F108">
        <v>235</v>
      </c>
      <c r="G108">
        <v>165</v>
      </c>
      <c r="H108">
        <v>7679</v>
      </c>
      <c r="I108">
        <v>0.88594790228599396</v>
      </c>
      <c r="J108">
        <v>0.99999999999839395</v>
      </c>
      <c r="K108">
        <v>0.59411992263056101</v>
      </c>
      <c r="L108" t="s">
        <v>1732</v>
      </c>
      <c r="M108" t="str">
        <f>HYPERLINK("../../3.KEGG_map/SCI_III-vs-NC-Down/rno04530.html","rno04530")</f>
        <v>rno04530</v>
      </c>
    </row>
    <row r="109" spans="1:13" x14ac:dyDescent="0.25">
      <c r="A109" t="s">
        <v>315</v>
      </c>
      <c r="B109" t="s">
        <v>316</v>
      </c>
      <c r="C109" t="s">
        <v>206</v>
      </c>
      <c r="D109" t="s">
        <v>301</v>
      </c>
      <c r="E109">
        <v>2</v>
      </c>
      <c r="F109">
        <v>235</v>
      </c>
      <c r="G109">
        <v>86</v>
      </c>
      <c r="H109">
        <v>7679</v>
      </c>
      <c r="I109">
        <v>0.74521562266422503</v>
      </c>
      <c r="J109">
        <v>0.99999999999839395</v>
      </c>
      <c r="K109">
        <v>0.759920831271648</v>
      </c>
      <c r="L109" t="s">
        <v>1733</v>
      </c>
      <c r="M109" t="str">
        <f>HYPERLINK("../../3.KEGG_map/SCI_III-vs-NC-Down/rno04540.html","rno04540")</f>
        <v>rno04540</v>
      </c>
    </row>
    <row r="110" spans="1:13" x14ac:dyDescent="0.25">
      <c r="A110" t="s">
        <v>318</v>
      </c>
      <c r="B110" t="s">
        <v>319</v>
      </c>
      <c r="C110" t="s">
        <v>206</v>
      </c>
      <c r="D110" t="s">
        <v>301</v>
      </c>
      <c r="E110">
        <v>2</v>
      </c>
      <c r="F110">
        <v>235</v>
      </c>
      <c r="G110">
        <v>135</v>
      </c>
      <c r="H110">
        <v>7679</v>
      </c>
      <c r="I110">
        <v>0.92256762298689099</v>
      </c>
      <c r="J110">
        <v>0.99999999999839395</v>
      </c>
      <c r="K110">
        <v>0.48409771473601299</v>
      </c>
      <c r="L110" t="s">
        <v>1734</v>
      </c>
      <c r="M110" t="str">
        <f>HYPERLINK("../../3.KEGG_map/SCI_III-vs-NC-Down/rno04550.html","rno04550")</f>
        <v>rno04550</v>
      </c>
    </row>
    <row r="111" spans="1:13" x14ac:dyDescent="0.25">
      <c r="A111" t="s">
        <v>759</v>
      </c>
      <c r="B111" t="s">
        <v>760</v>
      </c>
      <c r="C111" t="s">
        <v>150</v>
      </c>
      <c r="D111" t="s">
        <v>188</v>
      </c>
      <c r="E111">
        <v>4</v>
      </c>
      <c r="F111">
        <v>235</v>
      </c>
      <c r="G111">
        <v>80</v>
      </c>
      <c r="H111">
        <v>7679</v>
      </c>
      <c r="I111">
        <v>0.22891574464959499</v>
      </c>
      <c r="J111">
        <v>0.83859212896888202</v>
      </c>
      <c r="K111">
        <v>1.6338297872340399</v>
      </c>
      <c r="L111" t="s">
        <v>1735</v>
      </c>
      <c r="M111" t="str">
        <f>HYPERLINK("../../3.KEGG_map/SCI_III-vs-NC-Down/rno04610.html","rno04610")</f>
        <v>rno04610</v>
      </c>
    </row>
    <row r="112" spans="1:13" x14ac:dyDescent="0.25">
      <c r="A112" t="s">
        <v>321</v>
      </c>
      <c r="B112" t="s">
        <v>322</v>
      </c>
      <c r="C112" t="s">
        <v>150</v>
      </c>
      <c r="D112" t="s">
        <v>188</v>
      </c>
      <c r="E112">
        <v>2</v>
      </c>
      <c r="F112">
        <v>235</v>
      </c>
      <c r="G112">
        <v>124</v>
      </c>
      <c r="H112">
        <v>7679</v>
      </c>
      <c r="I112">
        <v>0.89774070042492304</v>
      </c>
      <c r="J112">
        <v>0.99999999999839395</v>
      </c>
      <c r="K112">
        <v>0.52704186684969101</v>
      </c>
      <c r="L112" t="s">
        <v>1736</v>
      </c>
      <c r="M112" t="str">
        <f>HYPERLINK("../../3.KEGG_map/SCI_III-vs-NC-Down/rno04611.html","rno04611")</f>
        <v>rno04611</v>
      </c>
    </row>
    <row r="113" spans="1:13" x14ac:dyDescent="0.25">
      <c r="A113" t="s">
        <v>1244</v>
      </c>
      <c r="B113" t="s">
        <v>1245</v>
      </c>
      <c r="C113" t="s">
        <v>150</v>
      </c>
      <c r="D113" t="s">
        <v>151</v>
      </c>
      <c r="E113">
        <v>4</v>
      </c>
      <c r="F113">
        <v>235</v>
      </c>
      <c r="G113">
        <v>35</v>
      </c>
      <c r="H113">
        <v>7679</v>
      </c>
      <c r="I113">
        <v>2.1280908921250601E-2</v>
      </c>
      <c r="J113">
        <v>0.31064013343134</v>
      </c>
      <c r="K113">
        <v>3.7344680851063798</v>
      </c>
      <c r="L113" t="s">
        <v>1737</v>
      </c>
      <c r="M113" t="str">
        <f>HYPERLINK("../../3.KEGG_map/SCI_III-vs-NC-Down/rno04614.html","rno04614")</f>
        <v>rno04614</v>
      </c>
    </row>
    <row r="114" spans="1:13" x14ac:dyDescent="0.25">
      <c r="A114" t="s">
        <v>764</v>
      </c>
      <c r="B114" t="s">
        <v>765</v>
      </c>
      <c r="C114" t="s">
        <v>150</v>
      </c>
      <c r="D114" t="s">
        <v>188</v>
      </c>
      <c r="E114">
        <v>1</v>
      </c>
      <c r="F114">
        <v>235</v>
      </c>
      <c r="G114">
        <v>91</v>
      </c>
      <c r="H114">
        <v>7679</v>
      </c>
      <c r="I114">
        <v>0.94188553720884105</v>
      </c>
      <c r="J114">
        <v>0.99999999999839395</v>
      </c>
      <c r="K114">
        <v>0.35908346972176802</v>
      </c>
      <c r="L114" t="s">
        <v>1738</v>
      </c>
      <c r="M114" t="str">
        <f>HYPERLINK("../../3.KEGG_map/SCI_III-vs-NC-Down/rno04620.html","rno04620")</f>
        <v>rno04620</v>
      </c>
    </row>
    <row r="115" spans="1:13" x14ac:dyDescent="0.25">
      <c r="A115" t="s">
        <v>327</v>
      </c>
      <c r="B115" t="s">
        <v>328</v>
      </c>
      <c r="C115" t="s">
        <v>150</v>
      </c>
      <c r="D115" t="s">
        <v>188</v>
      </c>
      <c r="E115">
        <v>2</v>
      </c>
      <c r="F115">
        <v>235</v>
      </c>
      <c r="G115">
        <v>154</v>
      </c>
      <c r="H115">
        <v>7679</v>
      </c>
      <c r="I115">
        <v>0.95263576432513497</v>
      </c>
      <c r="J115">
        <v>0.99999999999839395</v>
      </c>
      <c r="K115">
        <v>0.42437137330754399</v>
      </c>
      <c r="L115" t="s">
        <v>1739</v>
      </c>
      <c r="M115" t="str">
        <f>HYPERLINK("../../3.KEGG_map/SCI_III-vs-NC-Down/rno04621.html","rno04621")</f>
        <v>rno04621</v>
      </c>
    </row>
    <row r="116" spans="1:13" x14ac:dyDescent="0.25">
      <c r="A116" t="s">
        <v>330</v>
      </c>
      <c r="B116" t="s">
        <v>331</v>
      </c>
      <c r="C116" t="s">
        <v>150</v>
      </c>
      <c r="D116" t="s">
        <v>188</v>
      </c>
      <c r="E116">
        <v>5</v>
      </c>
      <c r="F116">
        <v>235</v>
      </c>
      <c r="G116">
        <v>108</v>
      </c>
      <c r="H116">
        <v>7679</v>
      </c>
      <c r="I116">
        <v>0.23538741987542899</v>
      </c>
      <c r="J116">
        <v>0.83859212896888202</v>
      </c>
      <c r="K116">
        <v>1.5128053585500401</v>
      </c>
      <c r="L116" t="s">
        <v>1740</v>
      </c>
      <c r="M116" t="str">
        <f>HYPERLINK("../../3.KEGG_map/SCI_III-vs-NC-Down/rno04625.html","rno04625")</f>
        <v>rno04625</v>
      </c>
    </row>
    <row r="117" spans="1:13" x14ac:dyDescent="0.25">
      <c r="A117" t="s">
        <v>333</v>
      </c>
      <c r="B117" t="s">
        <v>334</v>
      </c>
      <c r="C117" t="s">
        <v>123</v>
      </c>
      <c r="D117" t="s">
        <v>162</v>
      </c>
      <c r="E117">
        <v>7</v>
      </c>
      <c r="F117">
        <v>235</v>
      </c>
      <c r="G117">
        <v>151</v>
      </c>
      <c r="H117">
        <v>7679</v>
      </c>
      <c r="I117">
        <v>0.179999264931339</v>
      </c>
      <c r="J117">
        <v>0.75125848295261599</v>
      </c>
      <c r="K117">
        <v>1.5148090742567299</v>
      </c>
      <c r="L117" t="s">
        <v>1741</v>
      </c>
      <c r="M117" t="str">
        <f>HYPERLINK("../../3.KEGG_map/SCI_III-vs-NC-Down/rno04630.html","rno04630")</f>
        <v>rno04630</v>
      </c>
    </row>
    <row r="118" spans="1:13" x14ac:dyDescent="0.25">
      <c r="A118" t="s">
        <v>335</v>
      </c>
      <c r="B118" t="s">
        <v>336</v>
      </c>
      <c r="C118" t="s">
        <v>150</v>
      </c>
      <c r="D118" t="s">
        <v>188</v>
      </c>
      <c r="E118">
        <v>2</v>
      </c>
      <c r="F118">
        <v>235</v>
      </c>
      <c r="G118">
        <v>87</v>
      </c>
      <c r="H118">
        <v>7679</v>
      </c>
      <c r="I118">
        <v>0.75097161957812197</v>
      </c>
      <c r="J118">
        <v>0.99999999999839395</v>
      </c>
      <c r="K118">
        <v>0.751186109073123</v>
      </c>
      <c r="L118" t="s">
        <v>1742</v>
      </c>
      <c r="M118" t="str">
        <f>HYPERLINK("../../3.KEGG_map/SCI_III-vs-NC-Down/rno04640.html","rno04640")</f>
        <v>rno04640</v>
      </c>
    </row>
    <row r="119" spans="1:13" x14ac:dyDescent="0.25">
      <c r="A119" t="s">
        <v>772</v>
      </c>
      <c r="B119" t="s">
        <v>773</v>
      </c>
      <c r="C119" t="s">
        <v>150</v>
      </c>
      <c r="D119" t="s">
        <v>188</v>
      </c>
      <c r="E119">
        <v>2</v>
      </c>
      <c r="F119">
        <v>235</v>
      </c>
      <c r="G119">
        <v>125</v>
      </c>
      <c r="H119">
        <v>7679</v>
      </c>
      <c r="I119">
        <v>0.90027200948860997</v>
      </c>
      <c r="J119">
        <v>0.99999999999839395</v>
      </c>
      <c r="K119">
        <v>0.522825531914894</v>
      </c>
      <c r="L119" t="s">
        <v>1743</v>
      </c>
      <c r="M119" t="str">
        <f>HYPERLINK("../../3.KEGG_map/SCI_III-vs-NC-Down/rno04650.html","rno04650")</f>
        <v>rno04650</v>
      </c>
    </row>
    <row r="120" spans="1:13" x14ac:dyDescent="0.25">
      <c r="A120" t="s">
        <v>775</v>
      </c>
      <c r="B120" t="s">
        <v>776</v>
      </c>
      <c r="C120" t="s">
        <v>150</v>
      </c>
      <c r="D120" t="s">
        <v>188</v>
      </c>
      <c r="E120">
        <v>2</v>
      </c>
      <c r="F120">
        <v>235</v>
      </c>
      <c r="G120">
        <v>91</v>
      </c>
      <c r="H120">
        <v>7679</v>
      </c>
      <c r="I120">
        <v>0.77289209326147401</v>
      </c>
      <c r="J120">
        <v>0.99999999999839395</v>
      </c>
      <c r="K120">
        <v>0.71816693944353505</v>
      </c>
      <c r="L120" t="s">
        <v>1744</v>
      </c>
      <c r="M120" t="str">
        <f>HYPERLINK("../../3.KEGG_map/SCI_III-vs-NC-Down/rno04657.html","rno04657")</f>
        <v>rno04657</v>
      </c>
    </row>
    <row r="121" spans="1:13" x14ac:dyDescent="0.25">
      <c r="A121" t="s">
        <v>338</v>
      </c>
      <c r="B121" t="s">
        <v>339</v>
      </c>
      <c r="C121" t="s">
        <v>150</v>
      </c>
      <c r="D121" t="s">
        <v>188</v>
      </c>
      <c r="E121">
        <v>2</v>
      </c>
      <c r="F121">
        <v>235</v>
      </c>
      <c r="G121">
        <v>88</v>
      </c>
      <c r="H121">
        <v>7679</v>
      </c>
      <c r="I121">
        <v>0.75661583988985603</v>
      </c>
      <c r="J121">
        <v>0.99999999999839395</v>
      </c>
      <c r="K121">
        <v>0.74264990328820102</v>
      </c>
      <c r="L121" t="s">
        <v>1745</v>
      </c>
      <c r="M121" t="str">
        <f>HYPERLINK("../../3.KEGG_map/SCI_III-vs-NC-Down/rno04658.html","rno04658")</f>
        <v>rno04658</v>
      </c>
    </row>
    <row r="122" spans="1:13" x14ac:dyDescent="0.25">
      <c r="A122" t="s">
        <v>341</v>
      </c>
      <c r="B122" t="s">
        <v>342</v>
      </c>
      <c r="C122" t="s">
        <v>150</v>
      </c>
      <c r="D122" t="s">
        <v>188</v>
      </c>
      <c r="E122">
        <v>3</v>
      </c>
      <c r="F122">
        <v>235</v>
      </c>
      <c r="G122">
        <v>102</v>
      </c>
      <c r="H122">
        <v>7679</v>
      </c>
      <c r="I122">
        <v>0.60881036710496195</v>
      </c>
      <c r="J122">
        <v>0.99999999999839395</v>
      </c>
      <c r="K122">
        <v>0.96107634543178999</v>
      </c>
      <c r="L122" t="s">
        <v>1746</v>
      </c>
      <c r="M122" t="str">
        <f>HYPERLINK("../../3.KEGG_map/SCI_III-vs-NC-Down/rno04659.html","rno04659")</f>
        <v>rno04659</v>
      </c>
    </row>
    <row r="123" spans="1:13" x14ac:dyDescent="0.25">
      <c r="A123" t="s">
        <v>344</v>
      </c>
      <c r="B123" t="s">
        <v>345</v>
      </c>
      <c r="C123" t="s">
        <v>150</v>
      </c>
      <c r="D123" t="s">
        <v>188</v>
      </c>
      <c r="E123">
        <v>4</v>
      </c>
      <c r="F123">
        <v>235</v>
      </c>
      <c r="G123">
        <v>101</v>
      </c>
      <c r="H123">
        <v>7679</v>
      </c>
      <c r="I123">
        <v>0.37351271537688402</v>
      </c>
      <c r="J123">
        <v>0.95408139253877999</v>
      </c>
      <c r="K123">
        <v>1.29412260374974</v>
      </c>
      <c r="L123" t="s">
        <v>1747</v>
      </c>
      <c r="M123" t="str">
        <f>HYPERLINK("../../3.KEGG_map/SCI_III-vs-NC-Down/rno04660.html","rno04660")</f>
        <v>rno04660</v>
      </c>
    </row>
    <row r="124" spans="1:13" x14ac:dyDescent="0.25">
      <c r="A124" t="s">
        <v>346</v>
      </c>
      <c r="B124" t="s">
        <v>347</v>
      </c>
      <c r="C124" t="s">
        <v>150</v>
      </c>
      <c r="D124" t="s">
        <v>188</v>
      </c>
      <c r="E124">
        <v>2</v>
      </c>
      <c r="F124">
        <v>235</v>
      </c>
      <c r="G124">
        <v>70</v>
      </c>
      <c r="H124">
        <v>7679</v>
      </c>
      <c r="I124">
        <v>0.63687908991074305</v>
      </c>
      <c r="J124">
        <v>0.99999999999839395</v>
      </c>
      <c r="K124">
        <v>0.93361702127659596</v>
      </c>
      <c r="L124" t="s">
        <v>1745</v>
      </c>
      <c r="M124" t="str">
        <f>HYPERLINK("../../3.KEGG_map/SCI_III-vs-NC-Down/rno04662.html","rno04662")</f>
        <v>rno04662</v>
      </c>
    </row>
    <row r="125" spans="1:13" x14ac:dyDescent="0.25">
      <c r="A125" t="s">
        <v>348</v>
      </c>
      <c r="B125" t="s">
        <v>349</v>
      </c>
      <c r="C125" t="s">
        <v>150</v>
      </c>
      <c r="D125" t="s">
        <v>188</v>
      </c>
      <c r="E125">
        <v>2</v>
      </c>
      <c r="F125">
        <v>235</v>
      </c>
      <c r="G125">
        <v>85</v>
      </c>
      <c r="H125">
        <v>7679</v>
      </c>
      <c r="I125">
        <v>0.73934645369902396</v>
      </c>
      <c r="J125">
        <v>0.99999999999839395</v>
      </c>
      <c r="K125">
        <v>0.76886107634543199</v>
      </c>
      <c r="L125" t="s">
        <v>1748</v>
      </c>
      <c r="M125" t="str">
        <f>HYPERLINK("../../3.KEGG_map/SCI_III-vs-NC-Down/rno04666.html","rno04666")</f>
        <v>rno04666</v>
      </c>
    </row>
    <row r="126" spans="1:13" x14ac:dyDescent="0.25">
      <c r="A126" t="s">
        <v>350</v>
      </c>
      <c r="B126" t="s">
        <v>351</v>
      </c>
      <c r="C126" t="s">
        <v>123</v>
      </c>
      <c r="D126" t="s">
        <v>162</v>
      </c>
      <c r="E126">
        <v>2</v>
      </c>
      <c r="F126">
        <v>235</v>
      </c>
      <c r="G126">
        <v>106</v>
      </c>
      <c r="H126">
        <v>7679</v>
      </c>
      <c r="I126">
        <v>0.840768152564774</v>
      </c>
      <c r="J126">
        <v>0.99999999999839395</v>
      </c>
      <c r="K126">
        <v>0.61653954235246899</v>
      </c>
      <c r="L126" t="s">
        <v>1749</v>
      </c>
      <c r="M126" t="str">
        <f>HYPERLINK("../../3.KEGG_map/SCI_III-vs-NC-Down/rno04668.html","rno04668")</f>
        <v>rno04668</v>
      </c>
    </row>
    <row r="127" spans="1:13" x14ac:dyDescent="0.25">
      <c r="A127" t="s">
        <v>353</v>
      </c>
      <c r="B127" t="s">
        <v>354</v>
      </c>
      <c r="C127" t="s">
        <v>150</v>
      </c>
      <c r="D127" t="s">
        <v>188</v>
      </c>
      <c r="E127">
        <v>2</v>
      </c>
      <c r="F127">
        <v>235</v>
      </c>
      <c r="G127">
        <v>113</v>
      </c>
      <c r="H127">
        <v>7679</v>
      </c>
      <c r="I127">
        <v>0.86569539634790904</v>
      </c>
      <c r="J127">
        <v>0.99999999999839395</v>
      </c>
      <c r="K127">
        <v>0.57834682733948395</v>
      </c>
      <c r="L127" t="s">
        <v>1750</v>
      </c>
      <c r="M127" t="str">
        <f>HYPERLINK("../../3.KEGG_map/SCI_III-vs-NC-Down/rno04670.html","rno04670")</f>
        <v>rno04670</v>
      </c>
    </row>
    <row r="128" spans="1:13" x14ac:dyDescent="0.25">
      <c r="A128" t="s">
        <v>1260</v>
      </c>
      <c r="B128" t="s">
        <v>1261</v>
      </c>
      <c r="C128" t="s">
        <v>150</v>
      </c>
      <c r="D128" t="s">
        <v>188</v>
      </c>
      <c r="E128">
        <v>2</v>
      </c>
      <c r="F128">
        <v>235</v>
      </c>
      <c r="G128">
        <v>42</v>
      </c>
      <c r="H128">
        <v>7679</v>
      </c>
      <c r="I128">
        <v>0.36978549644704001</v>
      </c>
      <c r="J128">
        <v>0.95408139253877999</v>
      </c>
      <c r="K128">
        <v>1.5560283687943299</v>
      </c>
      <c r="L128" t="s">
        <v>1751</v>
      </c>
      <c r="M128" t="str">
        <f>HYPERLINK("../../3.KEGG_map/SCI_III-vs-NC-Down/rno04672.html","rno04672")</f>
        <v>rno04672</v>
      </c>
    </row>
    <row r="129" spans="1:13" x14ac:dyDescent="0.25">
      <c r="A129" t="s">
        <v>359</v>
      </c>
      <c r="B129" t="s">
        <v>360</v>
      </c>
      <c r="C129" t="s">
        <v>150</v>
      </c>
      <c r="D129" t="s">
        <v>358</v>
      </c>
      <c r="E129">
        <v>7</v>
      </c>
      <c r="F129">
        <v>235</v>
      </c>
      <c r="G129">
        <v>96</v>
      </c>
      <c r="H129">
        <v>7679</v>
      </c>
      <c r="I129">
        <v>2.7378496923756698E-2</v>
      </c>
      <c r="J129">
        <v>0.31064013343134</v>
      </c>
      <c r="K129">
        <v>2.3826684397163098</v>
      </c>
      <c r="L129" t="s">
        <v>1752</v>
      </c>
      <c r="M129" t="str">
        <f>HYPERLINK("../../3.KEGG_map/SCI_III-vs-NC-Down/rno04713.html","rno04713")</f>
        <v>rno04713</v>
      </c>
    </row>
    <row r="130" spans="1:13" x14ac:dyDescent="0.25">
      <c r="A130" t="s">
        <v>362</v>
      </c>
      <c r="B130" t="s">
        <v>363</v>
      </c>
      <c r="C130" t="s">
        <v>150</v>
      </c>
      <c r="D130" t="s">
        <v>358</v>
      </c>
      <c r="E130">
        <v>1</v>
      </c>
      <c r="F130">
        <v>235</v>
      </c>
      <c r="G130">
        <v>214</v>
      </c>
      <c r="H130">
        <v>7679</v>
      </c>
      <c r="I130">
        <v>0.99882540321348601</v>
      </c>
      <c r="J130">
        <v>0.99999999999839395</v>
      </c>
      <c r="K130">
        <v>0.15269437263869601</v>
      </c>
      <c r="L130" t="s">
        <v>1218</v>
      </c>
      <c r="M130" t="str">
        <f>HYPERLINK("../../3.KEGG_map/SCI_III-vs-NC-Down/rno04714.html","rno04714")</f>
        <v>rno04714</v>
      </c>
    </row>
    <row r="131" spans="1:13" x14ac:dyDescent="0.25">
      <c r="A131" t="s">
        <v>365</v>
      </c>
      <c r="B131" t="s">
        <v>366</v>
      </c>
      <c r="C131" t="s">
        <v>150</v>
      </c>
      <c r="D131" t="s">
        <v>367</v>
      </c>
      <c r="E131">
        <v>4</v>
      </c>
      <c r="F131">
        <v>235</v>
      </c>
      <c r="G131">
        <v>66</v>
      </c>
      <c r="H131">
        <v>7679</v>
      </c>
      <c r="I131">
        <v>0.14285590783053401</v>
      </c>
      <c r="J131">
        <v>0.67213681787817203</v>
      </c>
      <c r="K131">
        <v>1.98039974210187</v>
      </c>
      <c r="L131" t="s">
        <v>1753</v>
      </c>
      <c r="M131" t="str">
        <f>HYPERLINK("../../3.KEGG_map/SCI_III-vs-NC-Down/rno04720.html","rno04720")</f>
        <v>rno04720</v>
      </c>
    </row>
    <row r="132" spans="1:13" x14ac:dyDescent="0.25">
      <c r="A132" t="s">
        <v>789</v>
      </c>
      <c r="B132" t="s">
        <v>790</v>
      </c>
      <c r="C132" t="s">
        <v>150</v>
      </c>
      <c r="D132" t="s">
        <v>367</v>
      </c>
      <c r="E132">
        <v>4</v>
      </c>
      <c r="F132">
        <v>235</v>
      </c>
      <c r="G132">
        <v>62</v>
      </c>
      <c r="H132">
        <v>7679</v>
      </c>
      <c r="I132">
        <v>0.121107767909585</v>
      </c>
      <c r="J132">
        <v>0.64570859044776696</v>
      </c>
      <c r="K132">
        <v>2.10816746739876</v>
      </c>
      <c r="L132" t="s">
        <v>1754</v>
      </c>
      <c r="M132" t="str">
        <f>HYPERLINK("../../3.KEGG_map/SCI_III-vs-NC-Down/rno04721.html","rno04721")</f>
        <v>rno04721</v>
      </c>
    </row>
    <row r="133" spans="1:13" x14ac:dyDescent="0.25">
      <c r="A133" t="s">
        <v>369</v>
      </c>
      <c r="B133" t="s">
        <v>370</v>
      </c>
      <c r="C133" t="s">
        <v>150</v>
      </c>
      <c r="D133" t="s">
        <v>367</v>
      </c>
      <c r="E133">
        <v>3</v>
      </c>
      <c r="F133">
        <v>235</v>
      </c>
      <c r="G133">
        <v>119</v>
      </c>
      <c r="H133">
        <v>7679</v>
      </c>
      <c r="I133">
        <v>0.71121618844165302</v>
      </c>
      <c r="J133">
        <v>0.99999999999839395</v>
      </c>
      <c r="K133">
        <v>0.82377972465581994</v>
      </c>
      <c r="L133" t="s">
        <v>1755</v>
      </c>
      <c r="M133" t="str">
        <f>HYPERLINK("../../3.KEGG_map/SCI_III-vs-NC-Down/rno04722.html","rno04722")</f>
        <v>rno04722</v>
      </c>
    </row>
    <row r="134" spans="1:13" x14ac:dyDescent="0.25">
      <c r="A134" t="s">
        <v>372</v>
      </c>
      <c r="B134" t="s">
        <v>373</v>
      </c>
      <c r="C134" t="s">
        <v>150</v>
      </c>
      <c r="D134" t="s">
        <v>367</v>
      </c>
      <c r="E134">
        <v>6</v>
      </c>
      <c r="F134">
        <v>235</v>
      </c>
      <c r="G134">
        <v>138</v>
      </c>
      <c r="H134">
        <v>7679</v>
      </c>
      <c r="I134">
        <v>0.24742213398325699</v>
      </c>
      <c r="J134">
        <v>0.85506178655978504</v>
      </c>
      <c r="K134">
        <v>1.4207215541165601</v>
      </c>
      <c r="L134" t="s">
        <v>1756</v>
      </c>
      <c r="M134" t="str">
        <f>HYPERLINK("../../3.KEGG_map/SCI_III-vs-NC-Down/rno04723.html","rno04723")</f>
        <v>rno04723</v>
      </c>
    </row>
    <row r="135" spans="1:13" x14ac:dyDescent="0.25">
      <c r="A135" t="s">
        <v>375</v>
      </c>
      <c r="B135" t="s">
        <v>376</v>
      </c>
      <c r="C135" t="s">
        <v>150</v>
      </c>
      <c r="D135" t="s">
        <v>367</v>
      </c>
      <c r="E135">
        <v>9</v>
      </c>
      <c r="F135">
        <v>235</v>
      </c>
      <c r="G135">
        <v>112</v>
      </c>
      <c r="H135">
        <v>7679</v>
      </c>
      <c r="I135">
        <v>7.1944419314014796E-3</v>
      </c>
      <c r="J135">
        <v>0.21133673173491899</v>
      </c>
      <c r="K135">
        <v>2.6257978723404301</v>
      </c>
      <c r="L135" t="s">
        <v>1757</v>
      </c>
      <c r="M135" t="str">
        <f>HYPERLINK("../../3.KEGG_map/SCI_III-vs-NC-Down/rno04724.html","rno04724")</f>
        <v>rno04724</v>
      </c>
    </row>
    <row r="136" spans="1:13" x14ac:dyDescent="0.25">
      <c r="A136" t="s">
        <v>378</v>
      </c>
      <c r="B136" t="s">
        <v>379</v>
      </c>
      <c r="C136" t="s">
        <v>150</v>
      </c>
      <c r="D136" t="s">
        <v>367</v>
      </c>
      <c r="E136">
        <v>5</v>
      </c>
      <c r="F136">
        <v>235</v>
      </c>
      <c r="G136">
        <v>111</v>
      </c>
      <c r="H136">
        <v>7679</v>
      </c>
      <c r="I136">
        <v>0.25260335575119403</v>
      </c>
      <c r="J136">
        <v>0.86029590968428904</v>
      </c>
      <c r="K136">
        <v>1.47191872723788</v>
      </c>
      <c r="L136" t="s">
        <v>1758</v>
      </c>
      <c r="M136" t="str">
        <f>HYPERLINK("../../3.KEGG_map/SCI_III-vs-NC-Down/rno04725.html","rno04725")</f>
        <v>rno04725</v>
      </c>
    </row>
    <row r="137" spans="1:13" x14ac:dyDescent="0.25">
      <c r="A137" t="s">
        <v>381</v>
      </c>
      <c r="B137" t="s">
        <v>382</v>
      </c>
      <c r="C137" t="s">
        <v>150</v>
      </c>
      <c r="D137" t="s">
        <v>367</v>
      </c>
      <c r="E137">
        <v>6</v>
      </c>
      <c r="F137">
        <v>235</v>
      </c>
      <c r="G137">
        <v>119</v>
      </c>
      <c r="H137">
        <v>7679</v>
      </c>
      <c r="I137">
        <v>0.15716708965176099</v>
      </c>
      <c r="J137">
        <v>0.67425404261708499</v>
      </c>
      <c r="K137">
        <v>1.6475594493116399</v>
      </c>
      <c r="L137" t="s">
        <v>1759</v>
      </c>
      <c r="M137" t="str">
        <f>HYPERLINK("../../3.KEGG_map/SCI_III-vs-NC-Down/rno04726.html","rno04726")</f>
        <v>rno04726</v>
      </c>
    </row>
    <row r="138" spans="1:13" x14ac:dyDescent="0.25">
      <c r="A138" t="s">
        <v>384</v>
      </c>
      <c r="B138" t="s">
        <v>385</v>
      </c>
      <c r="C138" t="s">
        <v>150</v>
      </c>
      <c r="D138" t="s">
        <v>367</v>
      </c>
      <c r="E138">
        <v>6</v>
      </c>
      <c r="F138">
        <v>235</v>
      </c>
      <c r="G138">
        <v>87</v>
      </c>
      <c r="H138">
        <v>7679</v>
      </c>
      <c r="I138">
        <v>4.9926447010726002E-2</v>
      </c>
      <c r="J138">
        <v>0.36664734523501902</v>
      </c>
      <c r="K138">
        <v>2.2535583272193702</v>
      </c>
      <c r="L138" t="s">
        <v>1760</v>
      </c>
      <c r="M138" t="str">
        <f>HYPERLINK("../../3.KEGG_map/SCI_III-vs-NC-Down/rno04727.html","rno04727")</f>
        <v>rno04727</v>
      </c>
    </row>
    <row r="139" spans="1:13" x14ac:dyDescent="0.25">
      <c r="A139" t="s">
        <v>387</v>
      </c>
      <c r="B139" t="s">
        <v>388</v>
      </c>
      <c r="C139" t="s">
        <v>150</v>
      </c>
      <c r="D139" t="s">
        <v>367</v>
      </c>
      <c r="E139">
        <v>7</v>
      </c>
      <c r="F139">
        <v>235</v>
      </c>
      <c r="G139">
        <v>129</v>
      </c>
      <c r="H139">
        <v>7679</v>
      </c>
      <c r="I139">
        <v>0.100277374004278</v>
      </c>
      <c r="J139">
        <v>0.57934638678301897</v>
      </c>
      <c r="K139">
        <v>1.77314860630051</v>
      </c>
      <c r="L139" t="s">
        <v>1761</v>
      </c>
      <c r="M139" t="str">
        <f>HYPERLINK("../../3.KEGG_map/SCI_III-vs-NC-Down/rno04728.html","rno04728")</f>
        <v>rno04728</v>
      </c>
    </row>
    <row r="140" spans="1:13" x14ac:dyDescent="0.25">
      <c r="A140" t="s">
        <v>390</v>
      </c>
      <c r="B140" t="s">
        <v>391</v>
      </c>
      <c r="C140" t="s">
        <v>150</v>
      </c>
      <c r="D140" t="s">
        <v>367</v>
      </c>
      <c r="E140">
        <v>3</v>
      </c>
      <c r="F140">
        <v>235</v>
      </c>
      <c r="G140">
        <v>60</v>
      </c>
      <c r="H140">
        <v>7679</v>
      </c>
      <c r="I140">
        <v>0.27816175534996501</v>
      </c>
      <c r="J140">
        <v>0.89545222612659903</v>
      </c>
      <c r="K140">
        <v>1.6338297872340399</v>
      </c>
      <c r="L140" t="s">
        <v>1762</v>
      </c>
      <c r="M140" t="str">
        <f>HYPERLINK("../../3.KEGG_map/SCI_III-vs-NC-Down/rno04730.html","rno04730")</f>
        <v>rno04730</v>
      </c>
    </row>
    <row r="141" spans="1:13" x14ac:dyDescent="0.25">
      <c r="A141" t="s">
        <v>999</v>
      </c>
      <c r="B141" t="s">
        <v>1000</v>
      </c>
      <c r="C141" t="s">
        <v>150</v>
      </c>
      <c r="D141" t="s">
        <v>395</v>
      </c>
      <c r="E141">
        <v>4</v>
      </c>
      <c r="F141">
        <v>235</v>
      </c>
      <c r="G141">
        <v>1088</v>
      </c>
      <c r="H141">
        <v>7679</v>
      </c>
      <c r="I141">
        <v>0.99999999999839395</v>
      </c>
      <c r="J141">
        <v>0.99999999999839395</v>
      </c>
      <c r="K141">
        <v>0.120134543178974</v>
      </c>
      <c r="L141" t="s">
        <v>1763</v>
      </c>
      <c r="M141" t="str">
        <f>HYPERLINK("../../3.KEGG_map/SCI_III-vs-NC-Down/rno04740.html","rno04740")</f>
        <v>rno04740</v>
      </c>
    </row>
    <row r="142" spans="1:13" x14ac:dyDescent="0.25">
      <c r="A142" t="s">
        <v>393</v>
      </c>
      <c r="B142" t="s">
        <v>394</v>
      </c>
      <c r="C142" t="s">
        <v>150</v>
      </c>
      <c r="D142" t="s">
        <v>395</v>
      </c>
      <c r="E142">
        <v>4</v>
      </c>
      <c r="F142">
        <v>235</v>
      </c>
      <c r="G142">
        <v>86</v>
      </c>
      <c r="H142">
        <v>7679</v>
      </c>
      <c r="I142">
        <v>0.26916390733774598</v>
      </c>
      <c r="J142">
        <v>0.87852108644958804</v>
      </c>
      <c r="K142">
        <v>1.5198416625433</v>
      </c>
      <c r="L142" t="s">
        <v>1764</v>
      </c>
      <c r="M142" t="str">
        <f>HYPERLINK("../../3.KEGG_map/SCI_III-vs-NC-Down/rno04742.html","rno04742")</f>
        <v>rno04742</v>
      </c>
    </row>
    <row r="143" spans="1:13" x14ac:dyDescent="0.25">
      <c r="A143" t="s">
        <v>1278</v>
      </c>
      <c r="B143" t="s">
        <v>1279</v>
      </c>
      <c r="C143" t="s">
        <v>150</v>
      </c>
      <c r="D143" t="s">
        <v>395</v>
      </c>
      <c r="E143">
        <v>1</v>
      </c>
      <c r="F143">
        <v>235</v>
      </c>
      <c r="G143">
        <v>26</v>
      </c>
      <c r="H143">
        <v>7679</v>
      </c>
      <c r="I143">
        <v>0.55489492307533095</v>
      </c>
      <c r="J143">
        <v>0.99999999999839395</v>
      </c>
      <c r="K143">
        <v>1.25679214402619</v>
      </c>
      <c r="L143" t="s">
        <v>1280</v>
      </c>
      <c r="M143" t="str">
        <f>HYPERLINK("../../3.KEGG_map/SCI_III-vs-NC-Down/rno04744.html","rno04744")</f>
        <v>rno04744</v>
      </c>
    </row>
    <row r="144" spans="1:13" x14ac:dyDescent="0.25">
      <c r="A144" t="s">
        <v>396</v>
      </c>
      <c r="B144" t="s">
        <v>397</v>
      </c>
      <c r="C144" t="s">
        <v>150</v>
      </c>
      <c r="D144" t="s">
        <v>395</v>
      </c>
      <c r="E144">
        <v>4</v>
      </c>
      <c r="F144">
        <v>235</v>
      </c>
      <c r="G144">
        <v>111</v>
      </c>
      <c r="H144">
        <v>7679</v>
      </c>
      <c r="I144">
        <v>0.44290580813098901</v>
      </c>
      <c r="J144">
        <v>0.998999117233064</v>
      </c>
      <c r="K144">
        <v>1.1775349817903</v>
      </c>
      <c r="L144" t="s">
        <v>1765</v>
      </c>
      <c r="M144" t="str">
        <f>HYPERLINK("../../3.KEGG_map/SCI_III-vs-NC-Down/rno04750.html","rno04750")</f>
        <v>rno04750</v>
      </c>
    </row>
    <row r="145" spans="1:13" x14ac:dyDescent="0.25">
      <c r="A145" t="s">
        <v>399</v>
      </c>
      <c r="B145" t="s">
        <v>400</v>
      </c>
      <c r="C145" t="s">
        <v>206</v>
      </c>
      <c r="D145" t="s">
        <v>401</v>
      </c>
      <c r="E145">
        <v>4</v>
      </c>
      <c r="F145">
        <v>235</v>
      </c>
      <c r="G145">
        <v>208</v>
      </c>
      <c r="H145">
        <v>7679</v>
      </c>
      <c r="I145">
        <v>0.88572909374226005</v>
      </c>
      <c r="J145">
        <v>0.99999999999839395</v>
      </c>
      <c r="K145">
        <v>0.628396072013093</v>
      </c>
      <c r="L145" t="s">
        <v>1766</v>
      </c>
      <c r="M145" t="str">
        <f>HYPERLINK("../../3.KEGG_map/SCI_III-vs-NC-Down/rno04810.html","rno04810")</f>
        <v>rno04810</v>
      </c>
    </row>
    <row r="146" spans="1:13" x14ac:dyDescent="0.25">
      <c r="A146" t="s">
        <v>403</v>
      </c>
      <c r="B146" t="s">
        <v>404</v>
      </c>
      <c r="C146" t="s">
        <v>150</v>
      </c>
      <c r="D146" t="s">
        <v>151</v>
      </c>
      <c r="E146">
        <v>2</v>
      </c>
      <c r="F146">
        <v>235</v>
      </c>
      <c r="G146">
        <v>134</v>
      </c>
      <c r="H146">
        <v>7679</v>
      </c>
      <c r="I146">
        <v>0.92056831297016894</v>
      </c>
      <c r="J146">
        <v>0.99999999999839395</v>
      </c>
      <c r="K146">
        <v>0.48771038424896801</v>
      </c>
      <c r="L146" t="s">
        <v>1767</v>
      </c>
      <c r="M146" t="str">
        <f>HYPERLINK("../../3.KEGG_map/SCI_III-vs-NC-Down/rno04910.html","rno04910")</f>
        <v>rno04910</v>
      </c>
    </row>
    <row r="147" spans="1:13" x14ac:dyDescent="0.25">
      <c r="A147" t="s">
        <v>406</v>
      </c>
      <c r="B147" t="s">
        <v>407</v>
      </c>
      <c r="C147" t="s">
        <v>150</v>
      </c>
      <c r="D147" t="s">
        <v>151</v>
      </c>
      <c r="E147">
        <v>2</v>
      </c>
      <c r="F147">
        <v>235</v>
      </c>
      <c r="G147">
        <v>85</v>
      </c>
      <c r="H147">
        <v>7679</v>
      </c>
      <c r="I147">
        <v>0.73934645369902396</v>
      </c>
      <c r="J147">
        <v>0.99999999999839395</v>
      </c>
      <c r="K147">
        <v>0.76886107634543199</v>
      </c>
      <c r="L147" t="s">
        <v>1768</v>
      </c>
      <c r="M147" t="str">
        <f>HYPERLINK("../../3.KEGG_map/SCI_III-vs-NC-Down/rno04911.html","rno04911")</f>
        <v>rno04911</v>
      </c>
    </row>
    <row r="148" spans="1:13" x14ac:dyDescent="0.25">
      <c r="A148" t="s">
        <v>415</v>
      </c>
      <c r="B148" t="s">
        <v>416</v>
      </c>
      <c r="C148" t="s">
        <v>150</v>
      </c>
      <c r="D148" t="s">
        <v>151</v>
      </c>
      <c r="E148">
        <v>8</v>
      </c>
      <c r="F148">
        <v>235</v>
      </c>
      <c r="G148">
        <v>130</v>
      </c>
      <c r="H148">
        <v>7679</v>
      </c>
      <c r="I148">
        <v>4.5649657869161503E-2</v>
      </c>
      <c r="J148">
        <v>0.36498371701122401</v>
      </c>
      <c r="K148">
        <v>2.0108674304419001</v>
      </c>
      <c r="L148" t="s">
        <v>1769</v>
      </c>
      <c r="M148" t="str">
        <f>HYPERLINK("../../3.KEGG_map/SCI_III-vs-NC-Down/rno04915.html","rno04915")</f>
        <v>rno04915</v>
      </c>
    </row>
    <row r="149" spans="1:13" x14ac:dyDescent="0.25">
      <c r="A149" t="s">
        <v>418</v>
      </c>
      <c r="B149" t="s">
        <v>419</v>
      </c>
      <c r="C149" t="s">
        <v>150</v>
      </c>
      <c r="D149" t="s">
        <v>151</v>
      </c>
      <c r="E149">
        <v>1</v>
      </c>
      <c r="F149">
        <v>235</v>
      </c>
      <c r="G149">
        <v>98</v>
      </c>
      <c r="H149">
        <v>7679</v>
      </c>
      <c r="I149">
        <v>0.95337632546667095</v>
      </c>
      <c r="J149">
        <v>0.99999999999839395</v>
      </c>
      <c r="K149">
        <v>0.33343465045592702</v>
      </c>
      <c r="L149" t="s">
        <v>1770</v>
      </c>
      <c r="M149" t="str">
        <f>HYPERLINK("../../3.KEGG_map/SCI_III-vs-NC-Down/rno04916.html","rno04916")</f>
        <v>rno04916</v>
      </c>
    </row>
    <row r="150" spans="1:13" x14ac:dyDescent="0.25">
      <c r="A150" t="s">
        <v>803</v>
      </c>
      <c r="B150" t="s">
        <v>804</v>
      </c>
      <c r="C150" t="s">
        <v>150</v>
      </c>
      <c r="D150" t="s">
        <v>151</v>
      </c>
      <c r="E150">
        <v>5</v>
      </c>
      <c r="F150">
        <v>235</v>
      </c>
      <c r="G150">
        <v>72</v>
      </c>
      <c r="H150">
        <v>7679</v>
      </c>
      <c r="I150">
        <v>6.8912289761640794E-2</v>
      </c>
      <c r="J150">
        <v>0.44561456647303499</v>
      </c>
      <c r="K150">
        <v>2.2692080378250599</v>
      </c>
      <c r="L150" t="s">
        <v>1771</v>
      </c>
      <c r="M150" t="str">
        <f>HYPERLINK("../../3.KEGG_map/SCI_III-vs-NC-Down/rno04917.html","rno04917")</f>
        <v>rno04917</v>
      </c>
    </row>
    <row r="151" spans="1:13" x14ac:dyDescent="0.25">
      <c r="A151" t="s">
        <v>421</v>
      </c>
      <c r="B151" t="s">
        <v>422</v>
      </c>
      <c r="C151" t="s">
        <v>150</v>
      </c>
      <c r="D151" t="s">
        <v>151</v>
      </c>
      <c r="E151">
        <v>6</v>
      </c>
      <c r="F151">
        <v>235</v>
      </c>
      <c r="G151">
        <v>72</v>
      </c>
      <c r="H151">
        <v>7679</v>
      </c>
      <c r="I151">
        <v>2.2426007229748499E-2</v>
      </c>
      <c r="J151">
        <v>0.31064013343134</v>
      </c>
      <c r="K151">
        <v>2.7230496453900699</v>
      </c>
      <c r="L151" t="s">
        <v>1772</v>
      </c>
      <c r="M151" t="str">
        <f>HYPERLINK("../../3.KEGG_map/SCI_III-vs-NC-Down/rno04918.html","rno04918")</f>
        <v>rno04918</v>
      </c>
    </row>
    <row r="152" spans="1:13" x14ac:dyDescent="0.25">
      <c r="A152" t="s">
        <v>424</v>
      </c>
      <c r="B152" t="s">
        <v>425</v>
      </c>
      <c r="C152" t="s">
        <v>150</v>
      </c>
      <c r="D152" t="s">
        <v>151</v>
      </c>
      <c r="E152">
        <v>8</v>
      </c>
      <c r="F152">
        <v>235</v>
      </c>
      <c r="G152">
        <v>117</v>
      </c>
      <c r="H152">
        <v>7679</v>
      </c>
      <c r="I152">
        <v>2.6740118189846999E-2</v>
      </c>
      <c r="J152">
        <v>0.31064013343134</v>
      </c>
      <c r="K152">
        <v>2.2342971449354398</v>
      </c>
      <c r="L152" t="s">
        <v>1773</v>
      </c>
      <c r="M152" t="str">
        <f>HYPERLINK("../../3.KEGG_map/SCI_III-vs-NC-Down/rno04919.html","rno04919")</f>
        <v>rno04919</v>
      </c>
    </row>
    <row r="153" spans="1:13" x14ac:dyDescent="0.25">
      <c r="A153" t="s">
        <v>807</v>
      </c>
      <c r="B153" t="s">
        <v>808</v>
      </c>
      <c r="C153" t="s">
        <v>150</v>
      </c>
      <c r="D153" t="s">
        <v>151</v>
      </c>
      <c r="E153">
        <v>3</v>
      </c>
      <c r="F153">
        <v>235</v>
      </c>
      <c r="G153">
        <v>71</v>
      </c>
      <c r="H153">
        <v>7679</v>
      </c>
      <c r="I153">
        <v>0.37087297541620201</v>
      </c>
      <c r="J153">
        <v>0.95408139253877999</v>
      </c>
      <c r="K153">
        <v>1.3807012286484901</v>
      </c>
      <c r="L153" t="s">
        <v>1774</v>
      </c>
      <c r="M153" t="str">
        <f>HYPERLINK("../../3.KEGG_map/SCI_III-vs-NC-Down/rno04920.html","rno04920")</f>
        <v>rno04920</v>
      </c>
    </row>
    <row r="154" spans="1:13" x14ac:dyDescent="0.25">
      <c r="A154" t="s">
        <v>427</v>
      </c>
      <c r="B154" t="s">
        <v>428</v>
      </c>
      <c r="C154" t="s">
        <v>150</v>
      </c>
      <c r="D154" t="s">
        <v>151</v>
      </c>
      <c r="E154">
        <v>7</v>
      </c>
      <c r="F154">
        <v>235</v>
      </c>
      <c r="G154">
        <v>152</v>
      </c>
      <c r="H154">
        <v>7679</v>
      </c>
      <c r="I154">
        <v>0.184139772900481</v>
      </c>
      <c r="J154">
        <v>0.75125848295261599</v>
      </c>
      <c r="K154">
        <v>1.50484322508399</v>
      </c>
      <c r="L154" t="s">
        <v>1775</v>
      </c>
      <c r="M154" t="str">
        <f>HYPERLINK("../../3.KEGG_map/SCI_III-vs-NC-Down/rno04921.html","rno04921")</f>
        <v>rno04921</v>
      </c>
    </row>
    <row r="155" spans="1:13" x14ac:dyDescent="0.25">
      <c r="A155" t="s">
        <v>430</v>
      </c>
      <c r="B155" t="s">
        <v>431</v>
      </c>
      <c r="C155" t="s">
        <v>150</v>
      </c>
      <c r="D155" t="s">
        <v>151</v>
      </c>
      <c r="E155">
        <v>2</v>
      </c>
      <c r="F155">
        <v>235</v>
      </c>
      <c r="G155">
        <v>100</v>
      </c>
      <c r="H155">
        <v>7679</v>
      </c>
      <c r="I155">
        <v>0.81615725551479201</v>
      </c>
      <c r="J155">
        <v>0.99999999999839395</v>
      </c>
      <c r="K155">
        <v>0.65353191489361695</v>
      </c>
      <c r="L155" t="s">
        <v>1776</v>
      </c>
      <c r="M155" t="str">
        <f>HYPERLINK("../../3.KEGG_map/SCI_III-vs-NC-Down/rno04922.html","rno04922")</f>
        <v>rno04922</v>
      </c>
    </row>
    <row r="156" spans="1:13" x14ac:dyDescent="0.25">
      <c r="A156" t="s">
        <v>812</v>
      </c>
      <c r="B156" t="s">
        <v>813</v>
      </c>
      <c r="C156" t="s">
        <v>150</v>
      </c>
      <c r="D156" t="s">
        <v>151</v>
      </c>
      <c r="E156">
        <v>1</v>
      </c>
      <c r="F156">
        <v>235</v>
      </c>
      <c r="G156">
        <v>55</v>
      </c>
      <c r="H156">
        <v>7679</v>
      </c>
      <c r="I156">
        <v>0.820142247432044</v>
      </c>
      <c r="J156">
        <v>0.99999999999839395</v>
      </c>
      <c r="K156">
        <v>0.59411992263056101</v>
      </c>
      <c r="L156" t="s">
        <v>1382</v>
      </c>
      <c r="M156" t="str">
        <f>HYPERLINK("../../3.KEGG_map/SCI_III-vs-NC-Down/rno04923.html","rno04923")</f>
        <v>rno04923</v>
      </c>
    </row>
    <row r="157" spans="1:13" x14ac:dyDescent="0.25">
      <c r="A157" t="s">
        <v>433</v>
      </c>
      <c r="B157" t="s">
        <v>434</v>
      </c>
      <c r="C157" t="s">
        <v>150</v>
      </c>
      <c r="D157" t="s">
        <v>151</v>
      </c>
      <c r="E157">
        <v>6</v>
      </c>
      <c r="F157">
        <v>235</v>
      </c>
      <c r="G157">
        <v>68</v>
      </c>
      <c r="H157">
        <v>7679</v>
      </c>
      <c r="I157">
        <v>1.7364343150646201E-2</v>
      </c>
      <c r="J157">
        <v>0.31064013343134</v>
      </c>
      <c r="K157">
        <v>2.8832290362953699</v>
      </c>
      <c r="L157" t="s">
        <v>1777</v>
      </c>
      <c r="M157" t="str">
        <f>HYPERLINK("../../3.KEGG_map/SCI_III-vs-NC-Down/rno04924.html","rno04924")</f>
        <v>rno04924</v>
      </c>
    </row>
    <row r="158" spans="1:13" x14ac:dyDescent="0.25">
      <c r="A158" t="s">
        <v>435</v>
      </c>
      <c r="B158" t="s">
        <v>436</v>
      </c>
      <c r="C158" t="s">
        <v>150</v>
      </c>
      <c r="D158" t="s">
        <v>151</v>
      </c>
      <c r="E158">
        <v>7</v>
      </c>
      <c r="F158">
        <v>235</v>
      </c>
      <c r="G158">
        <v>94</v>
      </c>
      <c r="H158">
        <v>7679</v>
      </c>
      <c r="I158">
        <v>2.47358006247336E-2</v>
      </c>
      <c r="J158">
        <v>0.31064013343134</v>
      </c>
      <c r="K158">
        <v>2.4333635129017699</v>
      </c>
      <c r="L158" t="s">
        <v>1778</v>
      </c>
      <c r="M158" t="str">
        <f>HYPERLINK("../../3.KEGG_map/SCI_III-vs-NC-Down/rno04925.html","rno04925")</f>
        <v>rno04925</v>
      </c>
    </row>
    <row r="159" spans="1:13" x14ac:dyDescent="0.25">
      <c r="A159" t="s">
        <v>438</v>
      </c>
      <c r="B159" t="s">
        <v>439</v>
      </c>
      <c r="C159" t="s">
        <v>150</v>
      </c>
      <c r="D159" t="s">
        <v>151</v>
      </c>
      <c r="E159">
        <v>3</v>
      </c>
      <c r="F159">
        <v>235</v>
      </c>
      <c r="G159">
        <v>126</v>
      </c>
      <c r="H159">
        <v>7679</v>
      </c>
      <c r="I159">
        <v>0.74694501670952396</v>
      </c>
      <c r="J159">
        <v>0.99999999999839395</v>
      </c>
      <c r="K159">
        <v>0.77801418439716297</v>
      </c>
      <c r="L159" t="s">
        <v>1779</v>
      </c>
      <c r="M159" t="str">
        <f>HYPERLINK("../../3.KEGG_map/SCI_III-vs-NC-Down/rno04926.html","rno04926")</f>
        <v>rno04926</v>
      </c>
    </row>
    <row r="160" spans="1:13" x14ac:dyDescent="0.25">
      <c r="A160" t="s">
        <v>441</v>
      </c>
      <c r="B160" t="s">
        <v>442</v>
      </c>
      <c r="C160" t="s">
        <v>150</v>
      </c>
      <c r="D160" t="s">
        <v>151</v>
      </c>
      <c r="E160">
        <v>4</v>
      </c>
      <c r="F160">
        <v>235</v>
      </c>
      <c r="G160">
        <v>63</v>
      </c>
      <c r="H160">
        <v>7679</v>
      </c>
      <c r="I160">
        <v>0.12640319125599001</v>
      </c>
      <c r="J160">
        <v>0.64575543359038201</v>
      </c>
      <c r="K160">
        <v>2.07470449172577</v>
      </c>
      <c r="L160" t="s">
        <v>1780</v>
      </c>
      <c r="M160" t="str">
        <f>HYPERLINK("../../3.KEGG_map/SCI_III-vs-NC-Down/rno04927.html","rno04927")</f>
        <v>rno04927</v>
      </c>
    </row>
    <row r="161" spans="1:13" x14ac:dyDescent="0.25">
      <c r="A161" t="s">
        <v>444</v>
      </c>
      <c r="B161" t="s">
        <v>445</v>
      </c>
      <c r="C161" t="s">
        <v>115</v>
      </c>
      <c r="D161" t="s">
        <v>446</v>
      </c>
      <c r="E161">
        <v>1</v>
      </c>
      <c r="F161">
        <v>235</v>
      </c>
      <c r="G161">
        <v>47</v>
      </c>
      <c r="H161">
        <v>7679</v>
      </c>
      <c r="I161">
        <v>0.76898415986632696</v>
      </c>
      <c r="J161">
        <v>0.99999999999839395</v>
      </c>
      <c r="K161">
        <v>0.69524671797193305</v>
      </c>
      <c r="L161" t="s">
        <v>1781</v>
      </c>
      <c r="M161" t="str">
        <f>HYPERLINK("../../3.KEGG_map/SCI_III-vs-NC-Down/rno04930.html","rno04930")</f>
        <v>rno04930</v>
      </c>
    </row>
    <row r="162" spans="1:13" x14ac:dyDescent="0.25">
      <c r="A162" t="s">
        <v>447</v>
      </c>
      <c r="B162" t="s">
        <v>448</v>
      </c>
      <c r="C162" t="s">
        <v>115</v>
      </c>
      <c r="D162" t="s">
        <v>446</v>
      </c>
      <c r="E162">
        <v>2</v>
      </c>
      <c r="F162">
        <v>235</v>
      </c>
      <c r="G162">
        <v>108</v>
      </c>
      <c r="H162">
        <v>7679</v>
      </c>
      <c r="I162">
        <v>0.84828686293171296</v>
      </c>
      <c r="J162">
        <v>0.99999999999839395</v>
      </c>
      <c r="K162">
        <v>0.60512214342001602</v>
      </c>
      <c r="L162" t="s">
        <v>1782</v>
      </c>
      <c r="M162" t="str">
        <f>HYPERLINK("../../3.KEGG_map/SCI_III-vs-NC-Down/rno04931.html","rno04931")</f>
        <v>rno04931</v>
      </c>
    </row>
    <row r="163" spans="1:13" x14ac:dyDescent="0.25">
      <c r="A163" t="s">
        <v>453</v>
      </c>
      <c r="B163" t="s">
        <v>454</v>
      </c>
      <c r="C163" t="s">
        <v>115</v>
      </c>
      <c r="D163" t="s">
        <v>446</v>
      </c>
      <c r="E163">
        <v>4</v>
      </c>
      <c r="F163">
        <v>235</v>
      </c>
      <c r="G163">
        <v>99</v>
      </c>
      <c r="H163">
        <v>7679</v>
      </c>
      <c r="I163">
        <v>0.35950188902600899</v>
      </c>
      <c r="J163">
        <v>0.95408139253877999</v>
      </c>
      <c r="K163">
        <v>1.3202664947345799</v>
      </c>
      <c r="L163" t="s">
        <v>1783</v>
      </c>
      <c r="M163" t="str">
        <f>HYPERLINK("../../3.KEGG_map/SCI_III-vs-NC-Down/rno04933.html","rno04933")</f>
        <v>rno04933</v>
      </c>
    </row>
    <row r="164" spans="1:13" x14ac:dyDescent="0.25">
      <c r="A164" t="s">
        <v>456</v>
      </c>
      <c r="B164" t="s">
        <v>457</v>
      </c>
      <c r="C164" t="s">
        <v>115</v>
      </c>
      <c r="D164" t="s">
        <v>446</v>
      </c>
      <c r="E164">
        <v>7</v>
      </c>
      <c r="F164">
        <v>235</v>
      </c>
      <c r="G164">
        <v>153</v>
      </c>
      <c r="H164">
        <v>7679</v>
      </c>
      <c r="I164">
        <v>0.18831986455713801</v>
      </c>
      <c r="J164">
        <v>0.75125848295261599</v>
      </c>
      <c r="K164">
        <v>1.4950076484494501</v>
      </c>
      <c r="L164" t="s">
        <v>1784</v>
      </c>
      <c r="M164" t="str">
        <f>HYPERLINK("../../3.KEGG_map/SCI_III-vs-NC-Down/rno04934.html","rno04934")</f>
        <v>rno04934</v>
      </c>
    </row>
    <row r="165" spans="1:13" x14ac:dyDescent="0.25">
      <c r="A165" t="s">
        <v>1306</v>
      </c>
      <c r="B165" t="s">
        <v>1307</v>
      </c>
      <c r="C165" t="s">
        <v>115</v>
      </c>
      <c r="D165" t="s">
        <v>446</v>
      </c>
      <c r="E165">
        <v>2</v>
      </c>
      <c r="F165">
        <v>235</v>
      </c>
      <c r="G165">
        <v>27</v>
      </c>
      <c r="H165">
        <v>7679</v>
      </c>
      <c r="I165">
        <v>0.19953205622445899</v>
      </c>
      <c r="J165">
        <v>0.769485797538904</v>
      </c>
      <c r="K165">
        <v>2.4204885736800601</v>
      </c>
      <c r="L165" t="s">
        <v>1785</v>
      </c>
      <c r="M165" t="str">
        <f>HYPERLINK("../../3.KEGG_map/SCI_III-vs-NC-Down/rno04950.html","rno04950")</f>
        <v>rno04950</v>
      </c>
    </row>
    <row r="166" spans="1:13" x14ac:dyDescent="0.25">
      <c r="A166" t="s">
        <v>822</v>
      </c>
      <c r="B166" t="s">
        <v>823</v>
      </c>
      <c r="C166" t="s">
        <v>150</v>
      </c>
      <c r="D166" t="s">
        <v>464</v>
      </c>
      <c r="E166">
        <v>2</v>
      </c>
      <c r="F166">
        <v>235</v>
      </c>
      <c r="G166">
        <v>38</v>
      </c>
      <c r="H166">
        <v>7679</v>
      </c>
      <c r="I166">
        <v>0.32495126663044699</v>
      </c>
      <c r="J166">
        <v>0.95379603369580901</v>
      </c>
      <c r="K166">
        <v>1.7198208286674099</v>
      </c>
      <c r="L166" t="s">
        <v>1768</v>
      </c>
      <c r="M166" t="str">
        <f>HYPERLINK("../../3.KEGG_map/SCI_III-vs-NC-Down/rno04960.html","rno04960")</f>
        <v>rno04960</v>
      </c>
    </row>
    <row r="167" spans="1:13" x14ac:dyDescent="0.25">
      <c r="A167" t="s">
        <v>462</v>
      </c>
      <c r="B167" t="s">
        <v>463</v>
      </c>
      <c r="C167" t="s">
        <v>150</v>
      </c>
      <c r="D167" t="s">
        <v>464</v>
      </c>
      <c r="E167">
        <v>4</v>
      </c>
      <c r="F167">
        <v>235</v>
      </c>
      <c r="G167">
        <v>52</v>
      </c>
      <c r="H167">
        <v>7679</v>
      </c>
      <c r="I167">
        <v>7.3953055712546206E-2</v>
      </c>
      <c r="J167">
        <v>0.44561456647303499</v>
      </c>
      <c r="K167">
        <v>2.5135842880523702</v>
      </c>
      <c r="L167" t="s">
        <v>1786</v>
      </c>
      <c r="M167" t="str">
        <f>HYPERLINK("../../3.KEGG_map/SCI_III-vs-NC-Down/rno04961.html","rno04961")</f>
        <v>rno04961</v>
      </c>
    </row>
    <row r="168" spans="1:13" x14ac:dyDescent="0.25">
      <c r="A168" t="s">
        <v>1312</v>
      </c>
      <c r="B168" t="s">
        <v>1313</v>
      </c>
      <c r="C168" t="s">
        <v>150</v>
      </c>
      <c r="D168" t="s">
        <v>464</v>
      </c>
      <c r="E168">
        <v>3</v>
      </c>
      <c r="F168">
        <v>235</v>
      </c>
      <c r="G168">
        <v>22</v>
      </c>
      <c r="H168">
        <v>7679</v>
      </c>
      <c r="I168">
        <v>2.83651578353863E-2</v>
      </c>
      <c r="J168">
        <v>0.31064013343134</v>
      </c>
      <c r="K168">
        <v>4.4558994197292101</v>
      </c>
      <c r="L168" t="s">
        <v>1571</v>
      </c>
      <c r="M168" t="str">
        <f>HYPERLINK("../../3.KEGG_map/SCI_III-vs-NC-Down/rno04964.html","rno04964")</f>
        <v>rno04964</v>
      </c>
    </row>
    <row r="169" spans="1:13" x14ac:dyDescent="0.25">
      <c r="A169" t="s">
        <v>1315</v>
      </c>
      <c r="B169" t="s">
        <v>1316</v>
      </c>
      <c r="C169" t="s">
        <v>150</v>
      </c>
      <c r="D169" t="s">
        <v>464</v>
      </c>
      <c r="E169">
        <v>1</v>
      </c>
      <c r="F169">
        <v>235</v>
      </c>
      <c r="G169">
        <v>27</v>
      </c>
      <c r="H169">
        <v>7679</v>
      </c>
      <c r="I169">
        <v>0.568562725646518</v>
      </c>
      <c r="J169">
        <v>0.99999999999839395</v>
      </c>
      <c r="K169">
        <v>1.21024428684003</v>
      </c>
      <c r="L169" t="s">
        <v>1637</v>
      </c>
      <c r="M169" t="str">
        <f>HYPERLINK("../../3.KEGG_map/SCI_III-vs-NC-Down/rno04966.html","rno04966")</f>
        <v>rno04966</v>
      </c>
    </row>
    <row r="170" spans="1:13" x14ac:dyDescent="0.25">
      <c r="A170" t="s">
        <v>469</v>
      </c>
      <c r="B170" t="s">
        <v>470</v>
      </c>
      <c r="C170" t="s">
        <v>150</v>
      </c>
      <c r="D170" t="s">
        <v>471</v>
      </c>
      <c r="E170">
        <v>4</v>
      </c>
      <c r="F170">
        <v>235</v>
      </c>
      <c r="G170">
        <v>76</v>
      </c>
      <c r="H170">
        <v>7679</v>
      </c>
      <c r="I170">
        <v>0.20301327424430601</v>
      </c>
      <c r="J170">
        <v>0.769485797538904</v>
      </c>
      <c r="K170">
        <v>1.7198208286674099</v>
      </c>
      <c r="L170" t="s">
        <v>1787</v>
      </c>
      <c r="M170" t="str">
        <f>HYPERLINK("../../3.KEGG_map/SCI_III-vs-NC-Down/rno04970.html","rno04970")</f>
        <v>rno04970</v>
      </c>
    </row>
    <row r="171" spans="1:13" x14ac:dyDescent="0.25">
      <c r="A171" t="s">
        <v>473</v>
      </c>
      <c r="B171" t="s">
        <v>474</v>
      </c>
      <c r="C171" t="s">
        <v>150</v>
      </c>
      <c r="D171" t="s">
        <v>471</v>
      </c>
      <c r="E171">
        <v>3</v>
      </c>
      <c r="F171">
        <v>235</v>
      </c>
      <c r="G171">
        <v>74</v>
      </c>
      <c r="H171">
        <v>7679</v>
      </c>
      <c r="I171">
        <v>0.39594761340233398</v>
      </c>
      <c r="J171">
        <v>0.97502504295347703</v>
      </c>
      <c r="K171">
        <v>1.32472685451409</v>
      </c>
      <c r="L171" t="s">
        <v>1788</v>
      </c>
      <c r="M171" t="str">
        <f>HYPERLINK("../../3.KEGG_map/SCI_III-vs-NC-Down/rno04971.html","rno04971")</f>
        <v>rno04971</v>
      </c>
    </row>
    <row r="172" spans="1:13" x14ac:dyDescent="0.25">
      <c r="A172" t="s">
        <v>476</v>
      </c>
      <c r="B172" t="s">
        <v>477</v>
      </c>
      <c r="C172" t="s">
        <v>150</v>
      </c>
      <c r="D172" t="s">
        <v>471</v>
      </c>
      <c r="E172">
        <v>7</v>
      </c>
      <c r="F172">
        <v>235</v>
      </c>
      <c r="G172">
        <v>98</v>
      </c>
      <c r="H172">
        <v>7679</v>
      </c>
      <c r="I172">
        <v>3.0207191334272201E-2</v>
      </c>
      <c r="J172">
        <v>0.31064013343134</v>
      </c>
      <c r="K172">
        <v>2.3340425531914901</v>
      </c>
      <c r="L172" t="s">
        <v>1789</v>
      </c>
      <c r="M172" t="str">
        <f>HYPERLINK("../../3.KEGG_map/SCI_III-vs-NC-Down/rno04972.html","rno04972")</f>
        <v>rno04972</v>
      </c>
    </row>
    <row r="173" spans="1:13" x14ac:dyDescent="0.25">
      <c r="A173" t="s">
        <v>828</v>
      </c>
      <c r="B173" t="s">
        <v>829</v>
      </c>
      <c r="C173" t="s">
        <v>150</v>
      </c>
      <c r="D173" t="s">
        <v>471</v>
      </c>
      <c r="E173">
        <v>2</v>
      </c>
      <c r="F173">
        <v>235</v>
      </c>
      <c r="G173">
        <v>39</v>
      </c>
      <c r="H173">
        <v>7679</v>
      </c>
      <c r="I173">
        <v>0.33625130541987402</v>
      </c>
      <c r="J173">
        <v>0.95408139253877999</v>
      </c>
      <c r="K173">
        <v>1.67572285870158</v>
      </c>
      <c r="L173" t="s">
        <v>1768</v>
      </c>
      <c r="M173" t="str">
        <f>HYPERLINK("../../3.KEGG_map/SCI_III-vs-NC-Down/rno04973.html","rno04973")</f>
        <v>rno04973</v>
      </c>
    </row>
    <row r="174" spans="1:13" x14ac:dyDescent="0.25">
      <c r="A174" t="s">
        <v>479</v>
      </c>
      <c r="B174" t="s">
        <v>480</v>
      </c>
      <c r="C174" t="s">
        <v>150</v>
      </c>
      <c r="D174" t="s">
        <v>471</v>
      </c>
      <c r="E174">
        <v>10</v>
      </c>
      <c r="F174">
        <v>235</v>
      </c>
      <c r="G174">
        <v>87</v>
      </c>
      <c r="H174">
        <v>7679</v>
      </c>
      <c r="I174">
        <v>3.0111389420049798E-4</v>
      </c>
      <c r="J174">
        <v>1.7690441284279299E-2</v>
      </c>
      <c r="K174">
        <v>3.75593054536562</v>
      </c>
      <c r="L174" t="s">
        <v>1790</v>
      </c>
      <c r="M174" t="str">
        <f>HYPERLINK("../../3.KEGG_map/SCI_III-vs-NC-Down/rno04974.html","rno04974")</f>
        <v>rno04974</v>
      </c>
    </row>
    <row r="175" spans="1:13" x14ac:dyDescent="0.25">
      <c r="A175" t="s">
        <v>1322</v>
      </c>
      <c r="B175" t="s">
        <v>1323</v>
      </c>
      <c r="C175" t="s">
        <v>150</v>
      </c>
      <c r="D175" t="s">
        <v>471</v>
      </c>
      <c r="E175">
        <v>2</v>
      </c>
      <c r="F175">
        <v>235</v>
      </c>
      <c r="G175">
        <v>40</v>
      </c>
      <c r="H175">
        <v>7679</v>
      </c>
      <c r="I175">
        <v>0.34749502305978303</v>
      </c>
      <c r="J175">
        <v>0.95408139253877999</v>
      </c>
      <c r="K175">
        <v>1.6338297872340399</v>
      </c>
      <c r="L175" t="s">
        <v>1143</v>
      </c>
      <c r="M175" t="str">
        <f>HYPERLINK("../../3.KEGG_map/SCI_III-vs-NC-Down/rno04975.html","rno04975")</f>
        <v>rno04975</v>
      </c>
    </row>
    <row r="176" spans="1:13" x14ac:dyDescent="0.25">
      <c r="A176" t="s">
        <v>831</v>
      </c>
      <c r="B176" t="s">
        <v>832</v>
      </c>
      <c r="C176" t="s">
        <v>150</v>
      </c>
      <c r="D176" t="s">
        <v>471</v>
      </c>
      <c r="E176">
        <v>6</v>
      </c>
      <c r="F176">
        <v>235</v>
      </c>
      <c r="G176">
        <v>71</v>
      </c>
      <c r="H176">
        <v>7679</v>
      </c>
      <c r="I176">
        <v>2.1077490592793902E-2</v>
      </c>
      <c r="J176">
        <v>0.31064013343134</v>
      </c>
      <c r="K176">
        <v>2.76140245729697</v>
      </c>
      <c r="L176" t="s">
        <v>1791</v>
      </c>
      <c r="M176" t="str">
        <f>HYPERLINK("../../3.KEGG_map/SCI_III-vs-NC-Down/rno04976.html","rno04976")</f>
        <v>rno04976</v>
      </c>
    </row>
    <row r="177" spans="1:13" x14ac:dyDescent="0.25">
      <c r="A177" t="s">
        <v>482</v>
      </c>
      <c r="B177" t="s">
        <v>483</v>
      </c>
      <c r="C177" t="s">
        <v>150</v>
      </c>
      <c r="D177" t="s">
        <v>471</v>
      </c>
      <c r="E177">
        <v>3</v>
      </c>
      <c r="F177">
        <v>235</v>
      </c>
      <c r="G177">
        <v>24</v>
      </c>
      <c r="H177">
        <v>7679</v>
      </c>
      <c r="I177">
        <v>3.5658030969104602E-2</v>
      </c>
      <c r="J177">
        <v>0.31064013343134</v>
      </c>
      <c r="K177">
        <v>4.0845744680851102</v>
      </c>
      <c r="L177" t="s">
        <v>1792</v>
      </c>
      <c r="M177" t="str">
        <f>HYPERLINK("../../3.KEGG_map/SCI_III-vs-NC-Down/rno04977.html","rno04977")</f>
        <v>rno04977</v>
      </c>
    </row>
    <row r="178" spans="1:13" x14ac:dyDescent="0.25">
      <c r="A178" t="s">
        <v>485</v>
      </c>
      <c r="B178" t="s">
        <v>486</v>
      </c>
      <c r="C178" t="s">
        <v>150</v>
      </c>
      <c r="D178" t="s">
        <v>471</v>
      </c>
      <c r="E178">
        <v>2</v>
      </c>
      <c r="F178">
        <v>235</v>
      </c>
      <c r="G178">
        <v>43</v>
      </c>
      <c r="H178">
        <v>7679</v>
      </c>
      <c r="I178">
        <v>0.38081944208947699</v>
      </c>
      <c r="J178">
        <v>0.96228568700029304</v>
      </c>
      <c r="K178">
        <v>1.5198416625433</v>
      </c>
      <c r="L178" t="s">
        <v>1768</v>
      </c>
      <c r="M178" t="str">
        <f>HYPERLINK("../../3.KEGG_map/SCI_III-vs-NC-Down/rno04978.html","rno04978")</f>
        <v>rno04978</v>
      </c>
    </row>
    <row r="179" spans="1:13" x14ac:dyDescent="0.25">
      <c r="A179" t="s">
        <v>1328</v>
      </c>
      <c r="B179" t="s">
        <v>1329</v>
      </c>
      <c r="C179" t="s">
        <v>150</v>
      </c>
      <c r="D179" t="s">
        <v>471</v>
      </c>
      <c r="E179">
        <v>1</v>
      </c>
      <c r="F179">
        <v>235</v>
      </c>
      <c r="G179">
        <v>49</v>
      </c>
      <c r="H179">
        <v>7679</v>
      </c>
      <c r="I179">
        <v>0.78299263916685902</v>
      </c>
      <c r="J179">
        <v>0.99999999999839395</v>
      </c>
      <c r="K179">
        <v>0.66686930091185403</v>
      </c>
      <c r="L179" t="s">
        <v>1659</v>
      </c>
      <c r="M179" t="str">
        <f>HYPERLINK("../../3.KEGG_map/SCI_III-vs-NC-Down/rno04979.html","rno04979")</f>
        <v>rno04979</v>
      </c>
    </row>
    <row r="180" spans="1:13" x14ac:dyDescent="0.25">
      <c r="A180" t="s">
        <v>488</v>
      </c>
      <c r="B180" t="s">
        <v>489</v>
      </c>
      <c r="C180" t="s">
        <v>115</v>
      </c>
      <c r="D180" t="s">
        <v>490</v>
      </c>
      <c r="E180">
        <v>4</v>
      </c>
      <c r="F180">
        <v>235</v>
      </c>
      <c r="G180">
        <v>164</v>
      </c>
      <c r="H180">
        <v>7679</v>
      </c>
      <c r="I180">
        <v>0.74499549765195705</v>
      </c>
      <c r="J180">
        <v>0.99999999999839395</v>
      </c>
      <c r="K180">
        <v>0.79699014011416702</v>
      </c>
      <c r="L180" t="s">
        <v>1793</v>
      </c>
      <c r="M180" t="str">
        <f>HYPERLINK("../../3.KEGG_map/SCI_III-vs-NC-Down/rno05010.html","rno05010")</f>
        <v>rno05010</v>
      </c>
    </row>
    <row r="181" spans="1:13" x14ac:dyDescent="0.25">
      <c r="A181" t="s">
        <v>1332</v>
      </c>
      <c r="B181" t="s">
        <v>1333</v>
      </c>
      <c r="C181" t="s">
        <v>115</v>
      </c>
      <c r="D181" t="s">
        <v>490</v>
      </c>
      <c r="E181">
        <v>2</v>
      </c>
      <c r="F181">
        <v>235</v>
      </c>
      <c r="G181">
        <v>127</v>
      </c>
      <c r="H181">
        <v>7679</v>
      </c>
      <c r="I181">
        <v>0.90516092607441501</v>
      </c>
      <c r="J181">
        <v>0.99999999999839395</v>
      </c>
      <c r="K181">
        <v>0.51459205897135196</v>
      </c>
      <c r="L181" t="s">
        <v>1794</v>
      </c>
      <c r="M181" t="str">
        <f>HYPERLINK("../../3.KEGG_map/SCI_III-vs-NC-Down/rno05012.html","rno05012")</f>
        <v>rno05012</v>
      </c>
    </row>
    <row r="182" spans="1:13" x14ac:dyDescent="0.25">
      <c r="A182" t="s">
        <v>491</v>
      </c>
      <c r="B182" t="s">
        <v>492</v>
      </c>
      <c r="C182" t="s">
        <v>115</v>
      </c>
      <c r="D182" t="s">
        <v>490</v>
      </c>
      <c r="E182">
        <v>3</v>
      </c>
      <c r="F182">
        <v>235</v>
      </c>
      <c r="G182">
        <v>53</v>
      </c>
      <c r="H182">
        <v>7679</v>
      </c>
      <c r="I182">
        <v>0.22039348733653299</v>
      </c>
      <c r="J182">
        <v>0.82210269085849597</v>
      </c>
      <c r="K182">
        <v>1.84961862705741</v>
      </c>
      <c r="L182" t="s">
        <v>1795</v>
      </c>
      <c r="M182" t="str">
        <f>HYPERLINK("../../3.KEGG_map/SCI_III-vs-NC-Down/rno05014.html","rno05014")</f>
        <v>rno05014</v>
      </c>
    </row>
    <row r="183" spans="1:13" x14ac:dyDescent="0.25">
      <c r="A183" t="s">
        <v>494</v>
      </c>
      <c r="B183" t="s">
        <v>495</v>
      </c>
      <c r="C183" t="s">
        <v>115</v>
      </c>
      <c r="D183" t="s">
        <v>490</v>
      </c>
      <c r="E183">
        <v>1</v>
      </c>
      <c r="F183">
        <v>235</v>
      </c>
      <c r="G183">
        <v>181</v>
      </c>
      <c r="H183">
        <v>7679</v>
      </c>
      <c r="I183">
        <v>0.99663293750545801</v>
      </c>
      <c r="J183">
        <v>0.99999999999839395</v>
      </c>
      <c r="K183">
        <v>0.18053367814740801</v>
      </c>
      <c r="L183" t="s">
        <v>1796</v>
      </c>
      <c r="M183" t="str">
        <f>HYPERLINK("../../3.KEGG_map/SCI_III-vs-NC-Down/rno05016.html","rno05016")</f>
        <v>rno05016</v>
      </c>
    </row>
    <row r="184" spans="1:13" x14ac:dyDescent="0.25">
      <c r="A184" t="s">
        <v>1337</v>
      </c>
      <c r="B184" t="s">
        <v>1338</v>
      </c>
      <c r="C184" t="s">
        <v>115</v>
      </c>
      <c r="D184" t="s">
        <v>490</v>
      </c>
      <c r="E184">
        <v>4</v>
      </c>
      <c r="F184">
        <v>235</v>
      </c>
      <c r="G184">
        <v>34</v>
      </c>
      <c r="H184">
        <v>7679</v>
      </c>
      <c r="I184">
        <v>1.9299433913498799E-2</v>
      </c>
      <c r="J184">
        <v>0.31064013343134</v>
      </c>
      <c r="K184">
        <v>3.84430538172716</v>
      </c>
      <c r="L184" t="s">
        <v>1797</v>
      </c>
      <c r="M184" t="str">
        <f>HYPERLINK("../../3.KEGG_map/SCI_III-vs-NC-Down/rno05020.html","rno05020")</f>
        <v>rno05020</v>
      </c>
    </row>
    <row r="185" spans="1:13" x14ac:dyDescent="0.25">
      <c r="A185" t="s">
        <v>496</v>
      </c>
      <c r="B185" t="s">
        <v>497</v>
      </c>
      <c r="C185" t="s">
        <v>115</v>
      </c>
      <c r="D185" t="s">
        <v>498</v>
      </c>
      <c r="E185">
        <v>6</v>
      </c>
      <c r="F185">
        <v>235</v>
      </c>
      <c r="G185">
        <v>47</v>
      </c>
      <c r="H185">
        <v>7679</v>
      </c>
      <c r="I185">
        <v>2.8932864053727901E-3</v>
      </c>
      <c r="J185">
        <v>9.7131757894658097E-2</v>
      </c>
      <c r="K185">
        <v>4.1714803078316001</v>
      </c>
      <c r="L185" t="s">
        <v>1798</v>
      </c>
      <c r="M185" t="str">
        <f>HYPERLINK("../../3.KEGG_map/SCI_III-vs-NC-Down/rno05030.html","rno05030")</f>
        <v>rno05030</v>
      </c>
    </row>
    <row r="186" spans="1:13" x14ac:dyDescent="0.25">
      <c r="A186" t="s">
        <v>499</v>
      </c>
      <c r="B186" t="s">
        <v>500</v>
      </c>
      <c r="C186" t="s">
        <v>115</v>
      </c>
      <c r="D186" t="s">
        <v>498</v>
      </c>
      <c r="E186">
        <v>9</v>
      </c>
      <c r="F186">
        <v>235</v>
      </c>
      <c r="G186">
        <v>66</v>
      </c>
      <c r="H186">
        <v>7679</v>
      </c>
      <c r="I186">
        <v>1.6331552531979001E-4</v>
      </c>
      <c r="J186">
        <v>1.2793049483383501E-2</v>
      </c>
      <c r="K186">
        <v>4.4558994197292101</v>
      </c>
      <c r="L186" t="s">
        <v>1799</v>
      </c>
      <c r="M186" t="str">
        <f>HYPERLINK("../../3.KEGG_map/SCI_III-vs-NC-Down/rno05031.html","rno05031")</f>
        <v>rno05031</v>
      </c>
    </row>
    <row r="187" spans="1:13" x14ac:dyDescent="0.25">
      <c r="A187" t="s">
        <v>1031</v>
      </c>
      <c r="B187" t="s">
        <v>1032</v>
      </c>
      <c r="C187" t="s">
        <v>115</v>
      </c>
      <c r="D187" t="s">
        <v>498</v>
      </c>
      <c r="E187">
        <v>6</v>
      </c>
      <c r="F187">
        <v>235</v>
      </c>
      <c r="G187">
        <v>90</v>
      </c>
      <c r="H187">
        <v>7679</v>
      </c>
      <c r="I187">
        <v>5.7162232895606097E-2</v>
      </c>
      <c r="J187">
        <v>0.39156381134665902</v>
      </c>
      <c r="K187">
        <v>2.1784397163120599</v>
      </c>
      <c r="L187" t="s">
        <v>1800</v>
      </c>
      <c r="M187" t="str">
        <f>HYPERLINK("../../3.KEGG_map/SCI_III-vs-NC-Down/rno05032.html","rno05032")</f>
        <v>rno05032</v>
      </c>
    </row>
    <row r="188" spans="1:13" x14ac:dyDescent="0.25">
      <c r="A188" t="s">
        <v>1343</v>
      </c>
      <c r="B188" t="s">
        <v>1344</v>
      </c>
      <c r="C188" t="s">
        <v>115</v>
      </c>
      <c r="D188" t="s">
        <v>498</v>
      </c>
      <c r="E188">
        <v>6</v>
      </c>
      <c r="F188">
        <v>235</v>
      </c>
      <c r="G188">
        <v>40</v>
      </c>
      <c r="H188">
        <v>7679</v>
      </c>
      <c r="I188">
        <v>1.23585459605298E-3</v>
      </c>
      <c r="J188">
        <v>5.8085166014489903E-2</v>
      </c>
      <c r="K188">
        <v>4.9014893617021302</v>
      </c>
      <c r="L188" t="s">
        <v>1801</v>
      </c>
      <c r="M188" t="str">
        <f>HYPERLINK("../../3.KEGG_map/SCI_III-vs-NC-Down/rno05033.html","rno05033")</f>
        <v>rno05033</v>
      </c>
    </row>
    <row r="189" spans="1:13" x14ac:dyDescent="0.25">
      <c r="A189" t="s">
        <v>502</v>
      </c>
      <c r="B189" t="s">
        <v>503</v>
      </c>
      <c r="C189" t="s">
        <v>115</v>
      </c>
      <c r="D189" t="s">
        <v>498</v>
      </c>
      <c r="E189">
        <v>8</v>
      </c>
      <c r="F189">
        <v>235</v>
      </c>
      <c r="G189">
        <v>143</v>
      </c>
      <c r="H189">
        <v>7679</v>
      </c>
      <c r="I189">
        <v>7.17399569586709E-2</v>
      </c>
      <c r="J189">
        <v>0.44561456647303499</v>
      </c>
      <c r="K189">
        <v>1.8280613004017301</v>
      </c>
      <c r="L189" t="s">
        <v>1802</v>
      </c>
      <c r="M189" t="str">
        <f>HYPERLINK("../../3.KEGG_map/SCI_III-vs-NC-Down/rno05034.html","rno05034")</f>
        <v>rno05034</v>
      </c>
    </row>
    <row r="190" spans="1:13" x14ac:dyDescent="0.25">
      <c r="A190" t="s">
        <v>508</v>
      </c>
      <c r="B190" t="s">
        <v>509</v>
      </c>
      <c r="C190" t="s">
        <v>115</v>
      </c>
      <c r="D190" t="s">
        <v>506</v>
      </c>
      <c r="E190">
        <v>1</v>
      </c>
      <c r="F190">
        <v>235</v>
      </c>
      <c r="G190">
        <v>80</v>
      </c>
      <c r="H190">
        <v>7679</v>
      </c>
      <c r="I190">
        <v>0.91787905410271298</v>
      </c>
      <c r="J190">
        <v>0.99999999999839395</v>
      </c>
      <c r="K190">
        <v>0.40845744680851098</v>
      </c>
      <c r="L190" t="s">
        <v>1738</v>
      </c>
      <c r="M190" t="str">
        <f>HYPERLINK("../../3.KEGG_map/SCI_III-vs-NC-Down/rno05132.html","rno05132")</f>
        <v>rno05132</v>
      </c>
    </row>
    <row r="191" spans="1:13" x14ac:dyDescent="0.25">
      <c r="A191" t="s">
        <v>511</v>
      </c>
      <c r="B191" t="s">
        <v>512</v>
      </c>
      <c r="C191" t="s">
        <v>115</v>
      </c>
      <c r="D191" t="s">
        <v>506</v>
      </c>
      <c r="E191">
        <v>1</v>
      </c>
      <c r="F191">
        <v>235</v>
      </c>
      <c r="G191">
        <v>72</v>
      </c>
      <c r="H191">
        <v>7679</v>
      </c>
      <c r="I191">
        <v>0.89443264201290995</v>
      </c>
      <c r="J191">
        <v>0.99999999999839395</v>
      </c>
      <c r="K191">
        <v>0.45384160756501202</v>
      </c>
      <c r="L191" t="s">
        <v>1738</v>
      </c>
      <c r="M191" t="str">
        <f>HYPERLINK("../../3.KEGG_map/SCI_III-vs-NC-Down/rno05133.html","rno05133")</f>
        <v>rno05133</v>
      </c>
    </row>
    <row r="192" spans="1:13" x14ac:dyDescent="0.25">
      <c r="A192" t="s">
        <v>517</v>
      </c>
      <c r="B192" t="s">
        <v>518</v>
      </c>
      <c r="C192" t="s">
        <v>115</v>
      </c>
      <c r="D192" t="s">
        <v>519</v>
      </c>
      <c r="E192">
        <v>2</v>
      </c>
      <c r="F192">
        <v>235</v>
      </c>
      <c r="G192">
        <v>65</v>
      </c>
      <c r="H192">
        <v>7679</v>
      </c>
      <c r="I192">
        <v>0.59637034988730397</v>
      </c>
      <c r="J192">
        <v>0.99999999999839395</v>
      </c>
      <c r="K192">
        <v>1.00543371522095</v>
      </c>
      <c r="L192" t="s">
        <v>1803</v>
      </c>
      <c r="M192" t="str">
        <f>HYPERLINK("../../3.KEGG_map/SCI_III-vs-NC-Down/rno05140.html","rno05140")</f>
        <v>rno05140</v>
      </c>
    </row>
    <row r="193" spans="1:13" x14ac:dyDescent="0.25">
      <c r="A193" t="s">
        <v>521</v>
      </c>
      <c r="B193" t="s">
        <v>522</v>
      </c>
      <c r="C193" t="s">
        <v>115</v>
      </c>
      <c r="D193" t="s">
        <v>519</v>
      </c>
      <c r="E193">
        <v>2</v>
      </c>
      <c r="F193">
        <v>235</v>
      </c>
      <c r="G193">
        <v>101</v>
      </c>
      <c r="H193">
        <v>7679</v>
      </c>
      <c r="I193">
        <v>0.82048173192869001</v>
      </c>
      <c r="J193">
        <v>0.99999999999839395</v>
      </c>
      <c r="K193">
        <v>0.64706130187486799</v>
      </c>
      <c r="L193" t="s">
        <v>1804</v>
      </c>
      <c r="M193" t="str">
        <f>HYPERLINK("../../3.KEGG_map/SCI_III-vs-NC-Down/rno05142.html","rno05142")</f>
        <v>rno05142</v>
      </c>
    </row>
    <row r="194" spans="1:13" x14ac:dyDescent="0.25">
      <c r="A194" t="s">
        <v>527</v>
      </c>
      <c r="B194" t="s">
        <v>528</v>
      </c>
      <c r="C194" t="s">
        <v>115</v>
      </c>
      <c r="D194" t="s">
        <v>519</v>
      </c>
      <c r="E194">
        <v>1</v>
      </c>
      <c r="F194">
        <v>235</v>
      </c>
      <c r="G194">
        <v>52</v>
      </c>
      <c r="H194">
        <v>7679</v>
      </c>
      <c r="I194">
        <v>0.80243502275047296</v>
      </c>
      <c r="J194">
        <v>0.99999999999839395</v>
      </c>
      <c r="K194">
        <v>0.628396072013093</v>
      </c>
      <c r="L194" t="s">
        <v>1805</v>
      </c>
      <c r="M194" t="str">
        <f>HYPERLINK("../../3.KEGG_map/SCI_III-vs-NC-Down/rno05144.html","rno05144")</f>
        <v>rno05144</v>
      </c>
    </row>
    <row r="195" spans="1:13" x14ac:dyDescent="0.25">
      <c r="A195" t="s">
        <v>533</v>
      </c>
      <c r="B195" t="s">
        <v>534</v>
      </c>
      <c r="C195" t="s">
        <v>115</v>
      </c>
      <c r="D195" t="s">
        <v>519</v>
      </c>
      <c r="E195">
        <v>2</v>
      </c>
      <c r="F195">
        <v>235</v>
      </c>
      <c r="G195">
        <v>96</v>
      </c>
      <c r="H195">
        <v>7679</v>
      </c>
      <c r="I195">
        <v>0.79791885573047705</v>
      </c>
      <c r="J195">
        <v>0.99999999999839395</v>
      </c>
      <c r="K195">
        <v>0.68076241134751803</v>
      </c>
      <c r="L195" t="s">
        <v>1806</v>
      </c>
      <c r="M195" t="str">
        <f>HYPERLINK("../../3.KEGG_map/SCI_III-vs-NC-Down/rno05146.html","rno05146")</f>
        <v>rno05146</v>
      </c>
    </row>
    <row r="196" spans="1:13" x14ac:dyDescent="0.25">
      <c r="A196" t="s">
        <v>536</v>
      </c>
      <c r="B196" t="s">
        <v>537</v>
      </c>
      <c r="C196" t="s">
        <v>115</v>
      </c>
      <c r="D196" t="s">
        <v>506</v>
      </c>
      <c r="E196">
        <v>2</v>
      </c>
      <c r="F196">
        <v>235</v>
      </c>
      <c r="G196">
        <v>46</v>
      </c>
      <c r="H196">
        <v>7679</v>
      </c>
      <c r="I196">
        <v>0.413408503029706</v>
      </c>
      <c r="J196">
        <v>0.97502504295347703</v>
      </c>
      <c r="K196">
        <v>1.4207215541165601</v>
      </c>
      <c r="L196" t="s">
        <v>1807</v>
      </c>
      <c r="M196" t="str">
        <f>HYPERLINK("../../3.KEGG_map/SCI_III-vs-NC-Down/rno05150.html","rno05150")</f>
        <v>rno05150</v>
      </c>
    </row>
    <row r="197" spans="1:13" x14ac:dyDescent="0.25">
      <c r="A197" t="s">
        <v>538</v>
      </c>
      <c r="B197" t="s">
        <v>539</v>
      </c>
      <c r="C197" t="s">
        <v>115</v>
      </c>
      <c r="D197" t="s">
        <v>506</v>
      </c>
      <c r="E197">
        <v>6</v>
      </c>
      <c r="F197">
        <v>235</v>
      </c>
      <c r="G197">
        <v>169</v>
      </c>
      <c r="H197">
        <v>7679</v>
      </c>
      <c r="I197">
        <v>0.41490427359722398</v>
      </c>
      <c r="J197">
        <v>0.97502504295347703</v>
      </c>
      <c r="K197">
        <v>1.1601158252549399</v>
      </c>
      <c r="L197" t="s">
        <v>1808</v>
      </c>
      <c r="M197" t="str">
        <f>HYPERLINK("../../3.KEGG_map/SCI_III-vs-NC-Down/rno05152.html","rno05152")</f>
        <v>rno05152</v>
      </c>
    </row>
    <row r="198" spans="1:13" x14ac:dyDescent="0.25">
      <c r="A198" t="s">
        <v>540</v>
      </c>
      <c r="B198" t="s">
        <v>541</v>
      </c>
      <c r="C198" t="s">
        <v>115</v>
      </c>
      <c r="D198" t="s">
        <v>542</v>
      </c>
      <c r="E198">
        <v>1</v>
      </c>
      <c r="F198">
        <v>235</v>
      </c>
      <c r="G198">
        <v>122</v>
      </c>
      <c r="H198">
        <v>7679</v>
      </c>
      <c r="I198">
        <v>0.97812813156005696</v>
      </c>
      <c r="J198">
        <v>0.99999999999839395</v>
      </c>
      <c r="K198">
        <v>0.26784094872689201</v>
      </c>
      <c r="L198" t="s">
        <v>1809</v>
      </c>
      <c r="M198" t="str">
        <f>HYPERLINK("../../3.KEGG_map/SCI_III-vs-NC-Down/rno05160.html","rno05160")</f>
        <v>rno05160</v>
      </c>
    </row>
    <row r="199" spans="1:13" x14ac:dyDescent="0.25">
      <c r="A199" t="s">
        <v>544</v>
      </c>
      <c r="B199" t="s">
        <v>545</v>
      </c>
      <c r="C199" t="s">
        <v>115</v>
      </c>
      <c r="D199" t="s">
        <v>542</v>
      </c>
      <c r="E199">
        <v>2</v>
      </c>
      <c r="F199">
        <v>235</v>
      </c>
      <c r="G199">
        <v>134</v>
      </c>
      <c r="H199">
        <v>7679</v>
      </c>
      <c r="I199">
        <v>0.92056831297016894</v>
      </c>
      <c r="J199">
        <v>0.99999999999839395</v>
      </c>
      <c r="K199">
        <v>0.48771038424896801</v>
      </c>
      <c r="L199" t="s">
        <v>1810</v>
      </c>
      <c r="M199" t="str">
        <f>HYPERLINK("../../3.KEGG_map/SCI_III-vs-NC-Down/rno05161.html","rno05161")</f>
        <v>rno05161</v>
      </c>
    </row>
    <row r="200" spans="1:13" x14ac:dyDescent="0.25">
      <c r="A200" t="s">
        <v>547</v>
      </c>
      <c r="B200" t="s">
        <v>548</v>
      </c>
      <c r="C200" t="s">
        <v>115</v>
      </c>
      <c r="D200" t="s">
        <v>542</v>
      </c>
      <c r="E200">
        <v>3</v>
      </c>
      <c r="F200">
        <v>235</v>
      </c>
      <c r="G200">
        <v>125</v>
      </c>
      <c r="H200">
        <v>7679</v>
      </c>
      <c r="I200">
        <v>0.74206519300818197</v>
      </c>
      <c r="J200">
        <v>0.99999999999839395</v>
      </c>
      <c r="K200">
        <v>0.78423829787234001</v>
      </c>
      <c r="L200" t="s">
        <v>1811</v>
      </c>
      <c r="M200" t="str">
        <f>HYPERLINK("../../3.KEGG_map/SCI_III-vs-NC-Down/rno05162.html","rno05162")</f>
        <v>rno05162</v>
      </c>
    </row>
    <row r="201" spans="1:13" x14ac:dyDescent="0.25">
      <c r="A201" t="s">
        <v>552</v>
      </c>
      <c r="B201" t="s">
        <v>553</v>
      </c>
      <c r="C201" t="s">
        <v>115</v>
      </c>
      <c r="D201" t="s">
        <v>542</v>
      </c>
      <c r="E201">
        <v>6</v>
      </c>
      <c r="F201">
        <v>235</v>
      </c>
      <c r="G201">
        <v>327</v>
      </c>
      <c r="H201">
        <v>7679</v>
      </c>
      <c r="I201">
        <v>0.94001769792399203</v>
      </c>
      <c r="J201">
        <v>0.99999999999839395</v>
      </c>
      <c r="K201">
        <v>0.59957056412258403</v>
      </c>
      <c r="L201" t="s">
        <v>1812</v>
      </c>
      <c r="M201" t="str">
        <f>HYPERLINK("../../3.KEGG_map/SCI_III-vs-NC-Down/rno05165.html","rno05165")</f>
        <v>rno05165</v>
      </c>
    </row>
    <row r="202" spans="1:13" x14ac:dyDescent="0.25">
      <c r="A202" t="s">
        <v>555</v>
      </c>
      <c r="B202" t="s">
        <v>556</v>
      </c>
      <c r="C202" t="s">
        <v>115</v>
      </c>
      <c r="D202" t="s">
        <v>542</v>
      </c>
      <c r="E202">
        <v>8</v>
      </c>
      <c r="F202">
        <v>235</v>
      </c>
      <c r="G202">
        <v>269</v>
      </c>
      <c r="H202">
        <v>7679</v>
      </c>
      <c r="I202">
        <v>0.58449745115712803</v>
      </c>
      <c r="J202">
        <v>0.99999999999839395</v>
      </c>
      <c r="K202">
        <v>0.97179466898679101</v>
      </c>
      <c r="L202" t="s">
        <v>1813</v>
      </c>
      <c r="M202" t="str">
        <f>HYPERLINK("../../3.KEGG_map/SCI_III-vs-NC-Down/rno05166.html","rno05166")</f>
        <v>rno05166</v>
      </c>
    </row>
    <row r="203" spans="1:13" x14ac:dyDescent="0.25">
      <c r="A203" t="s">
        <v>558</v>
      </c>
      <c r="B203" t="s">
        <v>559</v>
      </c>
      <c r="C203" t="s">
        <v>115</v>
      </c>
      <c r="D203" t="s">
        <v>542</v>
      </c>
      <c r="E203">
        <v>2</v>
      </c>
      <c r="F203">
        <v>235</v>
      </c>
      <c r="G203">
        <v>194</v>
      </c>
      <c r="H203">
        <v>7679</v>
      </c>
      <c r="I203">
        <v>0.98378578749685797</v>
      </c>
      <c r="J203">
        <v>0.99999999999839395</v>
      </c>
      <c r="K203">
        <v>0.33687212107918402</v>
      </c>
      <c r="L203" t="s">
        <v>1745</v>
      </c>
      <c r="M203" t="str">
        <f>HYPERLINK("../../3.KEGG_map/SCI_III-vs-NC-Down/rno05167.html","rno05167")</f>
        <v>rno05167</v>
      </c>
    </row>
    <row r="204" spans="1:13" x14ac:dyDescent="0.25">
      <c r="A204" t="s">
        <v>560</v>
      </c>
      <c r="B204" t="s">
        <v>561</v>
      </c>
      <c r="C204" t="s">
        <v>115</v>
      </c>
      <c r="D204" t="s">
        <v>542</v>
      </c>
      <c r="E204">
        <v>1</v>
      </c>
      <c r="F204">
        <v>235</v>
      </c>
      <c r="G204">
        <v>190</v>
      </c>
      <c r="H204">
        <v>7679</v>
      </c>
      <c r="I204">
        <v>0.99747233723582696</v>
      </c>
      <c r="J204">
        <v>0.99999999999839395</v>
      </c>
      <c r="K204">
        <v>0.17198208286674099</v>
      </c>
      <c r="L204" t="s">
        <v>1738</v>
      </c>
      <c r="M204" t="str">
        <f>HYPERLINK("../../3.KEGG_map/SCI_III-vs-NC-Down/rno05168.html","rno05168")</f>
        <v>rno05168</v>
      </c>
    </row>
    <row r="205" spans="1:13" x14ac:dyDescent="0.25">
      <c r="A205" t="s">
        <v>562</v>
      </c>
      <c r="B205" t="s">
        <v>563</v>
      </c>
      <c r="C205" t="s">
        <v>115</v>
      </c>
      <c r="D205" t="s">
        <v>542</v>
      </c>
      <c r="E205">
        <v>1</v>
      </c>
      <c r="F205">
        <v>235</v>
      </c>
      <c r="G205">
        <v>204</v>
      </c>
      <c r="H205">
        <v>7679</v>
      </c>
      <c r="I205">
        <v>0.99838303711357701</v>
      </c>
      <c r="J205">
        <v>0.99999999999839395</v>
      </c>
      <c r="K205">
        <v>0.16017939090529801</v>
      </c>
      <c r="L205" t="s">
        <v>1639</v>
      </c>
      <c r="M205" t="str">
        <f>HYPERLINK("../../3.KEGG_map/SCI_III-vs-NC-Down/rno05169.html","rno05169")</f>
        <v>rno05169</v>
      </c>
    </row>
    <row r="206" spans="1:13" x14ac:dyDescent="0.25">
      <c r="A206" t="s">
        <v>564</v>
      </c>
      <c r="B206" t="s">
        <v>565</v>
      </c>
      <c r="C206" t="s">
        <v>115</v>
      </c>
      <c r="D206" t="s">
        <v>566</v>
      </c>
      <c r="E206">
        <v>15</v>
      </c>
      <c r="F206">
        <v>235</v>
      </c>
      <c r="G206">
        <v>508</v>
      </c>
      <c r="H206">
        <v>7679</v>
      </c>
      <c r="I206">
        <v>0.59668615438439299</v>
      </c>
      <c r="J206">
        <v>0.99999999999839395</v>
      </c>
      <c r="K206">
        <v>0.96486011057128496</v>
      </c>
      <c r="L206" t="s">
        <v>1814</v>
      </c>
      <c r="M206" t="str">
        <f>HYPERLINK("../../3.KEGG_map/SCI_III-vs-NC-Down/rno05200.html","rno05200")</f>
        <v>rno05200</v>
      </c>
    </row>
    <row r="207" spans="1:13" x14ac:dyDescent="0.25">
      <c r="A207" t="s">
        <v>568</v>
      </c>
      <c r="B207" t="s">
        <v>569</v>
      </c>
      <c r="C207" t="s">
        <v>115</v>
      </c>
      <c r="D207" t="s">
        <v>566</v>
      </c>
      <c r="E207">
        <v>5</v>
      </c>
      <c r="F207">
        <v>235</v>
      </c>
      <c r="G207">
        <v>168</v>
      </c>
      <c r="H207">
        <v>7679</v>
      </c>
      <c r="I207">
        <v>0.58909203726152204</v>
      </c>
      <c r="J207">
        <v>0.99999999999839395</v>
      </c>
      <c r="K207">
        <v>0.97251773049645396</v>
      </c>
      <c r="L207" t="s">
        <v>1815</v>
      </c>
      <c r="M207" t="str">
        <f>HYPERLINK("../../3.KEGG_map/SCI_III-vs-NC-Down/rno05202.html","rno05202")</f>
        <v>rno05202</v>
      </c>
    </row>
    <row r="208" spans="1:13" x14ac:dyDescent="0.25">
      <c r="A208" t="s">
        <v>571</v>
      </c>
      <c r="B208" t="s">
        <v>572</v>
      </c>
      <c r="C208" t="s">
        <v>115</v>
      </c>
      <c r="D208" t="s">
        <v>566</v>
      </c>
      <c r="E208">
        <v>4</v>
      </c>
      <c r="F208">
        <v>235</v>
      </c>
      <c r="G208">
        <v>201</v>
      </c>
      <c r="H208">
        <v>7679</v>
      </c>
      <c r="I208">
        <v>0.86920041931040903</v>
      </c>
      <c r="J208">
        <v>0.99999999999839395</v>
      </c>
      <c r="K208">
        <v>0.65028051233195705</v>
      </c>
      <c r="L208" t="s">
        <v>1816</v>
      </c>
      <c r="M208" t="str">
        <f>HYPERLINK("../../3.KEGG_map/SCI_III-vs-NC-Down/rno05203.html","rno05203")</f>
        <v>rno05203</v>
      </c>
    </row>
    <row r="209" spans="1:13" x14ac:dyDescent="0.25">
      <c r="A209" t="s">
        <v>573</v>
      </c>
      <c r="B209" t="s">
        <v>574</v>
      </c>
      <c r="C209" t="s">
        <v>115</v>
      </c>
      <c r="D209" t="s">
        <v>566</v>
      </c>
      <c r="E209">
        <v>3</v>
      </c>
      <c r="F209">
        <v>235</v>
      </c>
      <c r="G209">
        <v>85</v>
      </c>
      <c r="H209">
        <v>7679</v>
      </c>
      <c r="I209">
        <v>0.48503865542256702</v>
      </c>
      <c r="J209">
        <v>0.99999999999839395</v>
      </c>
      <c r="K209">
        <v>1.15329161451815</v>
      </c>
      <c r="L209" t="s">
        <v>1817</v>
      </c>
      <c r="M209" t="str">
        <f>HYPERLINK("../../3.KEGG_map/SCI_III-vs-NC-Down/rno05204.html","rno05204")</f>
        <v>rno05204</v>
      </c>
    </row>
    <row r="210" spans="1:13" x14ac:dyDescent="0.25">
      <c r="A210" t="s">
        <v>575</v>
      </c>
      <c r="B210" t="s">
        <v>576</v>
      </c>
      <c r="C210" t="s">
        <v>115</v>
      </c>
      <c r="D210" t="s">
        <v>566</v>
      </c>
      <c r="E210">
        <v>4</v>
      </c>
      <c r="F210">
        <v>235</v>
      </c>
      <c r="G210">
        <v>198</v>
      </c>
      <c r="H210">
        <v>7679</v>
      </c>
      <c r="I210">
        <v>0.86151323898854404</v>
      </c>
      <c r="J210">
        <v>0.99999999999839395</v>
      </c>
      <c r="K210">
        <v>0.66013324736728995</v>
      </c>
      <c r="L210" t="s">
        <v>1818</v>
      </c>
      <c r="M210" t="str">
        <f>HYPERLINK("../../3.KEGG_map/SCI_III-vs-NC-Down/rno05205.html","rno05205")</f>
        <v>rno05205</v>
      </c>
    </row>
    <row r="211" spans="1:13" x14ac:dyDescent="0.25">
      <c r="A211" t="s">
        <v>578</v>
      </c>
      <c r="B211" t="s">
        <v>579</v>
      </c>
      <c r="C211" t="s">
        <v>115</v>
      </c>
      <c r="D211" t="s">
        <v>566</v>
      </c>
      <c r="E211">
        <v>4</v>
      </c>
      <c r="F211">
        <v>235</v>
      </c>
      <c r="G211">
        <v>141</v>
      </c>
      <c r="H211">
        <v>7679</v>
      </c>
      <c r="I211">
        <v>0.63136323577201503</v>
      </c>
      <c r="J211">
        <v>0.99999999999839395</v>
      </c>
      <c r="K211">
        <v>0.92699562396257695</v>
      </c>
      <c r="L211" t="s">
        <v>1819</v>
      </c>
      <c r="M211" t="str">
        <f>HYPERLINK("../../3.KEGG_map/SCI_III-vs-NC-Down/rno05206.html","rno05206")</f>
        <v>rno05206</v>
      </c>
    </row>
    <row r="212" spans="1:13" x14ac:dyDescent="0.25">
      <c r="A212" t="s">
        <v>581</v>
      </c>
      <c r="B212" t="s">
        <v>582</v>
      </c>
      <c r="C212" t="s">
        <v>115</v>
      </c>
      <c r="D212" t="s">
        <v>583</v>
      </c>
      <c r="E212">
        <v>1</v>
      </c>
      <c r="F212">
        <v>235</v>
      </c>
      <c r="G212">
        <v>86</v>
      </c>
      <c r="H212">
        <v>7679</v>
      </c>
      <c r="I212">
        <v>0.93199034303696304</v>
      </c>
      <c r="J212">
        <v>0.99999999999839395</v>
      </c>
      <c r="K212">
        <v>0.379960415635824</v>
      </c>
      <c r="L212" t="s">
        <v>1738</v>
      </c>
      <c r="M212" t="str">
        <f>HYPERLINK("../../3.KEGG_map/SCI_III-vs-NC-Down/rno05210.html","rno05210")</f>
        <v>rno05210</v>
      </c>
    </row>
    <row r="213" spans="1:13" x14ac:dyDescent="0.25">
      <c r="A213" t="s">
        <v>585</v>
      </c>
      <c r="B213" t="s">
        <v>586</v>
      </c>
      <c r="C213" t="s">
        <v>115</v>
      </c>
      <c r="D213" t="s">
        <v>583</v>
      </c>
      <c r="E213">
        <v>1</v>
      </c>
      <c r="F213">
        <v>235</v>
      </c>
      <c r="G213">
        <v>66</v>
      </c>
      <c r="H213">
        <v>7679</v>
      </c>
      <c r="I213">
        <v>0.872573429570346</v>
      </c>
      <c r="J213">
        <v>0.99999999999839395</v>
      </c>
      <c r="K213">
        <v>0.49509993552546699</v>
      </c>
      <c r="L213" t="s">
        <v>1691</v>
      </c>
      <c r="M213" t="str">
        <f>HYPERLINK("../../3.KEGG_map/SCI_III-vs-NC-Down/rno05211.html","rno05211")</f>
        <v>rno05211</v>
      </c>
    </row>
    <row r="214" spans="1:13" x14ac:dyDescent="0.25">
      <c r="A214" t="s">
        <v>588</v>
      </c>
      <c r="B214" t="s">
        <v>589</v>
      </c>
      <c r="C214" t="s">
        <v>115</v>
      </c>
      <c r="D214" t="s">
        <v>583</v>
      </c>
      <c r="E214">
        <v>1</v>
      </c>
      <c r="F214">
        <v>235</v>
      </c>
      <c r="G214">
        <v>74</v>
      </c>
      <c r="H214">
        <v>7679</v>
      </c>
      <c r="I214">
        <v>0.90085480914967497</v>
      </c>
      <c r="J214">
        <v>0.99999999999839395</v>
      </c>
      <c r="K214">
        <v>0.44157561817136298</v>
      </c>
      <c r="L214" t="s">
        <v>1820</v>
      </c>
      <c r="M214" t="str">
        <f>HYPERLINK("../../3.KEGG_map/SCI_III-vs-NC-Down/rno05212.html","rno05212")</f>
        <v>rno05212</v>
      </c>
    </row>
    <row r="215" spans="1:13" x14ac:dyDescent="0.25">
      <c r="A215" t="s">
        <v>593</v>
      </c>
      <c r="B215" t="s">
        <v>594</v>
      </c>
      <c r="C215" t="s">
        <v>115</v>
      </c>
      <c r="D215" t="s">
        <v>583</v>
      </c>
      <c r="E215">
        <v>1</v>
      </c>
      <c r="F215">
        <v>235</v>
      </c>
      <c r="G215">
        <v>71</v>
      </c>
      <c r="H215">
        <v>7679</v>
      </c>
      <c r="I215">
        <v>0.89106788829977202</v>
      </c>
      <c r="J215">
        <v>0.99999999999839395</v>
      </c>
      <c r="K215">
        <v>0.46023374288282898</v>
      </c>
      <c r="L215" t="s">
        <v>1820</v>
      </c>
      <c r="M215" t="str">
        <f>HYPERLINK("../../3.KEGG_map/SCI_III-vs-NC-Down/rno05214.html","rno05214")</f>
        <v>rno05214</v>
      </c>
    </row>
    <row r="216" spans="1:13" x14ac:dyDescent="0.25">
      <c r="A216" t="s">
        <v>595</v>
      </c>
      <c r="B216" t="s">
        <v>596</v>
      </c>
      <c r="C216" t="s">
        <v>115</v>
      </c>
      <c r="D216" t="s">
        <v>583</v>
      </c>
      <c r="E216">
        <v>1</v>
      </c>
      <c r="F216">
        <v>235</v>
      </c>
      <c r="G216">
        <v>96</v>
      </c>
      <c r="H216">
        <v>7679</v>
      </c>
      <c r="I216">
        <v>0.95034623928460604</v>
      </c>
      <c r="J216">
        <v>0.99999999999839395</v>
      </c>
      <c r="K216">
        <v>0.34038120567375901</v>
      </c>
      <c r="L216" t="s">
        <v>1821</v>
      </c>
      <c r="M216" t="str">
        <f>HYPERLINK("../../3.KEGG_map/SCI_III-vs-NC-Down/rno05215.html","rno05215")</f>
        <v>rno05215</v>
      </c>
    </row>
    <row r="217" spans="1:13" x14ac:dyDescent="0.25">
      <c r="A217" t="s">
        <v>1055</v>
      </c>
      <c r="B217" t="s">
        <v>1056</v>
      </c>
      <c r="C217" t="s">
        <v>115</v>
      </c>
      <c r="D217" t="s">
        <v>583</v>
      </c>
      <c r="E217">
        <v>1</v>
      </c>
      <c r="F217">
        <v>235</v>
      </c>
      <c r="G217">
        <v>37</v>
      </c>
      <c r="H217">
        <v>7679</v>
      </c>
      <c r="I217">
        <v>0.68423073878863205</v>
      </c>
      <c r="J217">
        <v>0.99999999999839395</v>
      </c>
      <c r="K217">
        <v>0.88315123634272596</v>
      </c>
      <c r="L217" t="s">
        <v>1369</v>
      </c>
      <c r="M217" t="str">
        <f>HYPERLINK("../../3.KEGG_map/SCI_III-vs-NC-Down/rno05216.html","rno05216")</f>
        <v>rno05216</v>
      </c>
    </row>
    <row r="218" spans="1:13" x14ac:dyDescent="0.25">
      <c r="A218" t="s">
        <v>858</v>
      </c>
      <c r="B218" t="s">
        <v>859</v>
      </c>
      <c r="C218" t="s">
        <v>115</v>
      </c>
      <c r="D218" t="s">
        <v>583</v>
      </c>
      <c r="E218">
        <v>1</v>
      </c>
      <c r="F218">
        <v>235</v>
      </c>
      <c r="G218">
        <v>60</v>
      </c>
      <c r="H218">
        <v>7679</v>
      </c>
      <c r="I218">
        <v>0.84621112044591495</v>
      </c>
      <c r="J218">
        <v>0.99999999999839395</v>
      </c>
      <c r="K218">
        <v>0.54460992907801398</v>
      </c>
      <c r="L218" t="s">
        <v>1770</v>
      </c>
      <c r="M218" t="str">
        <f>HYPERLINK("../../3.KEGG_map/SCI_III-vs-NC-Down/rno05217.html","rno05217")</f>
        <v>rno05217</v>
      </c>
    </row>
    <row r="219" spans="1:13" x14ac:dyDescent="0.25">
      <c r="A219" t="s">
        <v>598</v>
      </c>
      <c r="B219" t="s">
        <v>599</v>
      </c>
      <c r="C219" t="s">
        <v>115</v>
      </c>
      <c r="D219" t="s">
        <v>583</v>
      </c>
      <c r="E219">
        <v>2</v>
      </c>
      <c r="F219">
        <v>235</v>
      </c>
      <c r="G219">
        <v>72</v>
      </c>
      <c r="H219">
        <v>7679</v>
      </c>
      <c r="I219">
        <v>0.65217037466697803</v>
      </c>
      <c r="J219">
        <v>0.99999999999839395</v>
      </c>
      <c r="K219">
        <v>0.90768321513002403</v>
      </c>
      <c r="L219" t="s">
        <v>1822</v>
      </c>
      <c r="M219" t="str">
        <f>HYPERLINK("../../3.KEGG_map/SCI_III-vs-NC-Down/rno05218.html","rno05218")</f>
        <v>rno05218</v>
      </c>
    </row>
    <row r="220" spans="1:13" x14ac:dyDescent="0.25">
      <c r="A220" t="s">
        <v>600</v>
      </c>
      <c r="B220" t="s">
        <v>601</v>
      </c>
      <c r="C220" t="s">
        <v>115</v>
      </c>
      <c r="D220" t="s">
        <v>583</v>
      </c>
      <c r="E220">
        <v>1</v>
      </c>
      <c r="F220">
        <v>235</v>
      </c>
      <c r="G220">
        <v>40</v>
      </c>
      <c r="H220">
        <v>7679</v>
      </c>
      <c r="I220">
        <v>0.71247846746549803</v>
      </c>
      <c r="J220">
        <v>0.99999999999839395</v>
      </c>
      <c r="K220">
        <v>0.81691489361702097</v>
      </c>
      <c r="L220" t="s">
        <v>1820</v>
      </c>
      <c r="M220" t="str">
        <f>HYPERLINK("../../3.KEGG_map/SCI_III-vs-NC-Down/rno05219.html","rno05219")</f>
        <v>rno05219</v>
      </c>
    </row>
    <row r="221" spans="1:13" x14ac:dyDescent="0.25">
      <c r="A221" t="s">
        <v>862</v>
      </c>
      <c r="B221" t="s">
        <v>863</v>
      </c>
      <c r="C221" t="s">
        <v>115</v>
      </c>
      <c r="D221" t="s">
        <v>583</v>
      </c>
      <c r="E221">
        <v>1</v>
      </c>
      <c r="F221">
        <v>235</v>
      </c>
      <c r="G221">
        <v>77</v>
      </c>
      <c r="H221">
        <v>7679</v>
      </c>
      <c r="I221">
        <v>0.90976583629837304</v>
      </c>
      <c r="J221">
        <v>0.99999999999839395</v>
      </c>
      <c r="K221">
        <v>0.42437137330754399</v>
      </c>
      <c r="L221" t="s">
        <v>1820</v>
      </c>
      <c r="M221" t="str">
        <f>HYPERLINK("../../3.KEGG_map/SCI_III-vs-NC-Down/rno05220.html","rno05220")</f>
        <v>rno05220</v>
      </c>
    </row>
    <row r="222" spans="1:13" x14ac:dyDescent="0.25">
      <c r="A222" t="s">
        <v>603</v>
      </c>
      <c r="B222" t="s">
        <v>604</v>
      </c>
      <c r="C222" t="s">
        <v>115</v>
      </c>
      <c r="D222" t="s">
        <v>583</v>
      </c>
      <c r="E222">
        <v>1</v>
      </c>
      <c r="F222">
        <v>235</v>
      </c>
      <c r="G222">
        <v>91</v>
      </c>
      <c r="H222">
        <v>7679</v>
      </c>
      <c r="I222">
        <v>0.94188553720884105</v>
      </c>
      <c r="J222">
        <v>0.99999999999839395</v>
      </c>
      <c r="K222">
        <v>0.35908346972176802</v>
      </c>
      <c r="L222" t="s">
        <v>1369</v>
      </c>
      <c r="M222" t="str">
        <f>HYPERLINK("../../3.KEGG_map/SCI_III-vs-NC-Down/rno05222.html","rno05222")</f>
        <v>rno05222</v>
      </c>
    </row>
    <row r="223" spans="1:13" x14ac:dyDescent="0.25">
      <c r="A223" t="s">
        <v>868</v>
      </c>
      <c r="B223" t="s">
        <v>869</v>
      </c>
      <c r="C223" t="s">
        <v>115</v>
      </c>
      <c r="D223" t="s">
        <v>583</v>
      </c>
      <c r="E223">
        <v>3</v>
      </c>
      <c r="F223">
        <v>235</v>
      </c>
      <c r="G223">
        <v>66</v>
      </c>
      <c r="H223">
        <v>7679</v>
      </c>
      <c r="I223">
        <v>0.32872902128563902</v>
      </c>
      <c r="J223">
        <v>0.95379603369580901</v>
      </c>
      <c r="K223">
        <v>1.4852998065764</v>
      </c>
      <c r="L223" t="s">
        <v>1823</v>
      </c>
      <c r="M223" t="str">
        <f>HYPERLINK("../../3.KEGG_map/SCI_III-vs-NC-Down/rno05223.html","rno05223")</f>
        <v>rno05223</v>
      </c>
    </row>
    <row r="224" spans="1:13" x14ac:dyDescent="0.25">
      <c r="A224" t="s">
        <v>606</v>
      </c>
      <c r="B224" t="s">
        <v>607</v>
      </c>
      <c r="C224" t="s">
        <v>115</v>
      </c>
      <c r="D224" t="s">
        <v>583</v>
      </c>
      <c r="E224">
        <v>4</v>
      </c>
      <c r="F224">
        <v>235</v>
      </c>
      <c r="G224">
        <v>145</v>
      </c>
      <c r="H224">
        <v>7679</v>
      </c>
      <c r="I224">
        <v>0.65322921351574503</v>
      </c>
      <c r="J224">
        <v>0.99999999999839395</v>
      </c>
      <c r="K224">
        <v>0.90142333088774795</v>
      </c>
      <c r="L224" t="s">
        <v>1824</v>
      </c>
      <c r="M224" t="str">
        <f>HYPERLINK("../../3.KEGG_map/SCI_III-vs-NC-Down/rno05224.html","rno05224")</f>
        <v>rno05224</v>
      </c>
    </row>
    <row r="225" spans="1:13" x14ac:dyDescent="0.25">
      <c r="A225" t="s">
        <v>608</v>
      </c>
      <c r="B225" t="s">
        <v>609</v>
      </c>
      <c r="C225" t="s">
        <v>115</v>
      </c>
      <c r="D225" t="s">
        <v>583</v>
      </c>
      <c r="E225">
        <v>4</v>
      </c>
      <c r="F225">
        <v>235</v>
      </c>
      <c r="G225">
        <v>169</v>
      </c>
      <c r="H225">
        <v>7679</v>
      </c>
      <c r="I225">
        <v>0.76582440369072102</v>
      </c>
      <c r="J225">
        <v>0.99999999999839395</v>
      </c>
      <c r="K225">
        <v>0.77341055016996096</v>
      </c>
      <c r="L225" t="s">
        <v>1825</v>
      </c>
      <c r="M225" t="str">
        <f>HYPERLINK("../../3.KEGG_map/SCI_III-vs-NC-Down/rno05225.html","rno05225")</f>
        <v>rno05225</v>
      </c>
    </row>
    <row r="226" spans="1:13" x14ac:dyDescent="0.25">
      <c r="A226" t="s">
        <v>611</v>
      </c>
      <c r="B226" t="s">
        <v>612</v>
      </c>
      <c r="C226" t="s">
        <v>115</v>
      </c>
      <c r="D226" t="s">
        <v>583</v>
      </c>
      <c r="E226">
        <v>4</v>
      </c>
      <c r="F226">
        <v>235</v>
      </c>
      <c r="G226">
        <v>147</v>
      </c>
      <c r="H226">
        <v>7679</v>
      </c>
      <c r="I226">
        <v>0.66383436031955001</v>
      </c>
      <c r="J226">
        <v>0.99999999999839395</v>
      </c>
      <c r="K226">
        <v>0.88915906788247201</v>
      </c>
      <c r="L226" t="s">
        <v>1826</v>
      </c>
      <c r="M226" t="str">
        <f>HYPERLINK("../../3.KEGG_map/SCI_III-vs-NC-Down/rno05226.html","rno05226")</f>
        <v>rno05226</v>
      </c>
    </row>
    <row r="227" spans="1:13" x14ac:dyDescent="0.25">
      <c r="A227" t="s">
        <v>617</v>
      </c>
      <c r="B227" t="s">
        <v>618</v>
      </c>
      <c r="C227" t="s">
        <v>115</v>
      </c>
      <c r="D227" t="s">
        <v>566</v>
      </c>
      <c r="E227">
        <v>4</v>
      </c>
      <c r="F227">
        <v>235</v>
      </c>
      <c r="G227">
        <v>97</v>
      </c>
      <c r="H227">
        <v>7679</v>
      </c>
      <c r="I227">
        <v>0.34548613956902602</v>
      </c>
      <c r="J227">
        <v>0.95408139253877999</v>
      </c>
      <c r="K227">
        <v>1.3474884843167401</v>
      </c>
      <c r="L227" t="s">
        <v>1827</v>
      </c>
      <c r="M227" t="str">
        <f>HYPERLINK("../../3.KEGG_map/SCI_III-vs-NC-Down/rno05231.html","rno05231")</f>
        <v>rno05231</v>
      </c>
    </row>
    <row r="228" spans="1:13" x14ac:dyDescent="0.25">
      <c r="A228" t="s">
        <v>1379</v>
      </c>
      <c r="B228" t="s">
        <v>1380</v>
      </c>
      <c r="C228" t="s">
        <v>115</v>
      </c>
      <c r="D228" t="s">
        <v>621</v>
      </c>
      <c r="E228">
        <v>1</v>
      </c>
      <c r="F228">
        <v>235</v>
      </c>
      <c r="G228">
        <v>24</v>
      </c>
      <c r="H228">
        <v>7679</v>
      </c>
      <c r="I228">
        <v>0.52625250729492601</v>
      </c>
      <c r="J228">
        <v>0.99999999999839395</v>
      </c>
      <c r="K228">
        <v>1.36152482269504</v>
      </c>
      <c r="L228" t="s">
        <v>1828</v>
      </c>
      <c r="M228" t="str">
        <f>HYPERLINK("../../3.KEGG_map/SCI_III-vs-NC-Down/rno05310.html","rno05310")</f>
        <v>rno05310</v>
      </c>
    </row>
    <row r="229" spans="1:13" x14ac:dyDescent="0.25">
      <c r="A229" t="s">
        <v>619</v>
      </c>
      <c r="B229" t="s">
        <v>620</v>
      </c>
      <c r="C229" t="s">
        <v>115</v>
      </c>
      <c r="D229" t="s">
        <v>621</v>
      </c>
      <c r="E229">
        <v>1</v>
      </c>
      <c r="F229">
        <v>235</v>
      </c>
      <c r="G229">
        <v>60</v>
      </c>
      <c r="H229">
        <v>7679</v>
      </c>
      <c r="I229">
        <v>0.84621112044591495</v>
      </c>
      <c r="J229">
        <v>0.99999999999839395</v>
      </c>
      <c r="K229">
        <v>0.54460992907801398</v>
      </c>
      <c r="L229" t="s">
        <v>1382</v>
      </c>
      <c r="M229" t="str">
        <f>HYPERLINK("../../3.KEGG_map/SCI_III-vs-NC-Down/rno05320.html","rno05320")</f>
        <v>rno05320</v>
      </c>
    </row>
    <row r="230" spans="1:13" x14ac:dyDescent="0.25">
      <c r="A230" t="s">
        <v>622</v>
      </c>
      <c r="B230" t="s">
        <v>623</v>
      </c>
      <c r="C230" t="s">
        <v>115</v>
      </c>
      <c r="D230" t="s">
        <v>621</v>
      </c>
      <c r="E230">
        <v>1</v>
      </c>
      <c r="F230">
        <v>235</v>
      </c>
      <c r="G230">
        <v>59</v>
      </c>
      <c r="H230">
        <v>7679</v>
      </c>
      <c r="I230">
        <v>0.84131736463072004</v>
      </c>
      <c r="J230">
        <v>0.99999999999839395</v>
      </c>
      <c r="K230">
        <v>0.55384060584204797</v>
      </c>
      <c r="L230" t="s">
        <v>1258</v>
      </c>
      <c r="M230" t="str">
        <f>HYPERLINK("../../3.KEGG_map/SCI_III-vs-NC-Down/rno05321.html","rno05321")</f>
        <v>rno05321</v>
      </c>
    </row>
    <row r="231" spans="1:13" x14ac:dyDescent="0.25">
      <c r="A231" t="s">
        <v>625</v>
      </c>
      <c r="B231" t="s">
        <v>626</v>
      </c>
      <c r="C231" t="s">
        <v>115</v>
      </c>
      <c r="D231" t="s">
        <v>621</v>
      </c>
      <c r="E231">
        <v>5</v>
      </c>
      <c r="F231">
        <v>235</v>
      </c>
      <c r="G231">
        <v>91</v>
      </c>
      <c r="H231">
        <v>7679</v>
      </c>
      <c r="I231">
        <v>0.14586799026292299</v>
      </c>
      <c r="J231">
        <v>0.67213681787817203</v>
      </c>
      <c r="K231">
        <v>1.7954173486088401</v>
      </c>
      <c r="L231" t="s">
        <v>1829</v>
      </c>
      <c r="M231" t="str">
        <f>HYPERLINK("../../3.KEGG_map/SCI_III-vs-NC-Down/rno05322.html","rno05322")</f>
        <v>rno05322</v>
      </c>
    </row>
    <row r="232" spans="1:13" x14ac:dyDescent="0.25">
      <c r="A232" t="s">
        <v>627</v>
      </c>
      <c r="B232" t="s">
        <v>628</v>
      </c>
      <c r="C232" t="s">
        <v>115</v>
      </c>
      <c r="D232" t="s">
        <v>621</v>
      </c>
      <c r="E232">
        <v>4</v>
      </c>
      <c r="F232">
        <v>235</v>
      </c>
      <c r="G232">
        <v>81</v>
      </c>
      <c r="H232">
        <v>7679</v>
      </c>
      <c r="I232">
        <v>0.235519491540197</v>
      </c>
      <c r="J232">
        <v>0.83859212896888202</v>
      </c>
      <c r="K232">
        <v>1.61365904912004</v>
      </c>
      <c r="L232" t="s">
        <v>1830</v>
      </c>
      <c r="M232" t="str">
        <f>HYPERLINK("../../3.KEGG_map/SCI_III-vs-NC-Down/rno05323.html","rno05323")</f>
        <v>rno05323</v>
      </c>
    </row>
    <row r="233" spans="1:13" x14ac:dyDescent="0.25">
      <c r="A233" t="s">
        <v>633</v>
      </c>
      <c r="B233" t="s">
        <v>634</v>
      </c>
      <c r="C233" t="s">
        <v>115</v>
      </c>
      <c r="D233" t="s">
        <v>635</v>
      </c>
      <c r="E233">
        <v>1</v>
      </c>
      <c r="F233">
        <v>235</v>
      </c>
      <c r="G233">
        <v>86</v>
      </c>
      <c r="H233">
        <v>7679</v>
      </c>
      <c r="I233">
        <v>0.93199034303696304</v>
      </c>
      <c r="J233">
        <v>0.99999999999839395</v>
      </c>
      <c r="K233">
        <v>0.379960415635824</v>
      </c>
      <c r="L233" t="s">
        <v>1831</v>
      </c>
      <c r="M233" t="str">
        <f>HYPERLINK("../../3.KEGG_map/SCI_III-vs-NC-Down/rno05410.html","rno05410")</f>
        <v>rno05410</v>
      </c>
    </row>
    <row r="234" spans="1:13" x14ac:dyDescent="0.25">
      <c r="A234" t="s">
        <v>640</v>
      </c>
      <c r="B234" t="s">
        <v>641</v>
      </c>
      <c r="C234" t="s">
        <v>115</v>
      </c>
      <c r="D234" t="s">
        <v>635</v>
      </c>
      <c r="E234">
        <v>1</v>
      </c>
      <c r="F234">
        <v>235</v>
      </c>
      <c r="G234">
        <v>88</v>
      </c>
      <c r="H234">
        <v>7679</v>
      </c>
      <c r="I234">
        <v>0.93613520469628297</v>
      </c>
      <c r="J234">
        <v>0.99999999999839395</v>
      </c>
      <c r="K234">
        <v>0.37132495164410101</v>
      </c>
      <c r="L234" t="s">
        <v>1831</v>
      </c>
      <c r="M234" t="str">
        <f>HYPERLINK("../../3.KEGG_map/SCI_III-vs-NC-Down/rno05414.html","rno05414")</f>
        <v>rno05414</v>
      </c>
    </row>
    <row r="235" spans="1:13" x14ac:dyDescent="0.25">
      <c r="A235" t="s">
        <v>642</v>
      </c>
      <c r="B235" t="s">
        <v>643</v>
      </c>
      <c r="C235" t="s">
        <v>115</v>
      </c>
      <c r="D235" t="s">
        <v>635</v>
      </c>
      <c r="E235">
        <v>1</v>
      </c>
      <c r="F235">
        <v>235</v>
      </c>
      <c r="G235">
        <v>73</v>
      </c>
      <c r="H235">
        <v>7679</v>
      </c>
      <c r="I235">
        <v>0.89769389206246497</v>
      </c>
      <c r="J235">
        <v>0.99999999999839395</v>
      </c>
      <c r="K235">
        <v>0.44762459924220299</v>
      </c>
      <c r="L235" t="s">
        <v>1831</v>
      </c>
      <c r="M235" t="str">
        <f>HYPERLINK("../../3.KEGG_map/SCI_III-vs-NC-Down/rno05416.html","rno05416")</f>
        <v>rno05416</v>
      </c>
    </row>
    <row r="236" spans="1:13" x14ac:dyDescent="0.25">
      <c r="A236" t="s">
        <v>645</v>
      </c>
      <c r="B236" t="s">
        <v>646</v>
      </c>
      <c r="C236" t="s">
        <v>115</v>
      </c>
      <c r="D236" t="s">
        <v>635</v>
      </c>
      <c r="E236">
        <v>2</v>
      </c>
      <c r="F236">
        <v>235</v>
      </c>
      <c r="G236">
        <v>141</v>
      </c>
      <c r="H236">
        <v>7679</v>
      </c>
      <c r="I236">
        <v>0.93360500496076804</v>
      </c>
      <c r="J236">
        <v>0.99999999999839395</v>
      </c>
      <c r="K236">
        <v>0.46349781198128898</v>
      </c>
      <c r="L236" t="s">
        <v>1832</v>
      </c>
      <c r="M236" t="str">
        <f>HYPERLINK("../../3.KEGG_map/SCI_III-vs-NC-Down/rno05418.html","rno05418")</f>
        <v>rno05418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up-regulated (SSCI–1 vs. sham)</vt:lpstr>
      <vt:lpstr>up-regulated (SSCI–2 vs. sham)</vt:lpstr>
      <vt:lpstr>up-regulated (SSCI–3 vs. sham)</vt:lpstr>
      <vt:lpstr>down-regulated(SSCI–1 vs. sham)</vt:lpstr>
      <vt:lpstr>down-regulated(SSCI–2 vs. sham)</vt:lpstr>
      <vt:lpstr>down-regulated(SSCI–3 vs. sham)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jimeng ruan</dc:creator>
  <cp:lastModifiedBy>jimeng ruan</cp:lastModifiedBy>
  <dcterms:modified xsi:type="dcterms:W3CDTF">2023-05-26T08:44:41Z</dcterms:modified>
</cp:coreProperties>
</file>