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anj\Desktop\circRNA\投稿\Peer J\"/>
    </mc:Choice>
  </mc:AlternateContent>
  <xr:revisionPtr revIDLastSave="0" documentId="13_ncr:1_{B9A5C494-0F3F-4EBD-9369-6CAD612A38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p-regulated (SSCI–1 vs. sham)" sheetId="1" r:id="rId1"/>
    <sheet name="up-regulated (SSCI–2 vs. sham)" sheetId="3" r:id="rId2"/>
    <sheet name="up-regulated (SSCI–3 vs. sham)" sheetId="4" r:id="rId3"/>
    <sheet name="down-regulated(SSCI–1 vs. sham)" sheetId="5" r:id="rId4"/>
    <sheet name="down-regulated(SSCI–2 vs. sham)" sheetId="6" r:id="rId5"/>
    <sheet name="down-regulated(SSCI–3 vs. sham)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9" i="7" l="1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2" i="7"/>
  <c r="M241" i="6"/>
  <c r="M240" i="6"/>
  <c r="M239" i="6"/>
  <c r="M238" i="6"/>
  <c r="M237" i="6"/>
  <c r="M236" i="6"/>
  <c r="M235" i="6"/>
  <c r="M234" i="6"/>
  <c r="M233" i="6"/>
  <c r="M232" i="6"/>
  <c r="M231" i="6"/>
  <c r="M230" i="6"/>
  <c r="M229" i="6"/>
  <c r="M228" i="6"/>
  <c r="M227" i="6"/>
  <c r="M226" i="6"/>
  <c r="M225" i="6"/>
  <c r="M224" i="6"/>
  <c r="M223" i="6"/>
  <c r="M222" i="6"/>
  <c r="M221" i="6"/>
  <c r="M220" i="6"/>
  <c r="M219" i="6"/>
  <c r="M218" i="6"/>
  <c r="M217" i="6"/>
  <c r="M216" i="6"/>
  <c r="M215" i="6"/>
  <c r="M214" i="6"/>
  <c r="M213" i="6"/>
  <c r="M212" i="6"/>
  <c r="M211" i="6"/>
  <c r="M210" i="6"/>
  <c r="M209" i="6"/>
  <c r="M208" i="6"/>
  <c r="M207" i="6"/>
  <c r="M206" i="6"/>
  <c r="M205" i="6"/>
  <c r="M204" i="6"/>
  <c r="M203" i="6"/>
  <c r="M202" i="6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" i="6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</calcChain>
</file>

<file path=xl/sharedStrings.xml><?xml version="1.0" encoding="utf-8"?>
<sst xmlns="http://schemas.openxmlformats.org/spreadsheetml/2006/main" count="7468" uniqueCount="1985">
  <si>
    <t>id</t>
  </si>
  <si>
    <t>Term</t>
  </si>
  <si>
    <t>Classification_level1</t>
  </si>
  <si>
    <t>Classification_level2</t>
  </si>
  <si>
    <t>ListHits</t>
  </si>
  <si>
    <t>ListTotal</t>
  </si>
  <si>
    <t>PopHits</t>
  </si>
  <si>
    <t>PopTotal</t>
  </si>
  <si>
    <t>p-value</t>
  </si>
  <si>
    <t>q-value</t>
  </si>
  <si>
    <t>Enrichment_score</t>
  </si>
  <si>
    <t>Gene</t>
  </si>
  <si>
    <t>hyperlink_only_excel</t>
  </si>
  <si>
    <t>rno00010</t>
  </si>
  <si>
    <t>Glycolysis / Gluconeogenesis</t>
  </si>
  <si>
    <t>Metabolism</t>
  </si>
  <si>
    <t>Carbohydrate metabolism</t>
  </si>
  <si>
    <t>Adh7;Aldh1a3;Eno1;Hk3;Ldha;Pgk1</t>
  </si>
  <si>
    <t>rno00020</t>
  </si>
  <si>
    <t>Citrate cycle (TCA cycle)</t>
  </si>
  <si>
    <t>Idh1</t>
  </si>
  <si>
    <t>rno00030</t>
  </si>
  <si>
    <t>Pentose phosphate pathway</t>
  </si>
  <si>
    <t>G6pd;Pgd;Tkt</t>
  </si>
  <si>
    <t>rno00040</t>
  </si>
  <si>
    <t>Pentose and glucuronate interconversions</t>
  </si>
  <si>
    <t>Akr1b8;Ugdh;Ugt2b7</t>
  </si>
  <si>
    <t>rno00051</t>
  </si>
  <si>
    <t>Fructose and mannose metabolism</t>
  </si>
  <si>
    <t>Akr1b8;Hk3</t>
  </si>
  <si>
    <t>rno00052</t>
  </si>
  <si>
    <t>Galactose metabolism</t>
  </si>
  <si>
    <t>Akr1b8;Gale;Hk3</t>
  </si>
  <si>
    <t>rno00053</t>
  </si>
  <si>
    <t>Ascorbate and aldarate metabolism</t>
  </si>
  <si>
    <t>Ugdh;Ugt2b7</t>
  </si>
  <si>
    <t>rno00061</t>
  </si>
  <si>
    <t>Fatty acid biosynthesis</t>
  </si>
  <si>
    <t>Lipid metabolism</t>
  </si>
  <si>
    <t>Olah</t>
  </si>
  <si>
    <t>rno00062</t>
  </si>
  <si>
    <t>Fatty acid elongation</t>
  </si>
  <si>
    <t>Echs1</t>
  </si>
  <si>
    <t>rno00071</t>
  </si>
  <si>
    <t>Fatty acid degradation</t>
  </si>
  <si>
    <t>Adh7;Echs1</t>
  </si>
  <si>
    <t>rno00072</t>
  </si>
  <si>
    <t>Synthesis and degradation of ketone bodies</t>
  </si>
  <si>
    <t>Hmgcs1</t>
  </si>
  <si>
    <t>rno00100</t>
  </si>
  <si>
    <t>Steroid biosynthesis</t>
  </si>
  <si>
    <t>Cyp27b1;Cyp51;Soat1;Sqle</t>
  </si>
  <si>
    <t>rno00120</t>
  </si>
  <si>
    <t>Primary bile acid biosynthesis</t>
  </si>
  <si>
    <t>Ch25h</t>
  </si>
  <si>
    <t>rno00130</t>
  </si>
  <si>
    <t>Ubiquinone and other terpenoid-quinone biosynthesis</t>
  </si>
  <si>
    <t>Metabolism of cofactors and vitamins</t>
  </si>
  <si>
    <t>Hpd;Nqo1</t>
  </si>
  <si>
    <t>rno00140</t>
  </si>
  <si>
    <t>Steroid hormone biosynthesis</t>
  </si>
  <si>
    <t>Cyp11b2;Cyp1b1;Cyp2d1;Ugt2b7</t>
  </si>
  <si>
    <t>rno00190</t>
  </si>
  <si>
    <t>Oxidative phosphorylation</t>
  </si>
  <si>
    <t>Energy metabolism</t>
  </si>
  <si>
    <t>Atp6v1e2;Cox6a2;Ndufa4l2</t>
  </si>
  <si>
    <t>rno00220</t>
  </si>
  <si>
    <t>Arginine biosynthesis</t>
  </si>
  <si>
    <t>Amino acid metabolism</t>
  </si>
  <si>
    <t>Arg1;Nos2</t>
  </si>
  <si>
    <t>rno00230</t>
  </si>
  <si>
    <t>Purine metabolism</t>
  </si>
  <si>
    <t>Nucleotide metabolism</t>
  </si>
  <si>
    <t>Adcy2;Adcy7;Enpp3;Entpd5;Entpd8;Impdh1;Nme2;Papss2;Pola2;Pole;Pole2;Polr2l;Prim1;Rrm1;Rrm2</t>
  </si>
  <si>
    <t>rno00240</t>
  </si>
  <si>
    <t>Pyrimidine metabolism</t>
  </si>
  <si>
    <t>Dctd;Dctpp1;Enpp3;Entpd5;Entpd8;Nme2;Pola2;Pole;Pole2;Polr2l;Prim1;Rrm1;Rrm2;Tk1;Tyms</t>
  </si>
  <si>
    <t>rno00260</t>
  </si>
  <si>
    <t>Glycine, serine and threonine metabolism</t>
  </si>
  <si>
    <t>Chdh;Cth;Gatm;Phgdh;Psat1</t>
  </si>
  <si>
    <t>rno00270</t>
  </si>
  <si>
    <t>Cysteine and methionine metabolism</t>
  </si>
  <si>
    <t>Bcat1;Cth;Ldha;Mat1a</t>
  </si>
  <si>
    <t>rno00280</t>
  </si>
  <si>
    <t>Valine, leucine and isoleucine degradation</t>
  </si>
  <si>
    <t>Aox2;Bcat1;Echs1;Hmgcs1</t>
  </si>
  <si>
    <t>rno00310</t>
  </si>
  <si>
    <t>Lysine degradation</t>
  </si>
  <si>
    <t>Colgalt1;Echs1;Plod2;Plod3;Suv39h2</t>
  </si>
  <si>
    <t>rno00330</t>
  </si>
  <si>
    <t>Arginine and proline metabolism</t>
  </si>
  <si>
    <t>Aldh18a1;Aoc1;Arg1;Ckmt2;Gatm;Nos2;P4ha3;Pycr1</t>
  </si>
  <si>
    <t>rno00340</t>
  </si>
  <si>
    <t>Histidine metabolism</t>
  </si>
  <si>
    <t>Aldh1a3;Aoc1;Ftcd;Hdc</t>
  </si>
  <si>
    <t>rno00350</t>
  </si>
  <si>
    <t>Tyrosine metabolism</t>
  </si>
  <si>
    <t>Adh7;Aldh1a3;Aox2;Hpd</t>
  </si>
  <si>
    <t>rno00360</t>
  </si>
  <si>
    <t>Phenylalanine metabolism</t>
  </si>
  <si>
    <t>Aldh1a3;Hpd</t>
  </si>
  <si>
    <t>rno00380</t>
  </si>
  <si>
    <t>Tryptophan metabolism</t>
  </si>
  <si>
    <t>Aoc1;Aox2;Cyp1b1;Echs1;Ido1;Kmo;Tph1</t>
  </si>
  <si>
    <t>rno00410</t>
  </si>
  <si>
    <t>beta-Alanine metabolism</t>
  </si>
  <si>
    <t>Metabolism of other amino acids</t>
  </si>
  <si>
    <t>Aldh1a3;Echs1</t>
  </si>
  <si>
    <t>rno00430</t>
  </si>
  <si>
    <t>Taurine and hypotaurine metabolism</t>
  </si>
  <si>
    <t>Ggt1</t>
  </si>
  <si>
    <t>rno00440</t>
  </si>
  <si>
    <t>Phosphonate and phosphinate metabolism</t>
  </si>
  <si>
    <t>Pcyt1b</t>
  </si>
  <si>
    <t>rno00450</t>
  </si>
  <si>
    <t>Selenocompound metabolism</t>
  </si>
  <si>
    <t>Cth;Papss2;Txnrd1</t>
  </si>
  <si>
    <t>rno00480</t>
  </si>
  <si>
    <t>Glutathione metabolism</t>
  </si>
  <si>
    <t>G6pd;Ggt1;Gpx2;Gpx7;Gsta2;Gsta3;Gsta5;Gstm1;Gstp1;Idh1;Pgd;Rrm1;Rrm2</t>
  </si>
  <si>
    <t>rno00500</t>
  </si>
  <si>
    <t>Starch and sucrose metabolism</t>
  </si>
  <si>
    <t>Enpp3;Hk3</t>
  </si>
  <si>
    <t>rno00512</t>
  </si>
  <si>
    <t>Mucin type O-glycan biosynthesis</t>
  </si>
  <si>
    <t>Glycan biosynthesis and metabolism</t>
  </si>
  <si>
    <t>Galnt16;St6galnac1</t>
  </si>
  <si>
    <t>rno00514</t>
  </si>
  <si>
    <t>Other types of O-glycan biosynthesis</t>
  </si>
  <si>
    <t>Colgalt1;Plod3</t>
  </si>
  <si>
    <t>rno00515</t>
  </si>
  <si>
    <t>Mannose type O-glycan biosyntheis</t>
  </si>
  <si>
    <t>Chst10</t>
  </si>
  <si>
    <t>rno00520</t>
  </si>
  <si>
    <t>Amino sugar and nucleotide sugar metabolism</t>
  </si>
  <si>
    <t>Gale;Hk3;Npl;Pgm3;Ugdh</t>
  </si>
  <si>
    <t>rno00532</t>
  </si>
  <si>
    <t>Glycosaminoglycan biosynthesis - chondroitin sulfate / dermatan sulfate</t>
  </si>
  <si>
    <t>Chpf2;Chst11;Chsy1;Chsy3;Csgalnact1</t>
  </si>
  <si>
    <t>rno00533</t>
  </si>
  <si>
    <t>Glycosaminoglycan biosynthesis - keratan sulfate</t>
  </si>
  <si>
    <t>Chst4</t>
  </si>
  <si>
    <t>rno00534</t>
  </si>
  <si>
    <t>Glycosaminoglycan biosynthesis - heparan sulfate / heparin</t>
  </si>
  <si>
    <t>Ext1;Hs6st1;Hs6st2</t>
  </si>
  <si>
    <t>rno00561</t>
  </si>
  <si>
    <t>Glycerolipid metabolism</t>
  </si>
  <si>
    <t>Akr1b8;Lipg;Mogat1;Plpp1;Plpp4</t>
  </si>
  <si>
    <t>rno00562</t>
  </si>
  <si>
    <t>Inositol phosphate metabolism</t>
  </si>
  <si>
    <t>Inpp5d;Pik3cg;Plcb1</t>
  </si>
  <si>
    <t>rno00564</t>
  </si>
  <si>
    <t>Glycerophospholipid metabolism</t>
  </si>
  <si>
    <t>Pcyt1b;Pla2g2d;Pla2g4f;Pld4;Plpp1;Plpp4</t>
  </si>
  <si>
    <t>rno00565</t>
  </si>
  <si>
    <t>Ether lipid metabolism</t>
  </si>
  <si>
    <t>Pla2g2d;Pla2g4f;Pla2g7;Pld4;Plpp1</t>
  </si>
  <si>
    <t>rno00590</t>
  </si>
  <si>
    <t>Arachidonic acid metabolism</t>
  </si>
  <si>
    <t>Alox15;Ggt1;Gpx2;Gpx7;Pla2g2d;Pla2g4f;Ptgis;Ptgs2</t>
  </si>
  <si>
    <t>rno00591</t>
  </si>
  <si>
    <t>Linoleic acid metabolism</t>
  </si>
  <si>
    <t>Alox15;Pla2g2d;Pla2g4f</t>
  </si>
  <si>
    <t>rno00592</t>
  </si>
  <si>
    <t>alpha-Linolenic acid metabolism</t>
  </si>
  <si>
    <t>Pla2g2d;Pla2g4f</t>
  </si>
  <si>
    <t>rno00600</t>
  </si>
  <si>
    <t>Sphingolipid metabolism</t>
  </si>
  <si>
    <t>Plpp1;Sgms2;Sphk1</t>
  </si>
  <si>
    <t>rno00601</t>
  </si>
  <si>
    <t>Glycosphingolipid biosynthesis - lacto and neolacto series</t>
  </si>
  <si>
    <t>B3galnt1;B3gnt3;Fut1</t>
  </si>
  <si>
    <t>rno00603</t>
  </si>
  <si>
    <t>Glycosphingolipid biosynthesis - globo and isoglobo series</t>
  </si>
  <si>
    <t>B3galnt1;Fut1</t>
  </si>
  <si>
    <t>rno00620</t>
  </si>
  <si>
    <t>Pyruvate metabolism</t>
  </si>
  <si>
    <t>Ldha</t>
  </si>
  <si>
    <t>rno00640</t>
  </si>
  <si>
    <t>Propanoate metabolism</t>
  </si>
  <si>
    <t>Echs1;Ldha</t>
  </si>
  <si>
    <t>rno00650</t>
  </si>
  <si>
    <t>Butanoate metabolism</t>
  </si>
  <si>
    <t>Echs1;Hmgcs1</t>
  </si>
  <si>
    <t>rno00670</t>
  </si>
  <si>
    <t>One carbon pool by folate</t>
  </si>
  <si>
    <t>Aldh1l2;Dhfr;Ftcd;Mthfd2;Tyms</t>
  </si>
  <si>
    <t>rno00740</t>
  </si>
  <si>
    <t>Riboflavin metabolism</t>
  </si>
  <si>
    <t>Enpp3</t>
  </si>
  <si>
    <t>rno00750</t>
  </si>
  <si>
    <t>Vitamin B6 metabolism</t>
  </si>
  <si>
    <t>Aox2;Psat1</t>
  </si>
  <si>
    <t>rno00760</t>
  </si>
  <si>
    <t>Nicotinate and nicotinamide metabolism</t>
  </si>
  <si>
    <t>Aox2;Bst1;Cd38;Enpp3;Nnmt;Qprt</t>
  </si>
  <si>
    <t>rno00770</t>
  </si>
  <si>
    <t>Pantothenate and CoA biosynthesis</t>
  </si>
  <si>
    <t>Bcat1;Enpp3;Vnn3</t>
  </si>
  <si>
    <t>rno00790</t>
  </si>
  <si>
    <t>Folate biosynthesis</t>
  </si>
  <si>
    <t>Akr1b8;Dhfr;Gch1;Tph1</t>
  </si>
  <si>
    <t>rno00830</t>
  </si>
  <si>
    <t>Retinol metabolism</t>
  </si>
  <si>
    <t>Adh7;Aldh1a2;Aldh1a7;Aox2;Lrat;Rdh12;Ugt2b7</t>
  </si>
  <si>
    <t>rno00860</t>
  </si>
  <si>
    <t>Porphyrin and chlorophyll metabolism</t>
  </si>
  <si>
    <t>Hmox1;Ugt2b7</t>
  </si>
  <si>
    <t>rno00900</t>
  </si>
  <si>
    <t>Terpenoid backbone biosynthesis</t>
  </si>
  <si>
    <t>Metabolism of terpenoids and polyketides</t>
  </si>
  <si>
    <t>Fdps;Hmgcs1;Idi1</t>
  </si>
  <si>
    <t>rno00910</t>
  </si>
  <si>
    <t>Nitrogen metabolism</t>
  </si>
  <si>
    <t>Car1;Car13;Car2</t>
  </si>
  <si>
    <t>rno00920</t>
  </si>
  <si>
    <t>Sulfur metabolism</t>
  </si>
  <si>
    <t>Papss2</t>
  </si>
  <si>
    <t>rno00970</t>
  </si>
  <si>
    <t>Aminoacyl-tRNA biosynthesis</t>
  </si>
  <si>
    <t>Genetic Information Processing</t>
  </si>
  <si>
    <t>Translation</t>
  </si>
  <si>
    <t>Gars</t>
  </si>
  <si>
    <t>rno00980</t>
  </si>
  <si>
    <t>Metabolism of xenobiotics by cytochrome P450</t>
  </si>
  <si>
    <t>Xenobiotics biodegradation and metabolism</t>
  </si>
  <si>
    <t>Adh7;Akr7a3;Aldh1a3;Cyp1b1;Gsta2;Gsta3;Gsta5;Gstm1;Gstp1;Ugt2b7</t>
  </si>
  <si>
    <t>rno00982</t>
  </si>
  <si>
    <t>Drug metabolism - cytochrome P450</t>
  </si>
  <si>
    <t>Adh7;Aldh1a3;Aox2;Gsta2;Gsta3;Gsta5;Gstm1;Gstp1;Ugt2b7</t>
  </si>
  <si>
    <t>rno00983</t>
  </si>
  <si>
    <t>Drug metabolism - other enzymes</t>
  </si>
  <si>
    <t>Ces2;Ces2h;Gsta2;Gsta3;Gsta5;Gstm1;Gstp1;Impdh1;Nme2;Rrm1;Rrm2;Tk1;Ugt2b7</t>
  </si>
  <si>
    <t>rno01521</t>
  </si>
  <si>
    <t>EGFR tyrosine kinase inhibitor resistance</t>
  </si>
  <si>
    <t>Human Diseases</t>
  </si>
  <si>
    <t>Drug resistance: antineoplastic</t>
  </si>
  <si>
    <t>Axl;Igf1;Il6;Met;Nrg1;Pdgfrb</t>
  </si>
  <si>
    <t>rno01522</t>
  </si>
  <si>
    <t>Endocrine resistance</t>
  </si>
  <si>
    <t>Adcy2;Adcy7;E2f1;E2f3;Hbegf;Igf1;Mapk10;Mmp2;Mmp9</t>
  </si>
  <si>
    <t>rno01523</t>
  </si>
  <si>
    <t>Antifolate resistance</t>
  </si>
  <si>
    <t>Abcc4;Dhfr;Folr2;Il1b;Il6;Tyms</t>
  </si>
  <si>
    <t>rno01524</t>
  </si>
  <si>
    <t>Platinum drug resistance</t>
  </si>
  <si>
    <t>Bak1;Birc5;Brca1;Fas;Gsta2;Gsta3;Gsta5;Gstm1;Gstp1;Pmaip1;Top2a</t>
  </si>
  <si>
    <t>rno02010</t>
  </si>
  <si>
    <t>ABC transporters</t>
  </si>
  <si>
    <t>Environmental Information Processing</t>
  </si>
  <si>
    <t>Membrane transport</t>
  </si>
  <si>
    <t>Abca17;Abcb1b;Abcb4;Abcc4;Cftr</t>
  </si>
  <si>
    <t>rno03008</t>
  </si>
  <si>
    <t>Ribosome biogenesis in eukaryotes</t>
  </si>
  <si>
    <t>Heatr1;Ran;Rexo2;Rpp25</t>
  </si>
  <si>
    <t>rno03013</t>
  </si>
  <si>
    <t>RNA transport</t>
  </si>
  <si>
    <t>Pabpc1l2a;Ran;Rpp25;Tacc3</t>
  </si>
  <si>
    <t>rno03015</t>
  </si>
  <si>
    <t>mRNA surveillance pathway</t>
  </si>
  <si>
    <t>Pabpc1l2a</t>
  </si>
  <si>
    <t>rno03018</t>
  </si>
  <si>
    <t>RNA degradation</t>
  </si>
  <si>
    <t>Folding, sorting and degradation</t>
  </si>
  <si>
    <t>Btg3;Eno1;Lsm4;Pabpc1l2a</t>
  </si>
  <si>
    <t>rno03020</t>
  </si>
  <si>
    <t>RNA polymerase</t>
  </si>
  <si>
    <t>Transcription</t>
  </si>
  <si>
    <t>Polr2l</t>
  </si>
  <si>
    <t>rno03030</t>
  </si>
  <si>
    <t>DNA replication</t>
  </si>
  <si>
    <t>Replication and repair</t>
  </si>
  <si>
    <t>Fen1;Mcm2;Mcm3;Mcm4;Mcm5;Mcm6;Pola2;Pole;Pole2;Prim1</t>
  </si>
  <si>
    <t>rno03040</t>
  </si>
  <si>
    <t>Spliceosome</t>
  </si>
  <si>
    <t>Lsm4</t>
  </si>
  <si>
    <t>rno03060</t>
  </si>
  <si>
    <t>Protein export</t>
  </si>
  <si>
    <t>Sec61b;Sec61g</t>
  </si>
  <si>
    <t>rno03320</t>
  </si>
  <si>
    <t>PPAR signaling pathway</t>
  </si>
  <si>
    <t>Organismal Systems</t>
  </si>
  <si>
    <t>Endocrine system</t>
  </si>
  <si>
    <t>Angptl4;Apoc3;Dbi;Fabp4;Fabp5;Olr1;RGD1565355</t>
  </si>
  <si>
    <t>rno03410</t>
  </si>
  <si>
    <t>Base excision repair</t>
  </si>
  <si>
    <t>Fen1;Neil3;Pole;Pole2</t>
  </si>
  <si>
    <t>rno03420</t>
  </si>
  <si>
    <t>Nucleotide excision repair</t>
  </si>
  <si>
    <t>Pole;Pole2</t>
  </si>
  <si>
    <t>rno03430</t>
  </si>
  <si>
    <t>Mismatch repair</t>
  </si>
  <si>
    <t>Exo1</t>
  </si>
  <si>
    <t>rno03440</t>
  </si>
  <si>
    <t>Homologous recombination</t>
  </si>
  <si>
    <t>Bard1;Brca1;Brip1;Eme1;Rad51;Rad51c;Rad54b;Rad54l</t>
  </si>
  <si>
    <t>rno03450</t>
  </si>
  <si>
    <t>Non-homologous end-joining</t>
  </si>
  <si>
    <t>Dntt;Fen1</t>
  </si>
  <si>
    <t>rno03460</t>
  </si>
  <si>
    <t>Fanconi anemia pathway</t>
  </si>
  <si>
    <t>Brca1;Brip1;Eme1;Fancd2;Fanci;Rad51;Rad51c;Rmi2;Ube2t</t>
  </si>
  <si>
    <t>rno04010</t>
  </si>
  <si>
    <t>MAPK signaling pathway</t>
  </si>
  <si>
    <t>Signal transduction</t>
  </si>
  <si>
    <t>Angpt4;Areg;Bdnf;Cd14;Csf1r;Dusp2;Dusp4;Ereg;Fas;Fgf18;Fgf9;Flnc;Gadd45b;Gadd45g;Igf1;Il1a;Il1b;Il1r1;Map2k3;Mapk10;Met;Ngf;Nr4a1;Pak1;Pdgfrb;Pla2g4f;Ptpn7;Rac2;Rasgrf1;Rasgrp4;Rras2;Tgfb1;Tgfb2;Tgfb3;Vegfc</t>
  </si>
  <si>
    <t>rno04012</t>
  </si>
  <si>
    <t>ErbB signaling pathway</t>
  </si>
  <si>
    <t>Areg;Camk2b;Ereg;Hbegf;Mapk10;Nrg1;Pak1</t>
  </si>
  <si>
    <t>rno04014</t>
  </si>
  <si>
    <t>Ras signaling pathway</t>
  </si>
  <si>
    <t>Angpt4;Bdnf;Csf1r;Fgf18;Fgf9;Gnb4;Gng13;Gng2;Gng4;Gngt2;Htr7;Igf1;Mapk10;Met;Ngf;Pak1;Pdgfrb;Pla2g2d;Pla2g4f;Rac2;Rasgrf1;Rasgrp4;Rras2;Vegfc</t>
  </si>
  <si>
    <t>rno04015</t>
  </si>
  <si>
    <t>Rap1 signaling pathway</t>
  </si>
  <si>
    <t>Adcy2;Adcy7;Adora2a;Angpt4;Csf1r;F2r;Fgf18;Fgf9;Fpr1;Fyb;Igf1;Itgal;Itgam;Itgb1;Itgb2;Map2k3;Met;Ngf;Pdgfrb;Plcb1;Rac2;Rgs14;Thbs1;Vegfc</t>
  </si>
  <si>
    <t>rno04020</t>
  </si>
  <si>
    <t>Calcium signaling pathway</t>
  </si>
  <si>
    <t>Adcy2;Adcy7;Adora2a;Adra1d;Bdkrb1;Camk2b;Cd38;Cysltr2;Drd1;Ednra;Ednrb;F2r;Grpr;Hrh1;Htr2a;Htr7;Ltb4r2;Nos2;P2rx4;P2rx5;Pdgfrb;Plcb1;Ptafr;Ptgfr;Sphk1;Tnnc1</t>
  </si>
  <si>
    <t>rno04022</t>
  </si>
  <si>
    <t>cGMP - PKG signaling pathway</t>
  </si>
  <si>
    <t>Adcy2;Adcy7;Adora1;Adra1d;Adra2b;Atp1a3;Atp1b1;Creb3l4;Ednra;Ednrb;Gata4;Pik3cg;Pik3r5;Plcb1;Prkg2</t>
  </si>
  <si>
    <t>rno04024</t>
  </si>
  <si>
    <t>cAMP signaling pathway</t>
  </si>
  <si>
    <t>Abcc4;Adcy2;Adcy7;Adora1;Adora2a;Atp1a3;Atp1b1;Bdnf;Camk2b;Cftr;Creb3l4;Drd1;Ednra;F2r;Ffar2;Gria3;Mapk10;Niacr1;Pak1;Rac2;Rras2;Vav1</t>
  </si>
  <si>
    <t>rno04060</t>
  </si>
  <si>
    <t>Cytokine-cytokine receptor interaction</t>
  </si>
  <si>
    <t>Signaling molecules and interaction</t>
  </si>
  <si>
    <t>Bmpr1b;Ccl12;Ccl17;Ccl2;Ccl22;Ccl5;Ccl7;Ccl9;Ccr1l1;Ccr3;Ccr4;Ccr5;Ccr7;Cd40;Csf1r;Csf2ra;Csf2rb;Csf3r;Cx3cr1;Cxcl1;Cxcl10;Cxcl11;Cxcl13;Cxcl2;Cxcl3;Cxcl6;Cxcl9;Cxcr2;Cxcr4;Fas;Gdf5;Il10;Il11;Il17b;Il17f;Il17ra;Il18;Il18rap;Il1a;Il1b;Il1r1;Il1r2;Il20ra;Il21r;Il22ra1;Il2ra;Il2rb;Il2rg;Il6;Inhba;Inhbb;Lif;Met;Osmr;Pdgfrb;Relt;Tgfb1;Tgfb2;Tgfb3;Tnfrsf10b;Tnfrsf11b;Tnfrsf12a;Tnfrsf18;Tnfrsf1b;Tnfrsf8;Tnfrsf9;Tnfsf18;Tnfsf8;Vegfc</t>
  </si>
  <si>
    <t>rno04062</t>
  </si>
  <si>
    <t>Chemokine signaling pathway</t>
  </si>
  <si>
    <t>Immune system</t>
  </si>
  <si>
    <t>Adcy2;Adcy7;Ccl12;Ccl17;Ccl2;Ccl22;Ccl5;Ccl7;Ccl9;Ccr1l1;Ccr3;Ccr4;Ccr5;Ccr7;Cx3cr1;Cxcl1;Cxcl10;Cxcl11;Cxcl13;Cxcl2;Cxcl3;Cxcl6;Cxcl9;Cxcr2;Cxcr4;Dock2;Fgr;Gnb4;Gng13;Gng2;Gng4;Gngt2;Hck;Jak3;Lyn;Ncf1;Pak1;Plcb1;Prex1;Rac2;Vav1;Was</t>
  </si>
  <si>
    <t>rno04064</t>
  </si>
  <si>
    <t>NF-kappa B signaling pathway</t>
  </si>
  <si>
    <t>Bcl2a1;Btk;Card11;Card14;Cd14;Cd40;Cxcl2;Gadd45b;Icam1;Il1b;Il1r1;Lbp;Lck;Lyn;Plau;Ptgs2;Syk</t>
  </si>
  <si>
    <t>rno04066</t>
  </si>
  <si>
    <t>HIF-1 signaling pathway</t>
  </si>
  <si>
    <t>Angpt4;Camk2b;Cybb;Edn1;Eno1;Hk3;Hmox1;Igf1;Il6;Ldha;Nos2;Pgk1;Serpine1;Slc2a1;Tfrc;Timp1</t>
  </si>
  <si>
    <t>rno04068</t>
  </si>
  <si>
    <t>FoxO signaling pathway</t>
  </si>
  <si>
    <t>Ccnb1;Ccnb2;Cdkn2b;Gadd45b;Gadd45g;Igf1;Il10;Il6;Mapk10;Plk1;Plk3;Plk4;Tgfb1;Tgfb2;Tgfb3</t>
  </si>
  <si>
    <t>rno04070</t>
  </si>
  <si>
    <t>Phosphatidylinositol signaling system</t>
  </si>
  <si>
    <t>Inpp5d;Plcb1</t>
  </si>
  <si>
    <t>rno04071</t>
  </si>
  <si>
    <t>Sphingolipid signaling pathway</t>
  </si>
  <si>
    <t>Adora1;Fcer1a;Fcer1g;Mapk10;Plcb1;Rac2;Sgms2;Sphk1</t>
  </si>
  <si>
    <t>rno04072</t>
  </si>
  <si>
    <t>Phospholipase D signaling pathway</t>
  </si>
  <si>
    <t>Adcy2;Adcy7;Cxcr2;Cyth4;F2r;Fcer1a;Fcer1g;Pdgfrb;Pik3cg;Pik3r5;Pla2g4f;Plcb1;Plpp1;Ptgfr;Rras2;Sphk1;Syk</t>
  </si>
  <si>
    <t>rno04080</t>
  </si>
  <si>
    <t>Neuroactive ligand-receptor interaction</t>
  </si>
  <si>
    <t>Adora1;Adora2a;Adra1d;Adra2b;Apln;Aplnr;Bdkrb1;C3ar1;C5ar1;Chrna4;Cnr2;Cysltr2;Drd1;Ednra;Ednrb;F2r;F2rl1;F2rl2;Fpr1;Gabrb3;Gabrp;Glra1;Gpr83;Gria3;Grid2;Grpr;Hrh1;Htr2a;Htr7;Ltb4r;Ltb4r2;Mc1r;Npy4r;Ntsr2;P2rx4;P2rx5;P2ry13;P2ry6;Ptafr;Ptgfr;Ptgir;Tac3;Trh</t>
  </si>
  <si>
    <t>rno04110</t>
  </si>
  <si>
    <t>Cell cycle</t>
  </si>
  <si>
    <t>Cellular Processes</t>
  </si>
  <si>
    <t>Cell growth and death</t>
  </si>
  <si>
    <t>Bub1;Bub1b;Ccna2;Ccnb1;Ccnb2;Ccne1;Cdc20;Cdc25c;Cdc45;Cdc6;Cdc7;Cdk1;Cdkn2b;Chek1;Dbf4;E2f1;E2f3;Espl1;Gadd45b;Gadd45g;Mad2l1;Mcm2;Mcm3;Mcm4;Mcm5;Mcm6;Orc6;Pkmyt1;Plk1;Pttg1;Rbl1;Tgfb1;Tgfb2;Tgfb3;Ttk</t>
  </si>
  <si>
    <t>rno04114</t>
  </si>
  <si>
    <t>Oocyte meiosis</t>
  </si>
  <si>
    <t>Adcy2;Adcy7;Aurka;Bub1;Camk2b;Ccnb1;Ccnb2;Ccne1;Cdc20;Cdc25c;Cdk1;Espl1;Fbxo5;Igf1;Mad2l1;Pgr;Pkmyt1;Plk1;Pttg1;Sgo1</t>
  </si>
  <si>
    <t>rno04115</t>
  </si>
  <si>
    <t>p53 signaling pathway</t>
  </si>
  <si>
    <t>Ccnb1;Ccnb2;Ccne1;Cdk1;Chek1;Fas;Gadd45b;Gadd45g;Gtse1;Igf1;Pmaip1;Rrm2;Serpine1;Thbs1;Tp73</t>
  </si>
  <si>
    <t>rno04120</t>
  </si>
  <si>
    <t>Ubiquitin mediated proteolysis</t>
  </si>
  <si>
    <t>Brca1;Cdc20;Klhl13;Socs3;Ube2c;Ube2l6;Ube2q2l</t>
  </si>
  <si>
    <t>rno04130</t>
  </si>
  <si>
    <t>SNARE interactions in vesicular transport</t>
  </si>
  <si>
    <t>Ykt6</t>
  </si>
  <si>
    <t>rno04137</t>
  </si>
  <si>
    <t>Mitophagy - animal</t>
  </si>
  <si>
    <t>Transport and catabolism</t>
  </si>
  <si>
    <t>E2f1;Mapk10;Rras2</t>
  </si>
  <si>
    <t>rno04140</t>
  </si>
  <si>
    <t>Autophagy - animal</t>
  </si>
  <si>
    <t>Mapk10;Rras2;Tp53inp2;Vmp1</t>
  </si>
  <si>
    <t>rno04141</t>
  </si>
  <si>
    <t>Protein processing in endoplasmic reticulum</t>
  </si>
  <si>
    <t>Bag2;Bak1;Calr;Casp12;Ckap4;Cryab;Edem1;Erp29;Mapk10;P4hb;Pdia6;Sec24d;Sec61b;Sec61g;Ssr2;Ssr4;Txndc5</t>
  </si>
  <si>
    <t>rno04142</t>
  </si>
  <si>
    <t>Lysosome</t>
  </si>
  <si>
    <t>Cd68;Ctsk;Ctss;Ctsz;Laptm5;Lgmn;Litaf;Napsa;Slc11a1</t>
  </si>
  <si>
    <t>rno04144</t>
  </si>
  <si>
    <t>Endocytosis</t>
  </si>
  <si>
    <t>Amph;Arpc1b;Cav3;Ccr5;Cxcr2;Cxcr4;Cyth4;Ehd3;Folr2;Il2ra;Il2rb;Il2rg;Kif5c;Ldlr;RT1-CE3;RT1-N3;Tfrc;Was</t>
  </si>
  <si>
    <t>rno04145</t>
  </si>
  <si>
    <t>Phagosome</t>
  </si>
  <si>
    <t>Atp6v1e2;C3;Calr;Cd14;Clec7a;Coro1a;Ctss;Cybb;Fcar;Fcgr1a;Fcgr3a;Itga2;Itga5;Itgam;Itgav;Itgb1;Itgb2;Msr1;Ncf1;Ncf2;Ncf4;Olr1;RGD1565355;RT1-Bb;RT1-CE3;RT1-Da;RT1-Db1;RT1-DMb;RT1-DOb;RT1-N3;Sec61b;Sec61g;Tfrc;Thbs1;Thbs2;Thbs4;Tlr2;Tuba1a;Tuba1b;Tubb1;Tubb2a;Tubb2b;Tubb3;Tubb5</t>
  </si>
  <si>
    <t>rno04146</t>
  </si>
  <si>
    <t>Peroxisome</t>
  </si>
  <si>
    <t>Idh1;Nos2;Prdx1</t>
  </si>
  <si>
    <t>rno04150</t>
  </si>
  <si>
    <t>mTOR signaling pathway</t>
  </si>
  <si>
    <t>Atp6v1e2;Igf1;Slc7a5;Wnt9b</t>
  </si>
  <si>
    <t>rno04151</t>
  </si>
  <si>
    <t>PI3K-Akt signaling pathway</t>
  </si>
  <si>
    <t>Angpt4;Areg;Bdnf;Brca1;Ccne1;Col1a1;Col1a2;Col4a1;Col4a2;Col6a2;Col6a3;Creb3l4;Csf1r;Csf3r;Ereg;F2r;Fgf18;Fgf9;Fn1;Gnb4;Gng13;Gng2;Gng4;Gngt2;Igf1;Il2ra;Il2rb;Il2rg;Il6;Itga10;Itga2;Itga4;Itga5;Itga8;Itgav;Itgb1;Jak3;Lamb1;Lamc1;Met;NEWGENE_621351;Ngf;Nr4a1;Osmr;Pdgfrb;Pik3cg;Pik3r5;RGD1560020_predicted;Spp1;Syk;Thbs1;Thbs2;Thbs4;Tlr2;Tnc;Tnn;Vegfc;Vwf</t>
  </si>
  <si>
    <t>rno04152</t>
  </si>
  <si>
    <t>AMPK signaling pathway</t>
  </si>
  <si>
    <t>Ccna2;Cftr;Creb3l4;Igf1;RGD1565355</t>
  </si>
  <si>
    <t>rno04210</t>
  </si>
  <si>
    <t>Apoptosis</t>
  </si>
  <si>
    <t>Bak1;Bcl2a1;Birc5;Casp12;Csf2rb;Ctsk;Ctss;Ctsz;Fas;Gadd45b;Gadd45g;Lmnb1;Lmnb2;Mapk10;Ngf;Pmaip1;Tnfrsf10b;Tuba1a;Tuba1b</t>
  </si>
  <si>
    <t>rno04211</t>
  </si>
  <si>
    <t>Longevity regulating pathway - mammal</t>
  </si>
  <si>
    <t>Aging</t>
  </si>
  <si>
    <t>Adcy2;Adcy7;Creb3l4;Igf1</t>
  </si>
  <si>
    <t>rno04213</t>
  </si>
  <si>
    <t>Longevity regulating pathway - multiple species</t>
  </si>
  <si>
    <t>Adcy2;Adcy7;Cryab;Igf1</t>
  </si>
  <si>
    <t>rno04215</t>
  </si>
  <si>
    <t>Apoptosis - multiple species</t>
  </si>
  <si>
    <t>Bak1;Birc5;Mapk10;Pmaip1</t>
  </si>
  <si>
    <t>rno04216</t>
  </si>
  <si>
    <t>Ferroptosis</t>
  </si>
  <si>
    <t>Alox15;Cybb;Hmox1;Slc39a14;Slc39a8;Slc7a11;Tfrc</t>
  </si>
  <si>
    <t>rno04217</t>
  </si>
  <si>
    <t>Necroptosis</t>
  </si>
  <si>
    <t>Alox15;Camk2b;Cybb;Fas;H2afx;H2afy2;Hist1h2ac;Hist1h2ah;Hist1h2ai;Hist1h2ak;Hist1h2an;Hist1h2ao;Hist2h2aa3;Hist2h2ac;Il1a;Il1b;Jak3;Mapk10;Nlrp3;Pla2g4f;Ripk3;Tnfrsf10b;Zbp1</t>
  </si>
  <si>
    <t>rno04218</t>
  </si>
  <si>
    <t>Cellular senescence</t>
  </si>
  <si>
    <t>Ccna2;Ccnb1;Ccnb2;Ccne1;Cdk1;Cdkn2b;Chek1;E2f1;E2f3;Foxm1;Gadd45b;Gadd45g;Gata4;Il1a;Il6;Map2k3;Mybl2;Rbl1;Rras2;RT1-CE3;RT1-N3;Serpine1;Tgfb1;Tgfb2;Tgfb3</t>
  </si>
  <si>
    <t>rno04260</t>
  </si>
  <si>
    <t>Cardiac muscle contraction</t>
  </si>
  <si>
    <t>Circulatory system</t>
  </si>
  <si>
    <t>Atp1a3;Atp1b1;Cox6a2;Myl4;Tnnc1;Tpm3;Tpm4</t>
  </si>
  <si>
    <t>rno04261</t>
  </si>
  <si>
    <t>Adrenergic signaling in cardiomyocytes</t>
  </si>
  <si>
    <t>Adcy2;Adcy7;Adra1d;Atp1a3;Atp1b1;Camk2b;Creb3l4;Myl4;Pik3cg;Pik3r5;Plcb1;Scn5a;Tnnc1;Tpm3;Tpm4</t>
  </si>
  <si>
    <t>rno04270</t>
  </si>
  <si>
    <t>Vascular smooth muscle contraction</t>
  </si>
  <si>
    <t>Actg2;Adcy2;Adcy7;Adora2a;Adra1d;Edn1;Ednra;Pla2g2d;Pla2g4f;Plcb1;Ptgir;Ramp3</t>
  </si>
  <si>
    <t>rno04310</t>
  </si>
  <si>
    <t>Wnt signaling pathway</t>
  </si>
  <si>
    <t>Camk2b;Gpc4;Mapk10;Mmp7;Peg12;Plcb1;Prickle1;Rac2;Sfrp1;Sfrp4;Wif1;Wisp1;Wnt9b</t>
  </si>
  <si>
    <t>rno04350</t>
  </si>
  <si>
    <t>TGF-beta signaling pathway</t>
  </si>
  <si>
    <t>Bmpr1b;Cdkn2b;Fst;Gdf5;Gdf6;Inhba;Inhbb;Rbl1;Tgfb1;Tgfb2;Tgfb3;Thbs1</t>
  </si>
  <si>
    <t>rno04360</t>
  </si>
  <si>
    <t>Axon guidance</t>
  </si>
  <si>
    <t>Development and regeneration</t>
  </si>
  <si>
    <t>Bmpr1b;Camk2b;Cfl1;Cfl2;Cxcr4;Enah;Ephb2;Fes;Itgb1;Met;Pak1;Plxnc1;Rac2;Rnd1;Robo2;Sema3d;Slit2;Slit3;Unc5a</t>
  </si>
  <si>
    <t>rno04370</t>
  </si>
  <si>
    <t>VEGF signaling pathway</t>
  </si>
  <si>
    <t>Pla2g4f;Ptgs2;Rac2;Sh2d2a;Sphk1</t>
  </si>
  <si>
    <t>rno04371</t>
  </si>
  <si>
    <t>Apelin signaling pathway</t>
  </si>
  <si>
    <t>Adcy2;Adcy7;Apln;Aplnr;Ctgf;Egr1;Gnb4;Gng13;Gng2;Gng4;Gngt2;Myl4;Nos2;Pik3cg;Pik3r5;Plat;Plcb1;Rras2;Serpine1;Sphk1;Spp1</t>
  </si>
  <si>
    <t>rno04380</t>
  </si>
  <si>
    <t>Osteoclast differentiation</t>
  </si>
  <si>
    <t>Btk;Csf1r;Ctsk;Fcgr1a;Fcgr3a;Il1a;Il1b;Il1r1;Lck;Lilra5;Lilrb1;Lilrb3;Lilrb3a;Lilrb3l;Lilrb4;Lilrc2;Mapk10;Ncf1;Ncf2;Ncf4;Oscar;Pirb;Sirpa;Socs3;Spi1;Syk;Tgfb1;Tgfb2;Tnfrsf11b;Trem2;Tyrobp</t>
  </si>
  <si>
    <t>rno04390</t>
  </si>
  <si>
    <t>Hippo signaling pathway</t>
  </si>
  <si>
    <t>Areg;Birc5;Bmpr1b;Crb2;Ctgf;Gdf5;Gdf6;Itgb2;Serpine1;Tead4;Tgfb1;Tgfb2;Tgfb3;Tp73;Wnt9b</t>
  </si>
  <si>
    <t>rno04392</t>
  </si>
  <si>
    <t>Hippo signaling pathway - multiple species</t>
  </si>
  <si>
    <t>Pak1;Tead4</t>
  </si>
  <si>
    <t>rno04510</t>
  </si>
  <si>
    <t>Focal adhesion</t>
  </si>
  <si>
    <t>Cellular community - eukaryotes</t>
  </si>
  <si>
    <t>Actn1;Cav3;Col1a1;Col1a2;Col4a1;Col4a2;Col6a2;Col6a3;Flnc;Fn1;Igf1;Itga10;Itga2;Itga4;Itga5;Itga8;Itgav;Itgb1;Lamb1;Lamc1;Mapk10;Met;Myl12a;NEWGENE_621351;Pak1;Parvg;Pdgfrb;Rac2;Rasgrf1;Spp1;Thbs1;Thbs2;Thbs4;Tnc;Tnn;Vav1;Vegfc;Vwf</t>
  </si>
  <si>
    <t>rno04512</t>
  </si>
  <si>
    <t>ECM-receptor interaction</t>
  </si>
  <si>
    <t>Cd44;Col1a1;Col1a2;Col4a1;Col4a2;Col6a2;Col6a3;Fn1;Gp6;Hmmr;Hspg2;Itga10;Itga2;Itga4;Itga5;Itga8;Itgav;Itgb1;Lamb1;Lamc1;NEWGENE_621351;RGD1565355;Spp1;Sv2c;Thbs1;Thbs2;Thbs4;Tnc;Tnn;Vwf</t>
  </si>
  <si>
    <t>rno04514</t>
  </si>
  <si>
    <t>Cell adhesion molecules (CAMs)</t>
  </si>
  <si>
    <t>Cd2;Cd22;Cd40;Cd80;Cd8b;Cldn15;Cldn2;Ctla4;Icam1;Icos;Itga4;Itga8;Itgal;Itgam;Itgav;Itgb1;Itgb2;Ncam1;Nrxn3;Pdcd1lg2;Ptprc;PVR;RT1-Bb;RT1-CE3;RT1-Da;RT1-Db1;RT1-DMb;RT1-DOb;RT1-N3;Sell;Selp;Selplg;Siglec1;Spn;Vcan;Vtcn1</t>
  </si>
  <si>
    <t>rno04520</t>
  </si>
  <si>
    <t>Adherens junction</t>
  </si>
  <si>
    <t>Actn1;Met;Ptpn6;Rac2;Snai1;Was</t>
  </si>
  <si>
    <t>rno04530</t>
  </si>
  <si>
    <t>Tight junction</t>
  </si>
  <si>
    <t>Actn1;Cftr;Cldn15;Cldn2;Gata4;Hcls1;Itgb1;Mapk10;Micall2;Msn;Myh1;Myh10;Myh2;Myh3;Myh4;Myl12a;Rab13;Tuba1a;Tuba1b;Was</t>
  </si>
  <si>
    <t>rno04540</t>
  </si>
  <si>
    <t>Gap junction</t>
  </si>
  <si>
    <t>Adcy2;Adcy7;Cdk1;Drd1;Gja1;Htr2a;Pdgfrb;Plcb1;Prkg2;Tuba1a;Tuba1b;Tubb1;Tubb2a;Tubb2b;Tubb3;Tubb5</t>
  </si>
  <si>
    <t>rno04550</t>
  </si>
  <si>
    <t>Signaling pathways regulating pluripotency of stem cells</t>
  </si>
  <si>
    <t>Bmpr1b;Igf1;Inhba;Inhbb;Jak3;Lif;Skil;Wnt9b;Zic3</t>
  </si>
  <si>
    <t>rno04610</t>
  </si>
  <si>
    <t>Complement and coagulation cascades</t>
  </si>
  <si>
    <t>Bdkrb1;C1qa;C1qb;C1qc;C2;C3;C3ar1;C4bpa;C5ar1;Cd55;Cfi;F10;F2r;F2rl2;F3;F5;Fgg;Itgam;Itgax;Itgb2;Masp1;Plat;Plau;Plaur;Procr;Serpinb2;Serpine1;Vsig4;Vwf</t>
  </si>
  <si>
    <t>rno04611</t>
  </si>
  <si>
    <t>Platelet activation</t>
  </si>
  <si>
    <t>Adcy2;Adcy7;Btk;Col1a1;Col1a2;Col3a1;F2r;Fcer1g;Fermt3;Fgg;Gp6;Itga2;Itgb1;Lyn;Myl12a;NEWGENE_621351;Pik3cg;Pik3r5;Pla2g4f;Plcb1;Prkg2;Ptgir;Syk;Vwf</t>
  </si>
  <si>
    <t>rno04612</t>
  </si>
  <si>
    <t>Antigen processing and presentation</t>
  </si>
  <si>
    <t>Calr;Cd74;Cd8b;Ciita;Ctss;Ifi30;Lgmn;RT1-Bb;RT1-CE3;RT1-Da;RT1-Db1;RT1-DMb;RT1-DOb;RT1-N3</t>
  </si>
  <si>
    <t>rno04614</t>
  </si>
  <si>
    <t>Renin-angiotensin system</t>
  </si>
  <si>
    <t>Cma1;Cpa3;Mcpt1l1;Ren</t>
  </si>
  <si>
    <t>rno04620</t>
  </si>
  <si>
    <t>Toll-like receptor signaling pathway</t>
  </si>
  <si>
    <t>Ccl5;Cd14;Cd40;Cd80;Ctsk;Cxcl10;Cxcl11;Cxcl9;Il1b;Il6;Irf5;Lbp;Map2k3;Mapk10;Spp1;Tlr1;Tlr2;Tlr7;Tlr8;Tlr9</t>
  </si>
  <si>
    <t>rno04621</t>
  </si>
  <si>
    <t>NOD-like receptor signaling pathway</t>
  </si>
  <si>
    <t>Aim2;Camp;Casp12;Ccl12;Ccl2;Ccl5;Cxcl1;Cxcl2;Cxcl3;Cybb;Gbp2;Gsdmd;Il18;Il1b;Il6;Mapk10;Mefv;Naip5;Naip6;Nlrc4;Nlrp1a;Nlrp3;Oas1a;Oas1b;Oas2;Oas3;Plcb1;Ripk3;Trpm2;Trpv2;Txn1</t>
  </si>
  <si>
    <t>rno04622</t>
  </si>
  <si>
    <t>RIG-I-like receptor signaling pathway</t>
  </si>
  <si>
    <t>Cxcl10;Dhx58;Mapk10</t>
  </si>
  <si>
    <t>rno04623</t>
  </si>
  <si>
    <t>Cytosolic DNA-sensing pathway</t>
  </si>
  <si>
    <t>Aim2;Ccl5;Cxcl10;Il18;Il1b;Il6;Mb21d1;Polr2l;Ripk3;Zbp1</t>
  </si>
  <si>
    <t>rno04625</t>
  </si>
  <si>
    <t>C-type lectin receptor signaling pathway</t>
  </si>
  <si>
    <t>Bcl3;Ccl17;Ccl22;Clec4d;Clec4e;Clec7a;Egr2;Egr3;Fcer1g;Il10;Il1b;Il6;Mapk10;Nlrp3;Pak1;Plk3;Ptgs2;Rras2;Syk</t>
  </si>
  <si>
    <t>rno04630</t>
  </si>
  <si>
    <t>Jak-STAT signaling pathway</t>
  </si>
  <si>
    <t>Aox2;Csf2ra;Csf2rb;Csf3r;Il10;Il11;Il20ra;Il21r;Il22ra1;Il2ra;Il2rb;Il2rg;Il6;Jak3;Lif;Osmr;Pdgfrb;Ptpn6;Socs3</t>
  </si>
  <si>
    <t>rno04640</t>
  </si>
  <si>
    <t>Hematopoietic cell lineage</t>
  </si>
  <si>
    <t>Cd14;Cd2;Cd22;Cd33;Cd37;Cd38;Cd3e;Cd44;Cd55;Cd8b;Csf1r;Csf2ra;Csf3r;Dntt;Fcgr1a;Gypa;Il11;Il1a;Il1b;Il1r1;Il1r2;Il2ra;Il6;Itga2;Itga4;Itga5;Itgam;RGD1565355;RT1-Bb;RT1-Da;RT1-Db1;RT1-DMb;RT1-DOb;Siglech;Tfrc</t>
  </si>
  <si>
    <t>rno04650</t>
  </si>
  <si>
    <t>Natural killer cell mediated cytotoxicity</t>
  </si>
  <si>
    <t>Cd247;Fas;Fcer1g;Fcgr3a;Hcst;Icam1;Itgal;Itgb2;Klrk1;Lck;Ncr3;Pak1;Ptpn6;Rac2;Raet1c;Raet1d;Raet1e;RT1-CE3;RT1-N3;Sh2d1b;Syk;Tnfrsf10b;Tyrobp;Vav1</t>
  </si>
  <si>
    <t>rno04657</t>
  </si>
  <si>
    <t>IL-17 signaling pathway</t>
  </si>
  <si>
    <t>Ccl12;Ccl17;Ccl2;Ccl7;Cxcl1;Cxcl10;Cxcl2;Cxcl3;Cxcl6;Il17b;Il17f;Il17ra;Il1b;Il6;Lcn2;Mapk10;Mmp9;Muc5ac;Muc5b;Ptgs2;S100a8;S100a9</t>
  </si>
  <si>
    <t>rno04658</t>
  </si>
  <si>
    <t>Th1 and Th2 cell differentiation</t>
  </si>
  <si>
    <t>Cd247;Cd3e;Il2ra;Il2rb;Il2rg;Jak3;Lck;Mapk10;Nfkbie;RT1-Bb;RT1-Da;RT1-Db1;RT1-DMb;RT1-DOb;Runx3;Tbx21</t>
  </si>
  <si>
    <t>rno04659</t>
  </si>
  <si>
    <t>Th17 cell differentiation</t>
  </si>
  <si>
    <t>Cd247;Cd3e;Il17f;Il1b;Il1r1;Il21r;Il2ra;Il2rb;Il2rg;Il6;Jak3;Lck;Mapk10;Nfkbie;RT1-Bb;RT1-Da;RT1-Db1;RT1-DMb;RT1-DOb;Tbx21;Tgfb1</t>
  </si>
  <si>
    <t>rno04660</t>
  </si>
  <si>
    <t>T cell receptor signaling pathway</t>
  </si>
  <si>
    <t>Card11;Cd247;Cd3e;Cd8b;Ctla4;Icos;Il10;Lck;Nfkbie;Pak1;Ptpn6;Ptprc;Vav1</t>
  </si>
  <si>
    <t>rno04662</t>
  </si>
  <si>
    <t>B cell receptor signaling pathway</t>
  </si>
  <si>
    <t>Btk;Card11;Cd22;Ifitm1;Inpp5d;Lyn;Nfkbie;Pirb;Ptpn6;Rac2;Syk;Vav1</t>
  </si>
  <si>
    <t>rno04664</t>
  </si>
  <si>
    <t>Fc epsilon RI signaling pathway</t>
  </si>
  <si>
    <t>Btk;Fcer1a;Fcer1g;Inpp5d;Lyn;Map2k3;Mapk10;Pla2g4f;Rac2;Syk;Vav1</t>
  </si>
  <si>
    <t>rno04666</t>
  </si>
  <si>
    <t>Fc gamma R-mediated phagocytosis</t>
  </si>
  <si>
    <t>Amph;Arpc1b;Cfl1;Cfl2;Dock2;Fcgr1a;Hck;Inpp5d;Lyn;Myo10;Ncf1;Pak1;Plpp1;Ptprc;Rac2;Sphk1;Syk;Vav1;Was</t>
  </si>
  <si>
    <t>rno04668</t>
  </si>
  <si>
    <t>TNF signaling pathway</t>
  </si>
  <si>
    <t>Bcl3;Ccl12;Ccl2;Ccl5;Creb3l4;Cxcl1;Cxcl10;Cxcl2;Cxcl3;Edn1;Fas;Icam1;Ifi47;Il1b;Il6;Lif;Map2k3;Mapk10;Mmp9;Ptgs2;Ripk3;Socs3;Tnfrsf1b</t>
  </si>
  <si>
    <t>rno04670</t>
  </si>
  <si>
    <t>Leukocyte transendothelial migration</t>
  </si>
  <si>
    <t>Actn1;Cldn15;Cldn2;Cxcr4;Cybb;Icam1;Itga4;Itgal;Itgam;Itgb1;Itgb2;Mmp2;Mmp9;Msn;Myl12a;Ncf1;Ncf2;Ncf4;Rac2;Thy1;Vav1</t>
  </si>
  <si>
    <t>rno04672</t>
  </si>
  <si>
    <t>Intestinal immune network for IgA production</t>
  </si>
  <si>
    <t>Cd40;Cd80;Cxcr4;Icos;Il10;Il6;Itga4;RT1-Bb;RT1-Da;RT1-Db1;RT1-DMb;RT1-DOb;Tgfb1</t>
  </si>
  <si>
    <t>rno04710</t>
  </si>
  <si>
    <t>Circadian rhythm</t>
  </si>
  <si>
    <t>Environmental adaptation</t>
  </si>
  <si>
    <t>Bhlhe40</t>
  </si>
  <si>
    <t>rno04713</t>
  </si>
  <si>
    <t>Circadian entrainment</t>
  </si>
  <si>
    <t>Adcy2;Adcy7;Camk2b;Gnb4;Gng13;Gng2;Gng4;Gngt2;Gria3;Plcb1;Prkg2</t>
  </si>
  <si>
    <t>rno04714</t>
  </si>
  <si>
    <t>Thermogenesis</t>
  </si>
  <si>
    <t>Adcy2;Adcy7;Cox6a2;Creb3l4;Map2k3;Ndufa4l2;Prkg2</t>
  </si>
  <si>
    <t>rno04720</t>
  </si>
  <si>
    <t>Long-term potentiation</t>
  </si>
  <si>
    <t>Nervous system</t>
  </si>
  <si>
    <t>Camk2b;Plcb1</t>
  </si>
  <si>
    <t>rno04721</t>
  </si>
  <si>
    <t>Synaptic vesicle cycle</t>
  </si>
  <si>
    <t>Atp6v1e2;Slc17a6</t>
  </si>
  <si>
    <t>rno04722</t>
  </si>
  <si>
    <t>Neurotrophin signaling pathway</t>
  </si>
  <si>
    <t>Bdnf;Camk2b;Mapk10;Matk;Nfkbie;Ngf;Sh2b2;Tp73</t>
  </si>
  <si>
    <t>rno04723</t>
  </si>
  <si>
    <t>Retrograde endocannabinoid signaling</t>
  </si>
  <si>
    <t>Adcy2;Adcy7;Gabrb3;Gabrp;Gnb4;Gng13;Gng2;Gng4;Gngt2;Gria3;Mapk10;Ndufa4l2;Plcb1;Ptgs2;Slc17a6</t>
  </si>
  <si>
    <t>rno04724</t>
  </si>
  <si>
    <t>Glutamatergic synapse</t>
  </si>
  <si>
    <t>Adcy2;Adcy7;Gnb4;Gng13;Gng2;Gng4;Gngt2;Gria3;Pla2g4f;Plcb1;Slc17a6</t>
  </si>
  <si>
    <t>rno04725</t>
  </si>
  <si>
    <t>Cholinergic synapse</t>
  </si>
  <si>
    <t>Adcy2;Adcy7;Camk2b;Chrna4;Creb3l4;Gnb4;Gng13;Gng2;Gng4;Gngt2;Kcnj2;Pik3cg;Pik3r5;Plcb1;Slc5a7</t>
  </si>
  <si>
    <t>rno04726</t>
  </si>
  <si>
    <t>Serotonergic synapse</t>
  </si>
  <si>
    <t>Alox15;Cyp2d1;Gabrb3;Gnb4;Gng13;Gng2;Gng4;Gngt2;Htr2a;Htr7;Pla2g4f;Plcb1;Ptgs2;Tph1</t>
  </si>
  <si>
    <t>rno04727</t>
  </si>
  <si>
    <t>GABAergic synapse</t>
  </si>
  <si>
    <t>Adcy2;Adcy7;Gabrb3;Gabrp;Gnb4;Gng13;Gng2;Gng4;Gngt2</t>
  </si>
  <si>
    <t>rno04728</t>
  </si>
  <si>
    <t>Dopaminergic synapse</t>
  </si>
  <si>
    <t>Camk2b;Creb3l4;Drd1;Gnb4;Gng13;Gng2;Gng4;Gngt2;Gria3;Kif5c;Mapk10;Plcb1</t>
  </si>
  <si>
    <t>rno04730</t>
  </si>
  <si>
    <t>Long-term depression</t>
  </si>
  <si>
    <t>Gria3;Grid2;Igf1;Lyn;Pla2g4f;Plcb1;Prkg2</t>
  </si>
  <si>
    <t>rno04740</t>
  </si>
  <si>
    <t>Olfactory transduction</t>
  </si>
  <si>
    <t>Sensory system</t>
  </si>
  <si>
    <t>Camk2b;Gng13;Olr1584;Olr59;Olr63;Prkg2</t>
  </si>
  <si>
    <t>rno04742</t>
  </si>
  <si>
    <t>Taste transduction</t>
  </si>
  <si>
    <t>Gng13;Scnn1a;Trpm5</t>
  </si>
  <si>
    <t>rno04750</t>
  </si>
  <si>
    <t>Inflammatory mediator regulation of TRP channels</t>
  </si>
  <si>
    <t>Adcy2;Adcy7;Bdkrb1;Camk2b;F2rl1;Hrh1;Htr2a;Igf1;Il1b;Il1r1;Map2k3;Mapk10;Ngf;Pla2g4f;Plcb1;Trpm8;Trpv2</t>
  </si>
  <si>
    <t>rno04810</t>
  </si>
  <si>
    <t>Regulation of actin cytoskeleton</t>
  </si>
  <si>
    <t>Cell motility</t>
  </si>
  <si>
    <t>Actn1;Arpc1b;Bdkrb1;Cd14;Cfl1;Cfl2;Diaph3;Enah;F2r;Fgd3;Fgf18;Fgf9;Fn1;Insrr;Iqgap3;Itga10;Itga2;Itga4;Itga5;Itga8;Itgal;Itgam;Itgav;Itgax;Itgb1;Itgb2;Msn;Myh10;Myl12a;Nckap1l;Pak1;Pdgfrb;Rac2;Rras2;Vav1;Was</t>
  </si>
  <si>
    <t>rno04910</t>
  </si>
  <si>
    <t>Insulin signaling pathway</t>
  </si>
  <si>
    <t>Hk3;Mapk10;Sh2b2;Socs3</t>
  </si>
  <si>
    <t>rno04911</t>
  </si>
  <si>
    <t>Insulin secretion</t>
  </si>
  <si>
    <t>Adcy2;Adcy7;Atp1a3;Atp1b1;Camk2b;Creb3l4;Plcb1;Slc2a1</t>
  </si>
  <si>
    <t>rno04912</t>
  </si>
  <si>
    <t>GnRH signaling pathway</t>
  </si>
  <si>
    <t>Adcy2;Adcy7;Camk2b;Hbegf;Map2k3;Mapk10;Mmp2;Pla2g4f;Plcb1</t>
  </si>
  <si>
    <t>rno04913</t>
  </si>
  <si>
    <t>Ovarian Steroidogenesis</t>
  </si>
  <si>
    <t>Adcy2;Adcy7;Cyp1b1;Igf1;Ldlr;Pla2g4f;Ptgs2</t>
  </si>
  <si>
    <t>rno04914</t>
  </si>
  <si>
    <t>Progesterone-mediated oocyte maturation</t>
  </si>
  <si>
    <t>Adcy2;Adcy7;Aurka;Bub1;Ccna2;Ccnb1;Ccnb2;Cdc25c;Cdk1;Igf1;Kif22;Mad2l1;Mapk10;Pgr;Pkmyt1;Plk1</t>
  </si>
  <si>
    <t>rno04915</t>
  </si>
  <si>
    <t>Estrogen signaling pathway</t>
  </si>
  <si>
    <t>Adcy2;Adcy7;Creb3l4;Hbegf;Krt14;Krt17;Mmp2;Mmp9;Pgr;Plcb1</t>
  </si>
  <si>
    <t>rno04916</t>
  </si>
  <si>
    <t>Melanogenesis</t>
  </si>
  <si>
    <t>Adcy2;Adcy7;Camk2b;Creb3l4;Edn1;Ednrb;Mc1r;Plcb1;Wnt9b</t>
  </si>
  <si>
    <t>rno04917</t>
  </si>
  <si>
    <t>Prolactin signaling pathway</t>
  </si>
  <si>
    <t>Mapk10;Socs3</t>
  </si>
  <si>
    <t>rno04918</t>
  </si>
  <si>
    <t>Thyroid hormone synthesis</t>
  </si>
  <si>
    <t>Adcy2;Adcy7;Atp1a3;Atp1b1;Creb3l4;Gpx2;Gpx7;Pax8;Plcb1;Tg</t>
  </si>
  <si>
    <t>rno04919</t>
  </si>
  <si>
    <t>Thyroid hormone signaling pathway</t>
  </si>
  <si>
    <t>Atp1a3;Atp1b1;Dio2;Dio3;Gata4;Itgav;Plcb1;Rcan1;Slc2a1</t>
  </si>
  <si>
    <t>rno04920</t>
  </si>
  <si>
    <t>Adipocytokine signaling pathway</t>
  </si>
  <si>
    <t>Mapk10;Nfkbie;RGD1565355;Slc2a1;Socs3;Tnfrsf1b</t>
  </si>
  <si>
    <t>rno04921</t>
  </si>
  <si>
    <t>Oxytocin signaling pathway</t>
  </si>
  <si>
    <t>Adcy2;Adcy7;Camk2b;Cd38;Kcnj2;Pik3cg;Pik3r5;Pla2g4f;Plcb1;Ptgs2;Rcan1;Trpm2</t>
  </si>
  <si>
    <t>rno04922</t>
  </si>
  <si>
    <t>Glucagon signaling pathway</t>
  </si>
  <si>
    <t>Adcy2;Camk2b;Creb3l4;Ldha;Plcb1;Slc2a1</t>
  </si>
  <si>
    <t>rno04923</t>
  </si>
  <si>
    <t>Regulation of lipolysis in adipocyte</t>
  </si>
  <si>
    <t>Adcy2;Adcy7;Adora1;Fabp4;Prkg2;Ptgs2</t>
  </si>
  <si>
    <t>rno04924</t>
  </si>
  <si>
    <t>Renin secretion</t>
  </si>
  <si>
    <t>Adora1;Clca1;Clca2;Clca4;Clca4l;Clca5;Ednra;Kcnj2;Plcb1;Prkg2;Ren</t>
  </si>
  <si>
    <t>rno04925</t>
  </si>
  <si>
    <t>Aldosterone synthesis and secretion</t>
  </si>
  <si>
    <t>Adcy2;Adcy7;Atp1a3;Atp1b1;Camk2b;Creb3l4;Ldlr;Nr4a1;Plcb1</t>
  </si>
  <si>
    <t>rno04926</t>
  </si>
  <si>
    <t>Relaxin signaling pathway</t>
  </si>
  <si>
    <t>Adcy2;Adcy7;Col1a1;Col1a2;Col3a1;Col4a1;Col4a2;Creb3l4;Edn1;Ednrb;Gnb4;Gng13;Gng2;Gng4;Gngt2;Mapk10;Mmp2;Mmp9;NEWGENE_621351;Nos2;Plcb1;Tgfb1;Vegfc</t>
  </si>
  <si>
    <t>rno04927</t>
  </si>
  <si>
    <t>Cortisol synthesis and secretion</t>
  </si>
  <si>
    <t>Adcy2;Adcy7;Creb3l4;Cyp11b2;Ldlr;Nr4a1;Plcb1</t>
  </si>
  <si>
    <t>rno04930</t>
  </si>
  <si>
    <t>Type II diabetes mellitus</t>
  </si>
  <si>
    <t>Endocrine and metabolic disease</t>
  </si>
  <si>
    <t>Hk3;Mapk10;Socs3</t>
  </si>
  <si>
    <t>rno04931</t>
  </si>
  <si>
    <t>Insulin resistance</t>
  </si>
  <si>
    <t>Creb3l4;Il6;Mapk10;RGD1565355;Slc2a1;Socs3;Trib3</t>
  </si>
  <si>
    <t>rno04932</t>
  </si>
  <si>
    <t>Non-alcoholic fatty liver disease (NAFLD)</t>
  </si>
  <si>
    <t>Cox6a2;Fas;Il1a;Il1b;Il6;Mapk10;Ndufa4l2;Socs3;Tgfb1</t>
  </si>
  <si>
    <t>rno04933</t>
  </si>
  <si>
    <t>AGE-RAGE signaling pathway in diabetic complications</t>
  </si>
  <si>
    <t>Ccl12;Ccl2;Col1a1;Col1a2;Col3a1;Col4a1;Col4a2;Cybb;Edn1;Egr1;F3;Fn1;Icam1;Il1a;Il1b;Il6;Mapk10;Mmp2;NEWGENE_621351;Nox4;Plcb1;Serpine1;Tgfb1;Tgfb2;Tgfb3;Vegfc</t>
  </si>
  <si>
    <t>rno04934</t>
  </si>
  <si>
    <t>Cushing's syndrome</t>
  </si>
  <si>
    <t>Adcy2;Adcy7;Camk2b;Ccne1;Cdkn2b;Creb3l4;Cyp11b2;E2f1;E2f3;Ldlr;Nr4a1;Plcb1;Wnt9b</t>
  </si>
  <si>
    <t>rno04940</t>
  </si>
  <si>
    <t>Type I diabetes mellitus</t>
  </si>
  <si>
    <t>Cd80;Fas;Il1a;Il1b;Ptprn;RT1-Bb;RT1-CE3;RT1-Da;RT1-Db1;RT1-DMb;RT1-DOb;RT1-N3</t>
  </si>
  <si>
    <t>rno04960</t>
  </si>
  <si>
    <t>Aldosterone-regulated sodium reabsorption</t>
  </si>
  <si>
    <t>Excretory system</t>
  </si>
  <si>
    <t>Atp1a3;Atp1b1;Igf1;Scnn1a</t>
  </si>
  <si>
    <t>rno04961</t>
  </si>
  <si>
    <t>Endocrine and other factor-regulated calcium reabsorption</t>
  </si>
  <si>
    <t>Atp1a3;Atp1b1;Plcb1</t>
  </si>
  <si>
    <t>rno04962</t>
  </si>
  <si>
    <t>Vasopressin-regulated water reabsorption</t>
  </si>
  <si>
    <t>Creb3l4</t>
  </si>
  <si>
    <t>rno04964</t>
  </si>
  <si>
    <t>Proximal tubule bicarbonate reclamation</t>
  </si>
  <si>
    <t>Atp1a3;Atp1b1;Car2</t>
  </si>
  <si>
    <t>rno04966</t>
  </si>
  <si>
    <t>Collecting duct acid secretion</t>
  </si>
  <si>
    <t>Atp6v1e2;Car2;Slc4a1</t>
  </si>
  <si>
    <t>rno04970</t>
  </si>
  <si>
    <t>Salivary secretion</t>
  </si>
  <si>
    <t>Digestive system</t>
  </si>
  <si>
    <t>Adcy2;Adcy7;Adra1d;Atp1a3;Atp1b1;Bst1;Camp;Cd38;Lyz2;Muc5b;Plcb1;Prkg2</t>
  </si>
  <si>
    <t>rno04971</t>
  </si>
  <si>
    <t>Gastric acid secretion</t>
  </si>
  <si>
    <t>Adcy2;Adcy7;Atp1a3;Atp1b1;Camk2b;Car2;Cftr;Kcnj16;Kcnj2;Plcb1</t>
  </si>
  <si>
    <t>rno04972</t>
  </si>
  <si>
    <t>Pancreatic secretion</t>
  </si>
  <si>
    <t>Adcy2;Adcy7;Atp1a3;Atp1b1;Bst1;Car2;Cd38;Cftr;Clca1;Clca2;Clca4;Clca4l;Clca5;Cpa3;Ctrb1;Pla2g2d;Plcb1</t>
  </si>
  <si>
    <t>rno04973</t>
  </si>
  <si>
    <t>Carbohydrate digestion and absorption</t>
  </si>
  <si>
    <t>Atp1a3;Atp1b1;Hk3;Slc2a5</t>
  </si>
  <si>
    <t>rno04974</t>
  </si>
  <si>
    <t>Protein digestion and absorption</t>
  </si>
  <si>
    <t>Atp1a3;Atp1b1;Col11a1;Col12a1;Col15a1;Col18a1;Col1a1;Col1a2;Col3a1;Col4a1;Col4a2;Col5a1;Col5a2;Col6a2;Col6a3;Col7a1;Cpa3;Ctrb1;Dpp4;Eln;NEWGENE_621351;Slc15a1</t>
  </si>
  <si>
    <t>rno04975</t>
  </si>
  <si>
    <t>Fat digestion and absorption</t>
  </si>
  <si>
    <t>Pla2g2d;Plpp1;RGD1565355</t>
  </si>
  <si>
    <t>rno04976</t>
  </si>
  <si>
    <t>Bile secretion</t>
  </si>
  <si>
    <t>Abcb1b;Abcb4;Abcc4;Adcy2;Adcy7;Aqp8;Atp1a3;Atp1b1;Car2;Cftr;Ldlr;Slc2a1;Slc4a5</t>
  </si>
  <si>
    <t>rno04977</t>
  </si>
  <si>
    <t>Vitamin digestion and absorption</t>
  </si>
  <si>
    <t>Lrat;Rbp2;Slc52a3</t>
  </si>
  <si>
    <t>rno04978</t>
  </si>
  <si>
    <t>Mineral absorption</t>
  </si>
  <si>
    <t>Atp1a3;Atp1b1;Hmox1;S100g;Slc26a9;Steap1;Trpm6</t>
  </si>
  <si>
    <t>rno04979</t>
  </si>
  <si>
    <t>Cholesterol metabolism</t>
  </si>
  <si>
    <t>Angptl4;Apoc3;Ldlr;Lipg;Pcsk9;RGD1565355;Soat1</t>
  </si>
  <si>
    <t>rno05010</t>
  </si>
  <si>
    <t>Alzheimer's disease</t>
  </si>
  <si>
    <t>Neurodegenerative disease</t>
  </si>
  <si>
    <t>Casp12;Cox6a2;Fas;Il1b;Ndufa4l2;Plcb1</t>
  </si>
  <si>
    <t>rno05012</t>
  </si>
  <si>
    <t>Parkinson's disease</t>
  </si>
  <si>
    <t>Adora2a;Cox6a2;Drd1;Ndufa4l2;Sept5;Ube2l6</t>
  </si>
  <si>
    <t>rno05014</t>
  </si>
  <si>
    <t>Amyotrophic lateral sclerosis (ALS)</t>
  </si>
  <si>
    <t>Casp12;Map2k3;Tnfrsf1b</t>
  </si>
  <si>
    <t>rno05016</t>
  </si>
  <si>
    <t>Huntington's disease</t>
  </si>
  <si>
    <t>Bdnf;Cox6a2;Creb3l4;Hip1;Ndufa4l2;Plcb1;Polr2l</t>
  </si>
  <si>
    <t>rno05020</t>
  </si>
  <si>
    <t>Prion diseases</t>
  </si>
  <si>
    <t>C1qa;C1qb;C1qc;Casp12;Ccl5;Egr1;Il1a;Il1b;Il6;Lamc1;Ncam1</t>
  </si>
  <si>
    <t>rno05030</t>
  </si>
  <si>
    <t>Cocaine addiction</t>
  </si>
  <si>
    <t>Substance dependence</t>
  </si>
  <si>
    <t>Bdnf;Creb3l4;Drd1</t>
  </si>
  <si>
    <t>rno05031</t>
  </si>
  <si>
    <t>Amphetamine addiction</t>
  </si>
  <si>
    <t>Camk2b;Creb3l4;Drd1;Gria3</t>
  </si>
  <si>
    <t>rno05032</t>
  </si>
  <si>
    <t>Morphine addiction</t>
  </si>
  <si>
    <t>Adcy2;Adcy7;Adora1;Drd1;Gabrb3;Gabrp;Gnb4;Gng13;Gng2;Gng4;Gngt2</t>
  </si>
  <si>
    <t>rno05033</t>
  </si>
  <si>
    <t>Nicotine addiction</t>
  </si>
  <si>
    <t>Chrna4;Gabrb3;Gabrp;Gria3;Slc17a6</t>
  </si>
  <si>
    <t>rno05034</t>
  </si>
  <si>
    <t>Alcoholism</t>
  </si>
  <si>
    <t>Adora2a;Bdnf;Creb3l4;Drd1;Gnb4;Gng13;Gng2;Gng4;Gngt2;H2afx;H2afy2;Hist1h2ac;Hist1h2ah;Hist1h2ai;Hist1h2ail1;Hist1h2ak;Hist1h2an;Hist1h2ao;Hist1h2ba;Hist1h2bcl1;Hist1h2bd;Hist1h2bf;Hist1h2bh;Hist1h2bk;Hist1h2bl;Hist1h2bo;Hist1h3a;Hist2h2aa3;Hist2h2ac;Hist2h3c2;Hist2h4;Hist2h4a;Hist3h2bb</t>
  </si>
  <si>
    <t>rno05100</t>
  </si>
  <si>
    <t>Bacterial invasion of epithelial cells</t>
  </si>
  <si>
    <t>Infectious disease: bacterial</t>
  </si>
  <si>
    <t>Arpc1b;Cav3;Fn1;Hcls1;Itga5;Itgb1;Met;Sept11;Was</t>
  </si>
  <si>
    <t>rno05132</t>
  </si>
  <si>
    <t>Salmonella infection</t>
  </si>
  <si>
    <t>Arpc1b;Cd14;Cxcl1;Cxcl2;Cxcl3;Flnc;Il18;Il1a;Il1b;Il6;Lbp;Mapk10;Nlrc4;Nos2;Was</t>
  </si>
  <si>
    <t>rno05133</t>
  </si>
  <si>
    <t>Pertussis</t>
  </si>
  <si>
    <t>C1qa;C1qb;C1qc;C2;C3;C4bpa;Cd14;Cfl1;Cfl2;Cxcl6;Il10;Il1a;Il1b;Il6;Irf8;Itga5;Itgam;Itgb1;Itgb2;Mapk10;Nlrp3;Nos2</t>
  </si>
  <si>
    <t>rno05134</t>
  </si>
  <si>
    <t>Legionellosis</t>
  </si>
  <si>
    <t>C3;Cd14;Cxcl1;Cxcl2;Cxcl3;Il18;Il1b;Il6;Itgam;Itgb2;Naip5;Naip6;Nlrc4;Tlr2</t>
  </si>
  <si>
    <t>rno05140</t>
  </si>
  <si>
    <t>Leishmaniasis</t>
  </si>
  <si>
    <t>Infectious disease: parasitic</t>
  </si>
  <si>
    <t>C3;Cybb;Fcgr1a;Fcgr3a;Il10;Il1a;Il1b;Itga4;Itgam;Itgb1;Itgb2;Ncf1;Ncf2;Ncf4;Nos2;Ptgs2;Ptpn6;RT1-Bb;RT1-Da;RT1-Db1;RT1-DMb;RT1-DOb;Tgfb1;Tgfb2;Tgfb3;Tlr2</t>
  </si>
  <si>
    <t>rno05142</t>
  </si>
  <si>
    <t>Chagas disease (American trypanosomiasis)</t>
  </si>
  <si>
    <t>C1qa;C1qb;C1qc;C3;Calr;Ccl12;Ccl2;Ccl5;Cd247;Cd3e;Fas;Il10;Il1b;Il6;Mapk10;Nos2;Plcb1;Serpine1;Tgfb1;Tgfb2;Tgfb3;Tlr2;Tlr9</t>
  </si>
  <si>
    <t>rno05143</t>
  </si>
  <si>
    <t>African trypanosomiasis</t>
  </si>
  <si>
    <t>F2rl1;Fas;Hbb;Icam1;Ido1;Il10;Il18;Il1b;Il6;Plcb1;Tlr9</t>
  </si>
  <si>
    <t>rno05144</t>
  </si>
  <si>
    <t>Malaria</t>
  </si>
  <si>
    <t>Ccl12;Ccl2;Cd40;Gypa;Hbb;Icam1;Il10;Il18;Il1b;Il6;Itgal;Itgb2;Klrb1b;Klrb1c;Klrk1;Met;RGD1565355;Selp;Tgfb1;Tgfb2;Tgfb3;Thbs1;Thbs2;Thbs4;Tlr2;Tlr9</t>
  </si>
  <si>
    <t>rno05145</t>
  </si>
  <si>
    <t>Toxoplasmosis</t>
  </si>
  <si>
    <t>Ccr5;Cd40;Ciita;Il10;Itgb1;Lamb1;Lamc1;Ldlr;Map2k3;Mapk10;Nos2;Pik3cg;Pik3r5;RT1-Bb;RT1-Da;RT1-Db1;RT1-DMb;RT1-DOb;Tgfb1;Tgfb2;Tgfb3;Tlr2</t>
  </si>
  <si>
    <t>rno05146</t>
  </si>
  <si>
    <t>Amoebiasis</t>
  </si>
  <si>
    <t>Actn1;Arg1;Cd14;Col1a1;Col1a2;Col3a1;Col4a1;Col4a2;Fn1;Il10;Il1b;Il1r1;Il1r2;Il6;Itgam;Itgb2;Lamb1;Lamc1;NEWGENE_621351;Nos2;Plcb1;Serpinb10;Serpinb3a;Serpinb9;Tgfb1;Tgfb2;Tgfb3;Tlr2</t>
  </si>
  <si>
    <t>rno05150</t>
  </si>
  <si>
    <t>Staphylococcus aureus infection</t>
  </si>
  <si>
    <t>C1qa;C1qb;C1qc;C2;C3;C3ar1;C5ar1;Cfi;Fcar;Fcgr1a;Fcgr3a;Fgg;Fpr1;Icam1;Il10;Itgal;Itgam;Itgb2;Masp1;Ptafr;RT1-Bb;RT1-Da;RT1-Db1;RT1-DMb;RT1-DOb;Selp;Selplg</t>
  </si>
  <si>
    <t>rno05152</t>
  </si>
  <si>
    <t>Tuberculosis</t>
  </si>
  <si>
    <t>C3;Camk2b;Camp;Cd14;Cd74;Ciita;Clec4e;Clec7a;Coro1a;Ctss;Cyp27b1;Fcer1g;Fcgr1a;Fcgr3a;Il10;Il18;Il1a;Il1b;Il6;Itgam;Itgax;Itgb2;Lbp;Mapk10;Nos2;Plk3;RT1-Bb;RT1-Da;RT1-Db1;RT1-DMb;RT1-DOb;Sphk1;Syk;Tgfb1;Tgfb2;Tgfb3;Tlr1;Tlr2;Tlr9</t>
  </si>
  <si>
    <t>rno05160</t>
  </si>
  <si>
    <t>Hepatitis C</t>
  </si>
  <si>
    <t>Infectious disease: viral</t>
  </si>
  <si>
    <t>Cldn15;Cldn2;Ldlr;Mapk10;Oas1a;Oas1b;Oas2;Oas3;Socs3</t>
  </si>
  <si>
    <t>rno05161</t>
  </si>
  <si>
    <t>Hepatitis B</t>
  </si>
  <si>
    <t>Birc5;Casp12;Ccna2;Ccne1;Creb3l4;E2f1;E2f3;Egr2;Egr3;Fas;Hspg2;Il6;Mapk10;Mmp9;Tgfb1;Tgfb2;Tgfb3;Tlr2</t>
  </si>
  <si>
    <t>rno05162</t>
  </si>
  <si>
    <t>Measles</t>
  </si>
  <si>
    <t>Ccne1;Cd3e;Fas;Il1a;Il1b;Il2ra;Il2rb;Il2rg;Il6;Jak3;Msn;Oas1a;Oas1b;Oas2;Oas3;Tlr2;Tlr7;Tlr9;Tnfrsf10b;Tp73</t>
  </si>
  <si>
    <t>rno05164</t>
  </si>
  <si>
    <t>Influenza A</t>
  </si>
  <si>
    <t>Ccl12;Ccl2;Ccl5;Ciita;Cxcl10;Fas;Fdps;Icam1;Il18;Il1a;Il1b;Il6;Kpna2;Map2k3;Mapk10;Nlrp3;Oas1a;Oas1b;Oas2;Oas3;Rsad2;RT1-Bb;RT1-Da;RT1-Db1;RT1-DMb;RT1-DOb;Socs3;Tlr7;Tnfrsf10b</t>
  </si>
  <si>
    <t>rno05165</t>
  </si>
  <si>
    <t>Human papillomavirus infection</t>
  </si>
  <si>
    <t>Bak1;Ccna2;Ccne1;Col1a1;Col1a2;Col4a1;Col4a2;Col6a2;Col6a3;Creb3l4;E2f1;Fas;Fn1;Heyl;Itga10;Itga2;Itga4;Itga5;Itga8;Itgav;Itgb1;Lamb1;Lamc1;NEWGENE_621351;Oasl;Oasl2;Pdgfrb;Ptgs2;Rbl1;RT1-CE3;RT1-N3;Spp1;Thbs1;Thbs2;Thbs4;Tnc;Tnn;Vwf;Wnt9b</t>
  </si>
  <si>
    <t>rno05166</t>
  </si>
  <si>
    <t>HTLV-I infection</t>
  </si>
  <si>
    <t>Adcy2;Adcy7;Bub1b;Calr;Ccnb2;Cd3e;Cd40;Cdc20;Cdkn2b;Chek1;E2f1;E2f3;Egr1;Egr2;Fdps;Icam1;Il1r1;Il1r2;Il2ra;Il2rb;Il2rg;Il6;Itgal;Itgb2;Jak3;Lck;Mad2l1;Mybl2;Pdgfrb;Pole;Pole2;Pttg1;Ran;RGD1560020_predicted;Rras2;RT1-Bb;RT1-CE3;RT1-Da;RT1-Db1;RT1-DMb;RT1-DOb;RT1-N3;Slc2a1;Spi1;Tgfb1;Tgfb2;Tgfb3;Wnt9b</t>
  </si>
  <si>
    <t>rno05167</t>
  </si>
  <si>
    <t>Kaposi's sarcoma-associated herpesvirus infection</t>
  </si>
  <si>
    <t>Bak1;C3;Ccr1l1;Ccr3;Ccr4;Ccr5;Cd200r1;Cxcl1;Cxcl2;Cxcl3;E2f1;E2f3;Fas;Gnb4;Gng13;Gng2;Gng4;Gngt2;Hck;Icam1;Il6;Lyn;Mapk10;Pik3cg;Pik3r5;Prex1;Ptgs2;Rcan1;RT1-CE3;RT1-N3;Syk</t>
  </si>
  <si>
    <t>rno05168</t>
  </si>
  <si>
    <t>Herpes simplex infection</t>
  </si>
  <si>
    <t>C3;Ccl12;Ccl2;Ccl5;Cd74;Cdk1;Cfp;Fas;Il1b;Il6;Mapk10;Oas1a;Oas1b;Oas2;Oas3;RT1-Bb;RT1-CE3;RT1-Da;RT1-Db1;RT1-DMb;RT1-DOb;RT1-N3;Socs3;Tlr2;Tlr9</t>
  </si>
  <si>
    <t>rno05169</t>
  </si>
  <si>
    <t>Epstein-Barr virus infection</t>
  </si>
  <si>
    <t>Ccna2;Cd38;Cd40;Cd44;Cdk1;Entpd8;Fgr;Icam1;Il10;Itgal;Jak3;Lyn;Map2k3;Mapk10;Nfkbie;Polr2l;Ran;RT1-CE3;RT1-N3;Spi1;Spn;Syk;Vim</t>
  </si>
  <si>
    <t>rno05200</t>
  </si>
  <si>
    <t>Pathways in cancer</t>
  </si>
  <si>
    <t>Cancer: overview</t>
  </si>
  <si>
    <t>Adcy2;Adcy7;Arnt2;Bak1;Bdkrb1;Birc5;Camk2b;Ccne1;Cdkn2b;Cks1b;Cks2;Col4a1;Col4a2;Csf1r;Csf2ra;Csf2rb;Csf3r;Cxcr4;E2f1;E2f3;Ednra;Ednrb;F2r;Fas;Fgf18;Fgf9;Fn1;Gadd45b;Gadd45g;Gnb4;Gng13;Gng2;Gng4;Gngt2;Gsta2;Gsta3;Gsta5;Gstm1;Gstp1;Heyl;Hmox1;Igf1;Il2ra;Il2rb;Il2rg;Il6;Itga2;Itgav;Itgb1;Jak3;Lamb1;Lamc1;Mapk10;Met;Mmp2;Mmp9;Nos2;Nqo1;Pax8;Pdgfrb;Peg12;Plcb1;Pmaip1;Ptgs2;Rac2;Rad51;Rasgrp4;Ret;Slc2a1;Spi1;Tfg;Tgfb1;Tgfb2;Tgfb3;Tpm3;Txnrd1;Vegfc;Wnt9b</t>
  </si>
  <si>
    <t>rno05202</t>
  </si>
  <si>
    <t>Transcriptional misregulation in cancers</t>
  </si>
  <si>
    <t>Arnt2;Bak1;Bcl11b;Bcl2a1;Cd14;Cd40;Cebpe;Csf1r;Erg;Etv4;Fcgr1a;Gadd45b;Gadd45g;Gria3;Hist1h2ail1;Hist1h3a;Hist2h3c2;Hmga2;Igf1;Il1r2;Il2rb;Il6;Itgam;Met;Mlf1;Mmp9;Mycn;Nfkbiz;Nr4a3;Pax8;Plat;Plau;Prom1;Spi1;Wt1</t>
  </si>
  <si>
    <t>rno05203</t>
  </si>
  <si>
    <t>Viral carcinogenesis</t>
  </si>
  <si>
    <t>Actn1;Bak1;C3;Ccna2;Ccne1;Ccr3;Ccr4;Ccr5;Cdc20;Cdk1;Cdkn2b;Chek1;Creb3l4;Egr2;Egr3;Hist1h2ba;Hist1h2bcl1;Hist1h2bd;Hist1h2bf;Hist1h2bh;Hist1h2bk;Hist1h2bl;Hist1h2bo;Hist2h4;Hist2h4a;Hist3h2bb;Jak3;Lyn;Pmaip1;Rbl1;RT1-CE3;RT1-N3;Syk</t>
  </si>
  <si>
    <t>rno05204</t>
  </si>
  <si>
    <t>Chemical carcinogenesis</t>
  </si>
  <si>
    <t>Adh7;Aldh1a3;Cyp1b1;Gsta2;Gsta3;Gsta5;Gstm1;Gstp1;Ptgs2;Ugt2b7</t>
  </si>
  <si>
    <t>rno05205</t>
  </si>
  <si>
    <t>Proteoglycans in cancer</t>
  </si>
  <si>
    <t>Camk2b;Cav3;Cd44;Fas;Flnc;Fn1;Hbegf;Hcls1;Hspg2;Igf1;Itga2;Itga5;Itgav;Itgb1;Met;Mmp2;Mmp9;Msn;Pak1;Plau;Plaur;Ptpn6;Rras2;Tgfb1;Tgfb2;Thbs1;Tlr2;Wnt9b</t>
  </si>
  <si>
    <t>rno05206</t>
  </si>
  <si>
    <t>MicroRNAs in cancer</t>
  </si>
  <si>
    <t>Abcb1b;Bak1;Brca1;Ccne1;Cd44;Cdc25c;Cdca5;Cyp1b1;E2f1;E2f3;Hmga2;Hmox1;Itga5;Kif23;Met;Mmp9;Pdgfrb;Plau;Ptgs2;Tgfb2;Thbs1;Tnc;Tnn;Vim</t>
  </si>
  <si>
    <t>rno05210</t>
  </si>
  <si>
    <t>Colorectal cancer</t>
  </si>
  <si>
    <t>Cancer: specific types</t>
  </si>
  <si>
    <t>Areg;Bak1;Birc5;Ereg;Gadd45b;Gadd45g;Mapk10;Pmaip1;Rac2;Tgfb1;Tgfb2;Tgfb3</t>
  </si>
  <si>
    <t>rno05211</t>
  </si>
  <si>
    <t>Renal cell carcinoma</t>
  </si>
  <si>
    <t>Arnt2;Met;Pak1;Slc2a1;Tgfb1;Tgfb2;Tgfb3</t>
  </si>
  <si>
    <t>rno05212</t>
  </si>
  <si>
    <t>Pancreatic cancer</t>
  </si>
  <si>
    <t>Bak1;E2f1;E2f3;Gadd45b;Gadd45g;Mapk10;Rac2;Rad51;Tgfb1;Tgfb2;Tgfb3</t>
  </si>
  <si>
    <t>rno05213</t>
  </si>
  <si>
    <t>Endometrial cancer</t>
  </si>
  <si>
    <t>Bak1;Gadd45b;Gadd45g</t>
  </si>
  <si>
    <t>rno05214</t>
  </si>
  <si>
    <t>Glioma</t>
  </si>
  <si>
    <t>Bak1;Camk2b;E2f1;E2f3;Gadd45b;Gadd45g;Igf1;Pdgfrb</t>
  </si>
  <si>
    <t>rno05215</t>
  </si>
  <si>
    <t>Prostate cancer</t>
  </si>
  <si>
    <t>Ccne1;Creb3l4;E2f1;E2f3;Erg;Gstp1;Igf1;Il1r2;Insrr;Mmp9;Pdgfrb;Plat;Plau</t>
  </si>
  <si>
    <t>rno05216</t>
  </si>
  <si>
    <t>Thyroid cancer</t>
  </si>
  <si>
    <t>Bak1;Gadd45b;Gadd45g;Pax8;Ret;Tfg;Tpm3</t>
  </si>
  <si>
    <t>rno05217</t>
  </si>
  <si>
    <t>Basal cell carcinoma</t>
  </si>
  <si>
    <t>Bak1;Gadd45b;Gadd45g;Wnt9b</t>
  </si>
  <si>
    <t>rno05218</t>
  </si>
  <si>
    <t>Melanoma</t>
  </si>
  <si>
    <t>Bak1;E2f1;E2f3;Fgf18;Fgf9;Gadd45b;Gadd45g;Igf1;Met;Pdgfrb</t>
  </si>
  <si>
    <t>rno05219</t>
  </si>
  <si>
    <t>Bladder cancer</t>
  </si>
  <si>
    <t>E2f1;E2f3;Hbegf;Mmp2;Mmp9;Thbs1</t>
  </si>
  <si>
    <t>rno05220</t>
  </si>
  <si>
    <t>Chronic myeloid leukemia</t>
  </si>
  <si>
    <t>Bak1;E2f1;E2f3;Gadd45b;Gadd45g;Tgfb1;Tgfb2;Tgfb3</t>
  </si>
  <si>
    <t>rno05221</t>
  </si>
  <si>
    <t>Acute myeloid leukemia</t>
  </si>
  <si>
    <t>Bcl2a1;Cd14;Cebpe;Csf1r;Fcgr1a;Itgam;Spi1</t>
  </si>
  <si>
    <t>rno05222</t>
  </si>
  <si>
    <t>Small cell lung cancer</t>
  </si>
  <si>
    <t>Bak1;Ccne1;Cdkn2b;Cks1b;Cks2;Col4a1;Col4a2;E2f1;E2f3;Fn1;Gadd45b;Gadd45g;Itga2;Itgav;Itgb1;Lamb1;Lamc1;Nos2;Ptgs2</t>
  </si>
  <si>
    <t>rno05223</t>
  </si>
  <si>
    <t>Non-small cell lung cancer</t>
  </si>
  <si>
    <t>Bak1;E2f1;E2f3;Gadd45b;Gadd45g;Jak3</t>
  </si>
  <si>
    <t>rno05224</t>
  </si>
  <si>
    <t>Breast cancer</t>
  </si>
  <si>
    <t>Bak1;Brca1;E2f1;E2f3;Fgf18;Fgf9;Gadd45b;Gadd45g;Heyl;Igf1;Peg12;Pgr;Wnt9b</t>
  </si>
  <si>
    <t>rno05225</t>
  </si>
  <si>
    <t>Hepatocellular carcinoma</t>
  </si>
  <si>
    <t>Bak1;E2f1;E2f3;Gadd45b;Gadd45g;Gsta2;Gsta3;Gsta5;Gstm1;Gstp1;Hmox1;Met;Nqo1;Peg12;Tgfb1;Tgfb2;Tgfb3;Txnrd1;Wnt9b</t>
  </si>
  <si>
    <t>rno05226</t>
  </si>
  <si>
    <t>Gastric cancer</t>
  </si>
  <si>
    <t>Abcb1b;Bak1;Ccne1;Cdkn2b;E2f1;E2f3;Fgf18;Fgf9;Gadd45b;Gadd45g;Met;Peg12;Tgfb1;Tgfb2;Tgfb3;Wnt9b</t>
  </si>
  <si>
    <t>rno05230</t>
  </si>
  <si>
    <t>Central carbon metabolism in cancer</t>
  </si>
  <si>
    <t>G6pd;Hk3;Ldha;Met;Pdgfrb;Ret;Slc16a3;Slc2a1;Slc7a5</t>
  </si>
  <si>
    <t>rno05231</t>
  </si>
  <si>
    <t>Choline metabolism in cancer</t>
  </si>
  <si>
    <t>Mapk10;Pcyt1b;Pdgfrb;Pla2g4f;Plpp1;Rac2;Slc5a7;Was</t>
  </si>
  <si>
    <t>rno05310</t>
  </si>
  <si>
    <t>Asthma</t>
  </si>
  <si>
    <t>Immune disease</t>
  </si>
  <si>
    <t>Cd40;Fcer1a;Fcer1g;Il10;RT1-Bb;RT1-Da;RT1-Db1;RT1-DMb;RT1-DOb</t>
  </si>
  <si>
    <t>rno05320</t>
  </si>
  <si>
    <t>Autoimmune thyroid disease</t>
  </si>
  <si>
    <t>Cd40;Cd80;Ctla4;Fas;Il10;RT1-Bb;RT1-CE3;RT1-Da;RT1-Db1;RT1-DMb;RT1-DOb;RT1-N3;Tg</t>
  </si>
  <si>
    <t>rno05321</t>
  </si>
  <si>
    <t>Inflammatiory bowel disease (IBD)</t>
  </si>
  <si>
    <t>Il10;Il17f;Il18;Il18rap;Il1a;Il1b;Il21r;Il2rg;Il6;RT1-Bb;RT1-Da;RT1-Db1;RT1-DMb;RT1-DOb;Tbx21;Tgfb1;Tgfb2;Tgfb3;Tlr2</t>
  </si>
  <si>
    <t>rno05322</t>
  </si>
  <si>
    <t>Systemic lupus erythematosus</t>
  </si>
  <si>
    <t>Actn1;C1qa;C1qb;C1qc;C2;C3;Cd40;Cd80;Fcgr1a;Fcgr3a;H2afx;H2afy2;Hist1h2ac;Hist1h2ah;Hist1h2ai;Hist1h2ail1;Hist1h2ak;Hist1h2an;Hist1h2ao;Hist1h2ba;Hist1h2bcl1;Hist1h2bd;Hist1h2bf;Hist1h2bh;Hist1h2bk;Hist1h2bl;Hist1h2bo;Hist1h3a;Hist2h2aa3;Hist2h2ac;Hist2h3c2;Hist2h4;Hist2h4a;Hist3h2bb;Il10;RT1-Bb;RT1-Da;RT1-Db1;RT1-DMb;RT1-DOb</t>
  </si>
  <si>
    <t>rno05323</t>
  </si>
  <si>
    <t>Rheumatoid arthritis</t>
  </si>
  <si>
    <t>Atp6v1e2;Ccl12;Ccl2;Ccl5;Cd80;Ctla4;Ctsk;Cxcl6;Icam1;Il11;Il18;Il1a;Il1b;Il6;Itgal;Itgb2;RT1-Bb;RT1-Da;RT1-Db1;RT1-DMb;RT1-DOb;Tgfb1;Tgfb2;Tgfb3;Tlr2</t>
  </si>
  <si>
    <t>rno05330</t>
  </si>
  <si>
    <t>Allograft rejection</t>
  </si>
  <si>
    <t>Cd40;Cd80;Fas;Il10;RT1-Bb;RT1-CE3;RT1-Da;RT1-Db1;RT1-DMb;RT1-DOb;RT1-N3</t>
  </si>
  <si>
    <t>rno05332</t>
  </si>
  <si>
    <t>Graft-versus-host disease</t>
  </si>
  <si>
    <t>Cd80;Fas;Il1a;Il1b;Il6;RT1-Bb;RT1-CE3;RT1-Da;RT1-Db1;RT1-DMb;RT1-DOb;RT1-N3</t>
  </si>
  <si>
    <t>rno05340</t>
  </si>
  <si>
    <t>Primary immunodeficiency</t>
  </si>
  <si>
    <t>Btk;Cd3e;Cd40;Cd8b;Ciita;Icos;Il2rg;Jak3;Lck;Ptprc</t>
  </si>
  <si>
    <t>rno05410</t>
  </si>
  <si>
    <t>Hypertrophic cardiomyopathy (HCM)</t>
  </si>
  <si>
    <t>Cardiovascular disease</t>
  </si>
  <si>
    <t>Des;Edn1;Igf1;Il6;Itga10;Itga2;Itga4;Itga5;Itga8;Itgav;Itgb1;Sgcg;Tgfb1;Tgfb2;Tgfb3;Tnnc1;Tpm3;Tpm4</t>
  </si>
  <si>
    <t>rno05412</t>
  </si>
  <si>
    <t>Arrhythmogenic right ventricular cardiomyopathy (ARVC)</t>
  </si>
  <si>
    <t>Actn2;Des;Gja1;Itga10;Itga2;Itga4;Itga5;Itga8;Itgav;Itgb1;Sgcg</t>
  </si>
  <si>
    <t>rno05414</t>
  </si>
  <si>
    <t>Dilated cardiomyopathy (DCM)</t>
  </si>
  <si>
    <t>Adcy2;Adcy7;Des;Igf1;Itga10;Itga2;Itga4;Itga5;Itga8;Itgav;Itgb1;Sgcg;Tgfb1;Tgfb2;Tgfb3;Tnnc1;Tpm3;Tpm4</t>
  </si>
  <si>
    <t>rno05416</t>
  </si>
  <si>
    <t>Viral myocarditis</t>
  </si>
  <si>
    <t>Cd40;Cd55;Cd80;Cxadr;Icam1;Itgal;Itgb2;Rac2;RT1-Bb;RT1-CE3;RT1-Da;RT1-Db1;RT1-DMb;RT1-DOb;RT1-N3;Sgcg</t>
  </si>
  <si>
    <t>rno05418</t>
  </si>
  <si>
    <t>Fluid shear stress and atherosclerosis</t>
  </si>
  <si>
    <t>Bmpr1b;Cav3;Ccl12;Ccl2;Edn1;Gsta2;Gsta3;Gsta5;Gstm1;Gstp1;Hmox1;Icam1;Il1a;Il1b;Il1r1;Il1r2;Itgav;Mapk10;Mmp2;Mmp9;Ncf1;Ncf2;Nqo1;Plat;Rac2;Txn1</t>
  </si>
  <si>
    <t>Aldh1a3;Eno1;Hk2;Hk3;Ldha;Pgk1</t>
  </si>
  <si>
    <t>Idh1;Pc</t>
  </si>
  <si>
    <t>G6pd;H6pd;Pgd;Taldo1;Tkt</t>
  </si>
  <si>
    <t>Akr1b8;RGD1559459;Sord;Ugdh;Ugt1a7c;Ugt2b7</t>
  </si>
  <si>
    <t>Akr1b8;Hk2;Hk3;Pfkfb3;Sord</t>
  </si>
  <si>
    <t>Akr1b8;Gale;Hk2;Hk3</t>
  </si>
  <si>
    <t>RGD1559459;Ugdh;Ugt1a7c;Ugt2b7</t>
  </si>
  <si>
    <t>Bdh1;Hmgcs1</t>
  </si>
  <si>
    <t>Cyp51;Sqle</t>
  </si>
  <si>
    <t>Cyp7b1</t>
  </si>
  <si>
    <t>Nqo1</t>
  </si>
  <si>
    <t>Cyp11b2;Cyp1b1;Cyp2c11;Cyp2d1;Cyp7b1;RGD1559459;Sult2b1;Ugt1a7c;Ugt2b7</t>
  </si>
  <si>
    <t>Ndufa4l2</t>
  </si>
  <si>
    <t>Ass1;Nos2</t>
  </si>
  <si>
    <t>Adcy7;Adcy8;Ampd3;Dck;Entpd5;Entpd8;Gucy2f;Hprt1;Impdh1;Pde4c;Pola2;Pole;Pole2;Polr2i;Prim1;Rrm2</t>
  </si>
  <si>
    <t>Dck;Dctpp1;Entpd5;Entpd8;Pola2;Pole;Pole2;Polr2i;Prim1;Rrm2;Tk1;Upp1</t>
  </si>
  <si>
    <t>rno00250</t>
  </si>
  <si>
    <t>Alanine, aspartate and glutamate metabolism</t>
  </si>
  <si>
    <t>Ass1;Gfpt1</t>
  </si>
  <si>
    <t>Alas1;Chdh;Gatm;Phgdh;Psat1</t>
  </si>
  <si>
    <t>Bcat1;Dnmt3b;Ldha;Mat1a</t>
  </si>
  <si>
    <t>Aox2;Bcat1;Hmgcs1</t>
  </si>
  <si>
    <t>Suv39h2</t>
  </si>
  <si>
    <t>Aoc1;Gatm;Nos2;P4ha3;Prodh2;Sat1</t>
  </si>
  <si>
    <t>Aldh1a3;Aox2</t>
  </si>
  <si>
    <t>Aldh1a3</t>
  </si>
  <si>
    <t>Aoc1;Aox2;Cyp1b1;Ido1;Ido2;Kmo;Kynu;Tph1</t>
  </si>
  <si>
    <t>Ggt1;Ggt7</t>
  </si>
  <si>
    <t>Txnrd1</t>
  </si>
  <si>
    <t>G6pd;Ggt1;Ggt7;Gpx2;Gsr;Gsta2;Gsta3;Gsta4;Gsta5;Gstm1;Gstp1;Idh1;Mgst3;Pgd;Rrm2</t>
  </si>
  <si>
    <t>Hk2;Hk3</t>
  </si>
  <si>
    <t>rno00510</t>
  </si>
  <si>
    <t>N-Glycan biosynthesis</t>
  </si>
  <si>
    <t>Alg5;St6gal1</t>
  </si>
  <si>
    <t>B3gnt6;C1galt1;Galnt12;Galnt14;Galnt3;Galnt6;Gcnt3;St6galnac1</t>
  </si>
  <si>
    <t>St6gal1</t>
  </si>
  <si>
    <t>Gale;Gfpt1;Hk2;Hk3;Ugdh</t>
  </si>
  <si>
    <t>rno00531</t>
  </si>
  <si>
    <t>Glycosaminoglycan degradation</t>
  </si>
  <si>
    <t>Hpse;Hyal4</t>
  </si>
  <si>
    <t>Chst11;Chst13</t>
  </si>
  <si>
    <t>Hs3st5;Hs6st1;Hs6st2</t>
  </si>
  <si>
    <t>Akr1b8;Gk;Lipg;Mogat1;Plpp4</t>
  </si>
  <si>
    <t>Inpp5d;Pik3cb</t>
  </si>
  <si>
    <t>Gpd2;Lpcat4;Pcyt1b;Pgs1;Pla2g2d;Pla2g2f;Pla2g4f;Plpp4</t>
  </si>
  <si>
    <t>Enpp6;Lpcat4;Pla2g2d;Pla2g2f;Pla2g4f;Pla2g7</t>
  </si>
  <si>
    <t>Alox12e;Alox15;Cyp2c11;Ggt1;Gpx2;Pla2g2d;Pla2g2f;Pla2g4f</t>
  </si>
  <si>
    <t>Alox15;Cyp2c11;Pla2g2d;Pla2g2f;Pla2g4f</t>
  </si>
  <si>
    <t>Pla2g2d;Pla2g2f;Pla2g4f</t>
  </si>
  <si>
    <t>Degs2;Sgms2;Sphk1;Ugcg</t>
  </si>
  <si>
    <t>Abo;B3galnt1;B3gnt3;B3gnt5;Fut1;St8sia1</t>
  </si>
  <si>
    <t>B3galnt1;Fut1;St8sia1</t>
  </si>
  <si>
    <t>rno00604</t>
  </si>
  <si>
    <t>Glycosphingolipid biosynthesis - ganglio series</t>
  </si>
  <si>
    <t>B4galnt1;St8sia1</t>
  </si>
  <si>
    <t>Ldha;Pc</t>
  </si>
  <si>
    <t>Dhfr;Ftcd;Mthfd1l;Mthfd2</t>
  </si>
  <si>
    <t>rno00730</t>
  </si>
  <si>
    <t>Thiamine metabolism</t>
  </si>
  <si>
    <t>Alpl</t>
  </si>
  <si>
    <t>Acp5</t>
  </si>
  <si>
    <t>Aox2;Bst1;Cd38;Qprt</t>
  </si>
  <si>
    <t>Bcat1;Vnn3</t>
  </si>
  <si>
    <t>Akr1b8;Alpl;Dhfr;Gch1;Ggh;Mocos;Tph1</t>
  </si>
  <si>
    <t>Aldh1a7;Aox2;Cyp2c11;Rdh12;RGD1559459;Ugt1a7c;Ugt2b7</t>
  </si>
  <si>
    <t>Alas1;Cpox;Hmox1;RGD1559459;Ugt1a7c;Ugt2b7</t>
  </si>
  <si>
    <t>Hmgcs1;Idi1;Mvd</t>
  </si>
  <si>
    <t>Car13;Car2;Car4;Car8</t>
  </si>
  <si>
    <t>Ethe1</t>
  </si>
  <si>
    <t>Akr7a3;Aldh1a3;Cyp1b1;Gsta2;Gsta3;Gsta4;Gsta5;Gstm1;Gstp1;Mgst3;RGD1559459;Ugt1a7c;Ugt2b7</t>
  </si>
  <si>
    <t>Aldh1a3;Aox2;Gsta2;Gsta3;Gsta4;Gsta5;Gstm1;Gstp1;Mgst3;RGD1559459;Ugt1a7c;Ugt2b7</t>
  </si>
  <si>
    <t>Ces2;Ces2h;Gsta2;Gsta3;Gsta4;Gsta5;Gstm1;Gstp1;Hprt1;Impdh1;Mgst3;RGD1559459;Rrm2;Tk1;Ugt1a7c;Ugt2b7;Upp1</t>
  </si>
  <si>
    <t>Igf1;Il6;Met;Nrg1;Pik3cb;Pik3r3;Tgfa;Vegfa</t>
  </si>
  <si>
    <t>Adcy7;Adcy8;E2f1;Hbegf;Igf1;Mmp2;Mmp9;Pik3cb;Pik3r3</t>
  </si>
  <si>
    <t>Abcc3;Abcc4;Alox12e;Dhfr;Ggh;Il1b;Il6;Izumo1r;Nfkb1;Tnf</t>
  </si>
  <si>
    <t>Bak1;Birc3;Birc5;Brca1;Casp3;Casp8;Faslg;Gsta2;Gsta3;Gsta4;Gsta5;Gstm1;Gstp1;Mgst3;Pik3cb;Pik3r3;Pmaip1;Top2a</t>
  </si>
  <si>
    <t>Abca17;Abcb1b;Abcc3;Abcc4;Abcd3;Tap1;Tap2</t>
  </si>
  <si>
    <t>Nhp2;Rpp25</t>
  </si>
  <si>
    <t>Nup210;Rpp25;Tacc3</t>
  </si>
  <si>
    <t>Btg1;Eno1</t>
  </si>
  <si>
    <t>Polr2i</t>
  </si>
  <si>
    <t>Fen1;Mcm3;Mcm4;Mcm5;Mcm6;Pola2;Pole;Pole2;Prim1</t>
  </si>
  <si>
    <t>rno03050</t>
  </si>
  <si>
    <t>Proteasome</t>
  </si>
  <si>
    <t>Ifng;Pomp;Psmb10;Psmb8;Psmb9</t>
  </si>
  <si>
    <t>Angptl4;Apoc3;Dbi;Fabp4;Fabp5;Gk;Olr1;Plin2</t>
  </si>
  <si>
    <t>Fen1;Neil3;Pole;Pole2;Ung</t>
  </si>
  <si>
    <t>Bard1;Brca1;Brip1;Eme1;Palb2;Rad51;Rad51b;Rad54b;Rad54l</t>
  </si>
  <si>
    <t>Brca1;Brip1;Eme1;Fancd2;Fanci;Palb2;Rad51;Rmi2;Ube2t</t>
  </si>
  <si>
    <t>Angpt4;Areg;Bdnf;Cacna1e;Cacng7;Casp3;Cd14;Dusp10;Dusp2;Dusp4;Dusp5;Ereg;Faslg;Fgf9;Flt3;Gadd45b;Igf1;Il1a;Il1b;Kit;Map4k1;Met;Myd88;Nfkb1;Nfkb2;Ntf4;Ntrk1;Pla2g4f;Ptpn5;Ptpn7;Rac2;Rasgrf1;Rasgrp1;Rasgrp4;Relb;Rps6ka1;Tgfa;Tgfb1;Tnf;Vegfa</t>
  </si>
  <si>
    <t>Areg;Camk2b;Ereg;Hbegf;Nrg1;Pik3cb;Pik3r3;Tgfa</t>
  </si>
  <si>
    <t>Angpt4;Bdnf;Faslg;Fgf9;Flt3;Gng4;Gngt2;Htr7;Igf1;Kit;Lat;Met;Nfkb1;Ntf4;Ntrk1;Pik3cb;Pik3r3;Pla2g2d;Pla2g2f;Pla2g4f;Rac2;Rasal3;Rasgrf1;Rasgrp1;Rasgrp4;Rin1;Tgfa;Vegfa;Zap70</t>
  </si>
  <si>
    <t>Adcy7;Adcy8;Adora2a;Angpt4;F2r;Fgf9;Fpr1;Fyb;Igf1;Itgal;Itgam;Itgb2;Kit;Lat;Met;Pfn2;Pik3cb;Pik3r3;Rac2;Rgs14;Skap1;Thbs1;Vegfa</t>
  </si>
  <si>
    <t>Adcy7;Adcy8;Adora2a;Adra1d;Bdkrb1;Cacna1e;Camk2b;Cd38;Cysltr2;Drd1;Ednra;Ednrb;F2r;Gna15;Grpr;Htr7;Ltb4r2;Nos2;Orai2;P2rx4;P2rx5;Ptafr;Ptgfr;Sphk1</t>
  </si>
  <si>
    <t>Adcy7;Adcy8;Adora1;Adra1d;Atp1a3;Atp1b1;Atp1b3;Creb3l4;Ednra;Ednrb;Pik3r5;Prkg2</t>
  </si>
  <si>
    <t>Abcc4;Adcy7;Adcy8;Adora1;Adora2a;Atp1a3;Atp1b1;Atp1b3;Bdnf;Camk2b;Creb3l4;Drd1;Ednra;F2r;Ffar2;Nfkb1;Nfkbia;Niacr1;Pde4c;Pik3cb;Pik3r3;Ppp1r1b;Ptger2;Rac2;Vav1</t>
  </si>
  <si>
    <t>Bmpr1b;Ccl12;Ccl17;Ccl2;Ccl20;Ccl22;Ccl3;Ccl4;Ccl5;Ccl6;Ccl7;Ccl9;Ccr1l1;Ccr3;Ccr4;Ccr5;Ccr6;Ccr7;Ccr8;Ccr9;Cd27;Cd40;Cd40lg;Csf2;Csf2ra;Csf2rb;Csf3;Csf3r;Cx3cl1;Cx3cr1;Cxcl1;Cxcl10;Cxcl11;Cxcl13;Cxcl2;Cxcl3;Cxcl6;Cxcl9;Cxcr2;Cxcr3;Cxcr4;Cxcr6;Faslg;Flt3;Ifng;Ifngr1;Il10;Il11;Il12b;Il12rb1;Il15ra;Il17a;Il17b;Il17c;Il17f;Il17ra;Il18;Il18rap;Il19;Il1a;Il1b;Il1r2;Il20ra;Il21r;Il22;Il22ra1;Il22ra2;Il23a;Il24;Il2ra;Il2rb;Il2rg;Il5ra;Il6;Il7;Il9r;Inhba;Inhbb;Kit;Lif;Ltb;Met;Osm;Osmr;Ppbp;Relt;Tgfb1;Tnf;Tnfrsf10b;Tnfrsf12a;Tnfrsf14;Tnfrsf18;Tnfrsf1b;Tnfrsf8;Tnfrsf9;Tnfsf11;Tnfsf14;Tnfsf18;Tnfsf8;Vegfa;Xcr1</t>
  </si>
  <si>
    <t>Adcy7;Adcy8;Ccl12;Ccl17;Ccl2;Ccl20;Ccl22;Ccl3;Ccl4;Ccl5;Ccl6;Ccl7;Ccl9;Ccr1l1;Ccr3;Ccr4;Ccr5;Ccr6;Ccr7;Ccr8;Ccr9;Cx3cl1;Cx3cr1;Cxcl1;Cxcl10;Cxcl11;Cxcl13;Cxcl2;Cxcl3;Cxcl6;Cxcl9;Cxcr2;Cxcr3;Cxcr4;Cxcr6;Dock2;Fgr;Gng4;Gngt2;Hck;Itk;Jak3;Lyn;Ncf1;Nfkb1;Nfkbia;Pik3cb;Pik3r3;Ppbp;Prex1;Rac2;Vav1;Was;Xcr1</t>
  </si>
  <si>
    <t>Bcl2a1;Birc3;Btk;Card11;Card14;Ccl4;Cd14;Cd40;Cd40lg;Cxcl2;Gadd45b;Icam1;Il1b;Lat;Lck;Ltb;Ly96;Lyn;Myd88;Nfkb1;Nfkb2;Nfkbia;Plau;Relb;Syk;Tnf;Tnfaip3;Tnfsf11;Tnfsf14;Zap70</t>
  </si>
  <si>
    <t>Angpt4;Camk2b;Cybb;Eno1;Hif1a;Hk2;Hk3;Hmox1;Ifng;Ifngr1;Igf1;Il6;Ldha;Nfkb1;Nos2;Pfkfb3;Pgk1;Pik3cb;Pik3r3;Serpine1;Slc2a1;Tfrc;Timp1;Vegfa</t>
  </si>
  <si>
    <t>Ccnb1;Ccnb2;Cdkn2b;Faslg;Gadd45b;Igf1;Il10;Il6;Pik3cb;Pik3r3;Plk1;Plk4;S1pr4;Sgk2;Sod2;Tgfb1</t>
  </si>
  <si>
    <t>Inpp5d;Pik3cb;Pik3r3</t>
  </si>
  <si>
    <t>Adora1;Ctsd;Degs2;Fcer1g;Ms4a2;Nfkb1;Pik3cb;Pik3r3;Rac2;S1pr4;Sgms2;Sphk1;Tnf</t>
  </si>
  <si>
    <t>Adcy7;Adcy8;Cxcr2;Cyth4;F2r;Fcer1g;Kit;Ms4a2;Pik3cb;Pik3r3;Pik3r5;Pla2g4f;Ptgfr;Sphk1;Syk</t>
  </si>
  <si>
    <t>Adora1;Adora2a;Adra1d;Agtr2;Apln;Aplnr;Bdkrb1;C3ar1;C5ar1;Chrna3;Chrnb4;Cnr2;Cysltr2;Drd1;Ednra;Ednrb;F2r;F2rl1;F2rl2;Fpr1;Gabrp;Gabrr2;Glra1;Gpr35;Grid2;Grpr;Htr7;Ltb4r;Ltb4r2;Nmur1;Npy4r;P2rx4;P2rx5;P2ry10;P2ry13;P2ry6;Ptafr;Ptger2;Ptgfr;Ptgir;S1pr4;Sstr3;Taar1;Tac3;Trh</t>
  </si>
  <si>
    <t>Bub1;Bub1b;Ccna2;Ccnb1;Ccnb2;Ccne1;Cdc20;Cdc25c;Cdc45;Cdc6;Cdk1;Cdkn2b;Chek1;Dbf4;E2f1;Espl1;Gadd45b;Mad2l1;Mcm3;Mcm4;Mcm5;Mcm6;Pkmyt1;Plk1;Pttg1;Rbl1;Smc1b;Tgfb1;Ttk</t>
  </si>
  <si>
    <t>Adcy7;Adcy8;Aurka;Bub1;Camk2b;Ccnb1;Ccnb2;Ccne1;Cdc20;Cdc25c;Cdk1;Espl1;Fbxo5;Igf1;Mad2l1;Pgr;Pkmyt1;Plk1;Pttg1;Rps6ka1;Sgo1;Smc1b</t>
  </si>
  <si>
    <t>Casp3;Casp8;Ccnb1;Ccnb2;Ccne1;Cdk1;Chek1;Gadd45b;Gtse1;Igf1;Pmaip1;Rrm2;Serpinb5;Serpine1;Thbs1;Tp73</t>
  </si>
  <si>
    <t>Birc3;Brca1;Cdc20;Fbxo2;Socs3;Ube2c</t>
  </si>
  <si>
    <t>E2f1;Hif1a</t>
  </si>
  <si>
    <t>Ctsd;Hif1a;Pik3cb;Pik3r3;Vmp1</t>
  </si>
  <si>
    <t>Bak1;Casp12;Ckap4;Fbxo2</t>
  </si>
  <si>
    <t>Acp5;Cd68;Ctsd;Ctsw;Ctsz;Laptm5;Lgmn;Litaf;Napsa;Slc11a1;Slc11a2</t>
  </si>
  <si>
    <t>Acap1;Arpc1b;Arpc3;Ccr5;Cxcr2;Cxcr4;Cyth4;Il2ra;Il2rb;Il2rg;Izumo1r;Kif5c;Ldlr;RT1-A1;RT1-A2;RT1-CE10;RT1-CE3;RT1-CE5;RT1-M2;Tfrc;Was</t>
  </si>
  <si>
    <t>C3;Cd14;Clec7a;Coro1a;Cyba;Cybb;Fcar;Fcgr1a;Fcgr2a;Fcgr3a;Itga2;Itga5;Itgam;Itgb2;Msr1;Ncf1;Ncf2;Ncf4;Olr1;RT1-A1;RT1-A2;RT1-Ba;RT1-Bb;RT1-CE10;RT1-CE3;RT1-CE5;RT1-Da;RT1-Db1;RT1-DMb;RT1-DOa;RT1-DOb;RT1-M2;Tap1;Tap2;Tfrc;Thbs1;Thbs4;Tlr2;Tlr6;Tubb2a;Tubb2b;Tubb3</t>
  </si>
  <si>
    <t>Abcd3;Idh1;Nos2;Prdx1;Sod2</t>
  </si>
  <si>
    <t>Fzd5;Igf1;Pik3cb;Pik3r3;Rps6ka1;Slc7a5;Tnf</t>
  </si>
  <si>
    <t>Angpt4;Areg;Bdnf;Brca1;Ccne1;Cd19;Col4a1;Col4a2;Col6a4;Creb3l4;Csf3;Csf3r;Ereg;F2r;Faslg;Fgf9;Flt3;Fn1;Gng4;Gngt2;Igf1;Il2ra;Il2rb;Il2rg;Il6;Il7;Itga2;Itga3;Itga4;Itga5;Itga8;Itgb7;Jak3;Kit;Lama1;Lamc2;Met;Nfkb1;Ntf4;Ntrk1;Osm;Osmr;Pik3cb;Pik3r3;Pik3r5;RGD1560020_predicted;Sgk2;Spp1;Syk;Tgfa;Thbs1;Thbs4;Tlr2;Tnn;Vegfa</t>
  </si>
  <si>
    <t>Ccna2;Creb3l4;Igf1;Pfkfb3;Pik3cb;Pik3r3</t>
  </si>
  <si>
    <t>Bak1;Bcl2a1;Birc3;Birc5;Casp12;Casp3;Casp8;Csf2rb;Ctsd;Ctsw;Ctsz;Faslg;Gadd45b;Gzmb;Gzmbl2;Lmnb1;Lmnb2;Nfkb1;Nfkbia;Ntrk1;Pik3cb;Pik3r3;Pmaip1;Prf1;Tnf;Tnfrsf10b</t>
  </si>
  <si>
    <t>Adcy7;Adcy8;Creb3l4;Igf1;Nfkb1;Pik3cb;Pik3r3;Sod2</t>
  </si>
  <si>
    <t>Adcy7;Adcy8;Igf1;Pik3cb;Pik3r3;Sod2</t>
  </si>
  <si>
    <t>Bak1;Birc3;Birc5;Casp3;Casp8;Pmaip1</t>
  </si>
  <si>
    <t>Alox15;Cybb;Hmox1;Sat1;Slc11a2;Slc7a11;Tfrc</t>
  </si>
  <si>
    <t>Alox15;Birc3;Camk2b;Casp1;Casp8;Cybb;Faslg;H2afx;Hist1h2ac;Hist1h2ah;Hist1h2ai;Hist1h2ak;Hist1h2an;Ifng;Ifngr1;Il1a;Il1b;Jak3;Mlkl;Nlrp3;Pla2g4f;Ripk3;Stat4;Tnf;Tnfaip3;Tnfrsf10b;Zbp1</t>
  </si>
  <si>
    <t>Ccna2;Ccnb1;Ccnb2;Ccne1;Cdk1;Cdkn2b;Chek1;E2f1;Foxm1;Gadd45b;Il1a;Il6;Mybl2;Nfkb1;Pik3cb;Pik3r3;Rbl1;RT1-A1;RT1-A2;RT1-CE10;RT1-CE3;RT1-CE5;RT1-M2;Serpine1;Tgfb1</t>
  </si>
  <si>
    <t>Atp1a3;Atp1b1;Atp1b3;Cacng7;Myl4;Tpm3;Tpm4</t>
  </si>
  <si>
    <t>Adcy7;Adcy8;Adra1d;Agtr2;Atp1a3;Atp1b1;Atp1b3;Cacng7;Camk2b;Creb3l4;Myl4;Pik3r5;Scn5a;Tpm3;Tpm4</t>
  </si>
  <si>
    <t>Adcy7;Adcy8;Adora2a;Adra1d;Ednra;Pla2g2d;Pla2g2f;Pla2g4f;Ptgir;Ramp3</t>
  </si>
  <si>
    <t>Camk2b;Fzd5;Mmp7;Peg12;Rac2;Sfrp1;Sfrp4;Wif1;Wisp1</t>
  </si>
  <si>
    <t>Bmpr1b;Cdkn2b;Gdf6;Ifng;Inhba;Inhbb;Rbl1;Tgfb1;Thbs1;Tnf</t>
  </si>
  <si>
    <t>Bmpr1b;Camk2b;Cxcr4;Ephb1;Ephb2;Fes;Met;Pik3cb;Pik3r3;Plxnc1;Rac2;Rhod;Rnd1;Robo3;Sema4b;Sema4d;Sema7a;Slit2;Slit3;Unc5a</t>
  </si>
  <si>
    <t>Pik3cb;Pik3r3;Pla2g4f;Rac2;Sh2d2a;Sphk1;Vegfa</t>
  </si>
  <si>
    <t>Adcy7;Adcy8;Apln;Aplnr;Ctgf;Gng4;Gngt2;Myl4;Nos2;Pik3r5;Plat;Serpine1;Sphk1;Spp1</t>
  </si>
  <si>
    <t>Acp5;Btk;Cyba;Fcgr1a;Fcgr2a;Fcgr3a;Ifng;Ifngr1;Il1a;Il1b;Lck;Lilrb3;Lilrb3a;Lilrb3l;Lilrb4;Lilrc2;Ncf1;Ncf2;Ncf4;Nfkb1;Nfkb2;Nfkbia;Oscar;Pik3cb;Pik3r3;Pirb;Relb;Sirpa;Socs3;Spi1;Syk;Tgfb1;Tnf;Tnfsf11;Trem2;Tyrobp</t>
  </si>
  <si>
    <t>Areg;Birc5;Bmpr1b;Ctgf;Fzd5;Gdf6;Itgb2;Serpine1;Tgfb1;Tp73</t>
  </si>
  <si>
    <t>Birc3;Col4a1;Col4a2;Col6a4;Fn1;Igf1;Itga2;Itga3;Itga4;Itga5;Itga8;Itgb7;Lama1;Lamc2;Met;Parvg;Pik3cb;Pik3r3;Rac2;Rasgrf1;Spp1;Thbs1;Thbs4;Tnn;Vav1;Vegfa</t>
  </si>
  <si>
    <t>Cd44;Col4a1;Col4a2;Col6a4;Fn1;Gp6;Hmmr;Itga2;Itga3;Itga4;Itga5;Itga8;Itgb7;Lama1;Lamc2;Spp1;Thbs1;Thbs4;Tnn</t>
  </si>
  <si>
    <t>Cd2;Cd22;Cd226;Cd274;Cd28;Cd40;Cd40lg;Cd80;Cd8a;Cd8b;Cldn18;Cldn2;Cldn3;Cldn7;Ctla4;F11r;Icam1;Icos;Itga4;Itga8;Itgal;Itgam;Itgb2;Itgb7;Nrcam;Nrxn3;Pdcd1lg2;Ptprc;PVR;RT1-A1;RT1-A2;RT1-Ba;RT1-Bb;RT1-CE10;RT1-CE3;RT1-CE5;RT1-Da;RT1-Db1;RT1-DMb;RT1-DOa;RT1-DOb;RT1-M2;Sell;Selp;Selplg;Spn;Vcan;Vtcn1</t>
  </si>
  <si>
    <t>Met;Ptpn1;Ptpn6;Rac2;Was</t>
  </si>
  <si>
    <t>Cgnl1;Cldn18;Cldn2;Cldn3;Cldn7;F11r;Hcls1;Micall2;Msn;Myh1;Myh2;Myh3;Rab13;Tjp2;Tjp3;Was</t>
  </si>
  <si>
    <t>Adcy7;Adcy8;Cdk1;Drd1;Gja1;Prkg2;Tubb2a;Tubb2b;Tubb3</t>
  </si>
  <si>
    <t>Bmpr1b;Fzd5;Igf1;Inhba;Inhbb;Jak3;Lif;Onecut1;Pik3cb;Pik3r3</t>
  </si>
  <si>
    <t>Bdkrb1;C1qa;C1qb;C1s;C2;C3;C3ar1;C4bpa;C5;C5ar1;Cd55;Cfd;Cfi;F10;F2r;F2rl2;F3;F5;Fgg;Itgam;Itgax;Itgb2;Masp1;Plat;Plau;Plaur;Serpinb2;Serpine1;Vsig4</t>
  </si>
  <si>
    <t>Adcy7;Adcy8;Btk;F2r;Fcer1g;Fermt3;Fgg;Gp6;Itga2;Lyn;Pik3cb;Pik3r3;Pik3r5;Pla2g4f;Prkg2;Ptgir;Rasgrp1;Syk</t>
  </si>
  <si>
    <t>Cd74;Cd8a;Cd8b;Ciita;Ifi30;Ifng;Klrc1;Klrc2;Klrc3;Lgmn;RT1-A1;RT1-A2;RT1-Ba;RT1-Bb;RT1-CE10;RT1-CE3;RT1-CE5;RT1-Da;RT1-Db1;RT1-DMb;RT1-DOa;RT1-DOb;RT1-M2;Tap1;Tap2;Tnf</t>
  </si>
  <si>
    <t>Agtr2;Cma1;Cpa3;Mcpt1l1;Prcp;Ren</t>
  </si>
  <si>
    <t>Casp8;Ccl3;Ccl4;Ccl5;Cd14;Cd40;Cd80;Cxcl10;Cxcl11;Cxcl9;Ikbke;Il12b;Il1b;Il6;Irf5;Irf7;Ly96;Myd88;Nfkb1;Nfkbia;Pik3cb;Pik3r3;Spp1;Tlr1;Tlr2;Tlr5;Tlr6;Tlr9;Tnf</t>
  </si>
  <si>
    <t>Aim2;Birc3;Camp;Casp1;Casp12;Casp4;Casp8;Ccl12;Ccl2;Ccl5;Cxcl1;Cxcl2;Cxcl3;Cyba;Cybb;Gbp2;Gbp4;Ikbke;Il18;Il1b;Il6;Irf7;Mefv;Myd88;Naip5;Naip6;Nfkb1;Nfkbia;Nlrc4;Nlrp12;Nlrp3;Oas3;Pstpip1;Ripk3;Tnf;Tnfaip3;Trpm2;Trpv2;Txn1</t>
  </si>
  <si>
    <t>Casp8;Cxcl10;Ikbke;Il12b;Irf7;Isg15;Nfkb1;Nfkbia;Tnf</t>
  </si>
  <si>
    <t>Aim2;Casp1;Ccl4;Ccl5;Cxcl10;Ikbke;Il18;Il1b;Il6;Irf7;Mb21d1;Nfkb1;Nfkbia;Ripk3;Zbp1</t>
  </si>
  <si>
    <t>Bcl3;Casp1;Casp8;Ccl17;Ccl22;Clec4b2;Clec4d;Clec4e;Clec7a;Egr2;Fcer1g;Ikbke;Il10;Il12b;Il1b;Il23a;Il6;Irf1;Nfkb1;Nfkb2;Nfkbia;Nlrp3;Pik3cb;Pik3r3;Relb;Syk;Tnf</t>
  </si>
  <si>
    <t>Aox2;Csf2;Csf2ra;Csf2rb;Csf3;Csf3r;Ifng;Ifngr1;Il10;Il11;Il12b;Il12rb1;Il15ra;Il19;Il20ra;Il21r;Il22;Il22ra1;Il22ra2;Il23a;Il24;Il2ra;Il2rb;Il2rg;Il5ra;Il6;Il7;Il9r;Jak3;Lif;Osm;Osmr;Pik3cb;Pik3r3;Pim1;Ptpn6;Socs3;Stat4</t>
  </si>
  <si>
    <t>Cd14;Cd19;Cd2;Cd22;Cd24;Cd33;Cd37;Cd38;Cd3d;Cd3e;Cd44;Cd5;Cd55;Cd8a;Cd8b;Csf2;Csf2ra;Csf3;Csf3r;Dntt;Fcgr1a;Flt3;Il11;Il1a;Il1b;Il1r2;Il2ra;Il5ra;Il6;Il7;Il9r;Itga2;Itga3;Itga4;Itga5;Itgam;Kit;RT1-Ba;RT1-Bb;RT1-Da;RT1-Db1;RT1-DMb;RT1-DOa;RT1-DOb;Siglech;Tfrc;Tnf</t>
  </si>
  <si>
    <t>Casp3;Cd244;Cd247;Csf2;Faslg;Fcer1g;Fcgr2a;Fcgr3a;Gzmb;Gzmbl2;Hcst;Icam1;Ifng;Ifngr1;Itgal;Itgb2;Klrc1;Klrc2;Klrc3;Klrk1;Lat;Lck;Ncr1;Ncr3;Pik3cb;Pik3r3;Prf1;Ptpn6;Rac2;Raet1d;Raet1e;RT1-A1;RT1-A2;RT1-CE10;RT1-CE3;RT1-CE5;RT1-M2;Sh2d1a;Sh2d1b;Sh3bp2;Syk;Tnf;Tnfrsf10b;Tyrobp;Vav1;Zap70</t>
  </si>
  <si>
    <t>Casp3;Casp8;Ccl12;Ccl17;Ccl2;Ccl20;Ccl7;Cebpb;Csf2;Csf3;Cxcl1;Cxcl10;Cxcl2;Cxcl3;Cxcl6;Ifng;Ikbke;Il17a;Il17b;Il17c;Il17f;Il17ra;Il1b;Il6;Lcn2;Mapk6;Mmp13;Mmp3;Mmp9;Muc5ac;Muc5b;Nfkb1;Nfkbia;S100a8;S100a9;Tnf;Tnfaip3</t>
  </si>
  <si>
    <t>Cd247;Cd3d;Cd3e;Ifng;Ifngr1;Il12b;Il12rb1;Il2ra;Il2rb;Il2rg;Jak3;Lat;Lck;Nfkb1;Nfkbia;Nfkbie;RT1-Ba;RT1-Bb;RT1-Da;RT1-Db1;RT1-DMb;RT1-DOa;RT1-DOb;Runx3;Stat4;Tbx21;Zap70</t>
  </si>
  <si>
    <t>Cd247;Cd3d;Cd3e;Hif1a;Ifng;Ifngr1;Il12rb1;Il17a;Il17f;Il1b;Il21r;Il22;Il23a;Il2ra;Il2rb;Il2rg;Il6;Jak3;Lat;Lck;Nfkb1;Nfkbia;Nfkbie;RT1-Ba;RT1-Bb;RT1-Da;RT1-Db1;RT1-DMb;RT1-DOa;RT1-DOb;Tbx21;Tgfb1;Zap70</t>
  </si>
  <si>
    <t>Card11;Cd247;Cd28;Cd3d;Cd3e;Cd40lg;Cd8a;Cd8b;Csf2;Ctla4;Icos;Ifng;Il10;Itk;Lat;Lck;Nfkb1;Nfkbia;Nfkbie;Pik3cb;Pik3r3;Ptpn6;Ptprc;Rasgrp1;Tnf;Vav1;Zap70</t>
  </si>
  <si>
    <t>Btk;Card11;Cd19;Cd22;Cd72;Ifitm1;Inpp5d;Lyn;Nfkb1;Nfkbia;Nfkbie;Pik3cb;Pik3r3;Pirb;Ptpn6;Rac2;Syk;Vav1</t>
  </si>
  <si>
    <t>Btk;Csf2;Fcer1g;Inpp5d;Lat;Lyn;Ms4a2;Pik3cb;Pik3r3;Pla2g4f;Rac2;Syk;Tnf;Vav1</t>
  </si>
  <si>
    <t>Arpc1b;Arpc3;Dock2;Fcgr1a;Fcgr2a;Hck;Inpp5d;Lat;Lyn;Marcksl1;Myo10;Ncf1;Pik3cb;Pik3r3;Ptprc;Rac2;Scin;Sphk1;Syk;Vav1;Was</t>
  </si>
  <si>
    <t>Bcl3;Birc3;Casp3;Casp8;Ccl12;Ccl2;Ccl20;Ccl5;Cebpb;Creb3l4;Csf2;Cx3cl1;Cxcl1;Cxcl10;Cxcl2;Cxcl3;Icam1;Ifi47;Il1b;Il6;Lif;Mlkl;Mmp3;Mmp9;Nfkb1;Nfkbia;Pik3cb;Pik3r3;Ripk3;Socs3;Tnf;Tnfaip3;Tnfrsf1b</t>
  </si>
  <si>
    <t>Cldn18;Cldn2;Cldn3;Cldn7;Cxcr4;Cyba;Cybb;F11r;Icam1;Itga4;Itgal;Itgam;Itgb2;Itk;Mmp2;Mmp9;Msn;Ncf1;Ncf2;Ncf4;Pik3cb;Pik3r3;Rac2;Rhoh;Thy1;Vav1</t>
  </si>
  <si>
    <t>Ccr9;Cd28;Cd40;Cd40lg;Cd80;Cxcr4;Icos;Il10;Il15ra;Il6;Itga4;Itgb7;Pigr;RT1-Ba;RT1-Bb;RT1-Da;RT1-Db1;RT1-DMb;RT1-DOa;RT1-DOb;Tgfb1</t>
  </si>
  <si>
    <t>Adcy7;Adcy8;Camk2b;Gng4;Gngt2;Prkg2</t>
  </si>
  <si>
    <t>Adcy7;Adcy8;Creb3l4;Ndufa4l2;Prkg2;Rps6ka1</t>
  </si>
  <si>
    <t>Adcy8;Camk2b;Rps6ka1</t>
  </si>
  <si>
    <t>Slc32a1;Snap25</t>
  </si>
  <si>
    <t>Bdnf;Camk2b;Faslg;Matk;Nfkb1;Nfkbia;Nfkbie;Ntf4;Ntrk1;Pik3cb;Pik3r3;Rps6ka1;Sh2b2;Tp73</t>
  </si>
  <si>
    <t>Adcy7;Adcy8;Gabrp;Gabrr2;Gng4;Gngt2;Ndufa4l2;Slc32a1</t>
  </si>
  <si>
    <t>Adcy7;Adcy8;Gng4;Gngt2;Pla2g4f</t>
  </si>
  <si>
    <t>Adcy7;Adcy8;Camk2b;Chrna3;Chrnb4;Creb3l4;Gng4;Gngt2;Kcnj2;Pik3cb;Pik3r3;Pik3r5</t>
  </si>
  <si>
    <t>Alox12e;Alox15;Casp3;Cyp2c11;Cyp2d1;Gng4;Gngt2;Htr7;Pla2g4f;Tph1</t>
  </si>
  <si>
    <t>Adcy7;Adcy8;Gabrp;Gabrr2;Gng4;Gngt2;Hap1;Slc32a1</t>
  </si>
  <si>
    <t>Camk2b;Creb3l4;Drd1;Gng4;Gngt2;Kif5c;Ppp1r1b</t>
  </si>
  <si>
    <t>Grid2;Igf1;Lyn;Pla2g4f;Prkg2</t>
  </si>
  <si>
    <t>Camk2b;Olr1158;Olr1462;Olr292;Olr300;Olr302;Olr59;Prkg2</t>
  </si>
  <si>
    <t>Adcy8;Scn3a;Scnn1a</t>
  </si>
  <si>
    <t>rno04744</t>
  </si>
  <si>
    <t>Phototransduction</t>
  </si>
  <si>
    <t>Gucy2f;Slc24a1</t>
  </si>
  <si>
    <t>Adcy7;Adcy8;Alox12e;Bdkrb1;Camk2b;Cyp2c11;F2rl1;Igf1;Il1b;Ntrk1;Pik3cb;Pik3r3;Pla2g4f;Ptger2;Trpa1;Trpm8;Trpv2</t>
  </si>
  <si>
    <t>Arpc1b;Arpc3;Bdkrb1;Cd14;Diaph3;F2r;Fgd3;Fgf9;Fn1;Insrr;Iqgap3;Itga2;Itga3;Itga4;Itga5;Itga8;Itgad;Itgae;Itgal;Itgam;Itgax;Itgb2;Itgb7;Msn;Nckap1l;Pfn2;Pik3cb;Pik3r3;Rac2;Scin;Tmsb4x;Vav1;Was</t>
  </si>
  <si>
    <t>Hk2;Hk3;Pik3cb;Pik3r3;Ptpn1;Sh2b2;Socs3</t>
  </si>
  <si>
    <t>Adcy7;Adcy8;Atp1a3;Atp1b1;Atp1b3;Camk2b;Creb3l4;Slc2a1;Snap25</t>
  </si>
  <si>
    <t>Adcy7;Adcy8;Camk2b;Hbegf;Mmp2;Pla2g4f</t>
  </si>
  <si>
    <t>Adcy7;Adcy8;Cyp1b1;Igf1;Ldlr;Pla2g4f</t>
  </si>
  <si>
    <t>Adcy7;Adcy8;Aurka;Bub1;Ccna2;Ccnb1;Ccnb2;Cdc25c;Cdk1;Igf1;Kif22;Mad2l1;Pgr;Pik3cb;Pik3r3;Pkmyt1;Plk1;Rps6ka1</t>
  </si>
  <si>
    <t>Adcy7;Adcy8;Creb3l4;Ctsd;Hbegf;Krt14;Krt15;Krt16;Krt17;Krt19;Krt23;Krt42;Mmp2;Mmp9;Pgr;Pik3cb;Pik3r3;Tgfa</t>
  </si>
  <si>
    <t>Adcy7;Adcy8;Camk2b;Creb3l4;Ednrb;Fzd5;Kit</t>
  </si>
  <si>
    <t>Irf1;Nfkb1;Pik3cb;Pik3r3;Socs3;Tnfsf11</t>
  </si>
  <si>
    <t>Adcy7;Adcy8;Atp1a3;Atp1b1;Atp1b3;Creb3l4;Duox2;Duoxa2;Gpx2;Gsr;Pax8;Slc26a4;Tg</t>
  </si>
  <si>
    <t>Atp1a3;Atp1b1;Atp1b3;Dio2;Dio3;Hif1a;Pik3cb;Pik3r3;Rcan1;Slc2a1</t>
  </si>
  <si>
    <t>Nfkb1;Nfkbia;Nfkbie;Slc2a1;Socs3;Tnf;Tnfrsf1b</t>
  </si>
  <si>
    <t>Adcy7;Adcy8;Cacng7;Camk2b;Cd38;Kcnj2;Pik3r5;Pla2g4f;Rcan1;Trpm2</t>
  </si>
  <si>
    <t>Camk2b;Creb3l4;Ldha;Slc2a1</t>
  </si>
  <si>
    <t>Adcy7;Adcy8;Adora1;Fabp4;Pik3cb;Pik3r3;Prkg2</t>
  </si>
  <si>
    <t>Adora1;Clca1;Clca2;Clca4;Clca4l;Clca5;Ednra;Kcnj2;Prkg2;Ptger2;Ren</t>
  </si>
  <si>
    <t>Adcy7;Adcy8;Atp1a3;Atp1b1;Atp1b3;Camk2b;Creb3l4;Ldlr</t>
  </si>
  <si>
    <t>Adcy7;Adcy8;Col4a1;Col4a2;Creb3l4;Ednrb;Gna15;Gng4;Gngt2;Insl3;Mmp13;Mmp2;Mmp9;Nfkb1;Nfkbia;Nos2;Pik3cb;Pik3r3;Tgfb1;Vegfa</t>
  </si>
  <si>
    <t>Adcy7;Adcy8;Creb3l4;Cyp11b2;Ldlr</t>
  </si>
  <si>
    <t>Cacna1e;Hk2;Hk3;Pik3cb;Pik3r3;Socs3;Tnf</t>
  </si>
  <si>
    <t>Creb3l4;Gfpt1;Il6;Nfkb1;Nfkbia;Pik3cb;Pik3r3;Ptpn1;Rps6ka1;Slc2a1;Socs3;Tnf;Trib3</t>
  </si>
  <si>
    <t>Casp3;Casp8;Cebpa;Faslg;Il1a;Il1b;Il6;Ndufa4l2;Nfkb1;Pik3cb;Pik3r3;Socs3;Tgfb1;Tnf</t>
  </si>
  <si>
    <t>Casp3;Ccl12;Ccl2;Col4a1;Col4a2;Cybb;F3;Fn1;Icam1;Il1a;Il1b;Il6;Mmp2;Nfkb1;Nox4;Pik3cb;Pik3r3;Pim1;Serpine1;Tgfb1;Tnf;Vegfa</t>
  </si>
  <si>
    <t>Adcy7;Adcy8;Camk2b;Ccne1;Cdkn2b;Creb3l4;Cyp11b2;E2f1;Fzd5;Ldlr</t>
  </si>
  <si>
    <t>Cd28;Cd80;Faslg;Gzmb;Gzmbl2;Ifng;Il12b;Il1a;Il1b;Prf1;Ptprn;RT1-A1;RT1-A2;RT1-Ba;RT1-Bb;RT1-CE10;RT1-CE3;RT1-CE5;RT1-Da;RT1-Db1;RT1-DMb;RT1-DOa;RT1-DOb;RT1-M2;Tnf</t>
  </si>
  <si>
    <t>rno04950</t>
  </si>
  <si>
    <t>Maturity onset diabetes of the young</t>
  </si>
  <si>
    <t>Onecut1</t>
  </si>
  <si>
    <t>Atp1a3;Atp1b1;Atp1b3;Igf1;Pik3cb;Pik3r3;Scnn1a</t>
  </si>
  <si>
    <t>Atp1a3;Atp1b1;Atp1b3;Vdr</t>
  </si>
  <si>
    <t>Aqp4;Creb3l4</t>
  </si>
  <si>
    <t>Atp1a3;Atp1b1;Atp1b3;Car2;Car4</t>
  </si>
  <si>
    <t>Car2</t>
  </si>
  <si>
    <t>Adcy7;Adcy8;Adra1d;Atp1a3;Atp1b1;Atp1b3;Bst1;Camp;Cd38;Lpo;Lyz2;Muc5b;Prkg2</t>
  </si>
  <si>
    <t>Adcy7;Adcy8;Atp1a3;Atp1b1;Atp1b3;Camk2b;Car2;Kcnj15;Kcnj16;Kcnj2</t>
  </si>
  <si>
    <t>Adcy7;Adcy8;Atp1a3;Atp1b1;Atp1b3;Bst1;Car2;Cd38;Clca1;Clca2;Clca4;Clca4l;Clca5;Cpa3;Pla2g2d;Pla2g2f</t>
  </si>
  <si>
    <t>Atp1a3;Atp1b1;Atp1b3;Hk2;Hk3;Pik3cb;Pik3r3</t>
  </si>
  <si>
    <t>Atp1a3;Atp1b1;Atp1b3;Col11a1;Col12a1;Col13a1;Col18a1;Col4a1;Col4a2;Col6a4;Cpa3;Eln;Prcp;Slc15a1;Slc7a8</t>
  </si>
  <si>
    <t>Pla2g2d;Pla2g2f</t>
  </si>
  <si>
    <t>Abcb1b;Abcc3;Abcc4;Adcy7;Adcy8;Aqp4;Atp1a3;Atp1b1;Atp1b3;Car2;Ldlr;Slc10a2;Slc2a1;Slc4a5</t>
  </si>
  <si>
    <t>Rbp2;Slc52a3</t>
  </si>
  <si>
    <t>Atp1a3;Atp1b1;Atp1b3;Hmox1;Mt2A;Slc11a2;Slc26a9;Slc34a2;Slc39a4;Steap1;Trpm6;Vdr</t>
  </si>
  <si>
    <t>Angptl4;Apoc3;Ldlr;Lipg;Pcsk9</t>
  </si>
  <si>
    <t>Casp12;Casp3;Casp8;Il1b;Ndufa4l2;Tnf</t>
  </si>
  <si>
    <t>Adora2a;Casp3;Drd1;Ndufa4l2</t>
  </si>
  <si>
    <t>Casp1;Casp12;Casp3;Nefh;Tnf;Tnfrsf1b</t>
  </si>
  <si>
    <t>Bdnf;Casp3;Casp8;Creb3l4;Dnah17;Hap1;Ndufa4l2;Polr2i;Sod2</t>
  </si>
  <si>
    <t>C1qa;C1qb;C5;Casp12;Ccl5;Il1a;Il1b;Il6</t>
  </si>
  <si>
    <t>Bdnf;Creb3l4;Drd1;Nfkb1;Ppp1r1b</t>
  </si>
  <si>
    <t>Camk2b;Creb3l4;Drd1;Ppp1r1b</t>
  </si>
  <si>
    <t>Adcy7;Adcy8;Adora1;Drd1;Gabrp;Gabrr2;Gng4;Gngt2;Pde4c;Slc32a1</t>
  </si>
  <si>
    <t>Gabrp;Gabrr2;Slc32a1</t>
  </si>
  <si>
    <t>Adora2a;Bdnf;Creb3l4;Drd1;Gng4;Gngt2;H2afx;Hist1h2ac;Hist1h2ah;Hist1h2ai;Hist1h2ail1;Hist1h2ak;Hist1h2an;Hist1h2ba;Hist1h2bcl1;Hist1h2bd;Hist1h2bf;Hist1h2bk;Hist1h2bl;Hist1h2bo;Hist1h3a;Hist2h3c2;Hist2h4;Hist2h4a;Hist3h2bb;Ppp1r1b</t>
  </si>
  <si>
    <t>Arpc1b;Arpc3;Fn1;Hcls1;Itga5;Met;Pik3cb;Pik3r3;Was</t>
  </si>
  <si>
    <t>Arpc1b;Arpc3;Casp1;Ccl3;Ccl4;Cd14;Csf2;Cxcl1;Cxcl2;Cxcl3;Ifng;Ifngr1;Il18;Il1a;Il1b;Il6;Myd88;Nfkb1;Nlrc4;Nos2;Pfn2;Tlr5;Was</t>
  </si>
  <si>
    <t>C1qa;C1qb;C1s;C2;C3;C4bpa;C5;Casp1;Casp3;Cd14;Cxcl6;Il10;Il12b;Il1a;Il1b;Il23a;Il6;Irf1;Irf8;Itga5;Itgam;Itgb2;Ly96;Myd88;Nfkb1;Nlrp3;Nos2;Tnf</t>
  </si>
  <si>
    <t>C3;Casp1;Casp3;Casp8;Cd14;Cxcl1;Cxcl2;Cxcl3;Il12b;Il18;Il1b;Il6;Itgam;Itgb2;Myd88;Naip5;Naip6;Nfkb1;Nfkb2;Nfkbia;Nlrc4;Tlr2;Tlr5;Tnf</t>
  </si>
  <si>
    <t>C3;Cyba;Cybb;Fcgr1a;Fcgr2a;Fcgr3a;Ifng;Ifngr1;Il10;Il12b;Il1a;Il1b;Itga4;Itgam;Itgb2;Marcksl1;Myd88;Ncf1;Ncf2;Ncf4;Nfkb1;Nfkbia;Nos2;Ptpn6;RT1-Ba;RT1-Bb;RT1-Da;RT1-Db1;RT1-DMb;RT1-DOa;RT1-DOb;Tgfb1;Tlr2;Tnf</t>
  </si>
  <si>
    <t>C1qa;C1qb;C3;Casp8;Ccl12;Ccl2;Ccl3;Ccl5;Cd247;Cd3d;Cd3e;Faslg;Gna15;Ifng;Ifngr1;Il10;Il12b;Il1b;Il6;Myd88;Nfkb1;Nfkbia;Nos2;Pik3cb;Pik3r3;Serpine1;Tgfb1;Tlr2;Tlr6;Tlr9;Tnf</t>
  </si>
  <si>
    <t>F2rl1;Faslg;Icam1;Ido1;Ido2;Ifng;Il10;Il12b;Il18;Il1b;Il6;Myd88;Tlr9;Tnf</t>
  </si>
  <si>
    <t>Ccl12;Ccl2;Cd40;Cd40lg;Csf3;Icam1;Ifng;Il10;Il18;Il1b;Il6;Itgal;Itgb2;Klrb1a;Klrb1b;Klrb1c;Klrk1;Met;Myd88;Selp;Tgfb1;Thbs1;Thbs4;Tlr2;Tlr9;Tnf</t>
  </si>
  <si>
    <t>Birc3;Casp3;Casp8;Ccr5;Cd40;Cd40lg;Ciita;Ifng;Ifngr1;Igtp;Il10;Il12b;Irgm;Lama1;Lamc2;Ldlr;Ly96;Myd88;Nfkb1;Nfkbia;Nos2;Pik3r5;RT1-Ba;RT1-Bb;RT1-Da;RT1-Db1;RT1-DMb;RT1-DOa;RT1-DOb;Tgfb1;Tlr11;Tlr2;Tnf</t>
  </si>
  <si>
    <t>Casp3;Cd14;Col4a1;Col4a2;Csf2;Fn1;Gna15;Ifng;Il10;Il12b;Il1b;Il1r2;Il6;Itgam;Itgb2;Lama1;Lamc2;Nfkb1;Nos2;Pik3cb;Pik3r3;Serpinb10;Serpinb1a;Serpinb3;Serpinb3a;Tgfb1;Tlr2;Tnf</t>
  </si>
  <si>
    <t>C1qa;C1qb;C1s;C2;C3;C3ar1;C5;C5ar1;Cfd;Cfi;Dsg1;Fcar;Fcgr1a;Fcgr2a;Fcgr3a;Fgg;Fpr1;Icam1;Il10;Itgal;Itgam;Itgb2;Masp1;Ptafr;RT1-Ba;RT1-Bb;RT1-Da;RT1-Db1;RT1-DMb;RT1-DOa;RT1-DOb;Selp;Selplg</t>
  </si>
  <si>
    <t>C3;Camk2b;Camp;Casp3;Casp8;Cd14;Cd74;Cebpb;Ciita;Clec4e;Clec7a;Coro1a;Ctsd;Fcer1g;Fcgr1a;Fcgr2a;Fcgr3a;Ifng;Ifngr1;Il10;Il12b;Il18;Il1a;Il1b;Il23a;Il6;Itgam;Itgax;Itgb2;Myd88;Nfkb1;Nos2;RT1-Ba;RT1-Bb;RT1-Da;RT1-Db1;RT1-DMb;RT1-DOa;RT1-DOb;Sphk1;Syk;Tgfb1;Tlr1;Tlr2;Tlr6;Tlr9;Tnf;Vdr</t>
  </si>
  <si>
    <t>Cldn18;Cldn2;Cldn3;Cldn7;Ifit1bl;Ikbke;Irf1;Irf7;Ldlr;Nfkb1;Nfkbia;Oas3;Pik3cb;Pik3r3;Socs3;Tnf</t>
  </si>
  <si>
    <t>Birc5;Casp12;Casp3;Casp8;Ccna2;Ccne1;Creb3l4;E2f1;Egr2;Faslg;Ikbke;Il6;Irf7;Mmp9;Myd88;Nfkb1;Nfkbia;Pik3cb;Pik3r3;Stat4;Tgfb1;Tlr2;Tnf</t>
  </si>
  <si>
    <t>Ccne1;Cd28;Cd3d;Cd3e;Faslg;Ifng;Ifngr1;Ikbke;Il12b;Il1a;Il1b;Il2ra;Il2rb;Il2rg;Il6;Irf7;Jak3;Msn;Myd88;Nfkb1;Nfkbia;Oas3;Pik3cb;Pik3r3;Sh2d1a;Slamf1;Tlr2;Tlr9;Tnfaip3;Tnfrsf10b;Tp73</t>
  </si>
  <si>
    <t>Casp1;Ccl12;Ccl2;Ccl5;Ciita;Cxcl10;Faslg;Furin;Icam1;Ifng;Ifngr1;Ikbke;Il12b;Il18;Il1a;Il1b;Il6;Irf7;Kpna2;Myd88;Nfkb1;Nfkbia;Nlrp3;Oas3;Pik3cb;Pik3r3;Rsad2;RT1-Ba;RT1-Bb;RT1-Da;RT1-Db1;RT1-DMb;RT1-DOa;RT1-DOb;Socs3;Tmprss4;Tnf;Tnfrsf10b</t>
  </si>
  <si>
    <t>Bak1;Casp3;Casp8;Ccna2;Ccne1;Col4a1;Col4a2;Col6a4;Creb3l4;E2f1;Faslg;Fn1;Fzd5;Ikbke;Irf1;Isg15;Itga2;Itga3;Itga4;Itga5;Itga8;Itgb7;Lama1;Lamc2;Nfkb1;Oasl;Oasl2;Pik3cb;Pik3r3;Rbl1;RT1-A1;RT1-A2;RT1-CE10;RT1-CE3;RT1-CE5;RT1-M2;Spp1;Thbs1;Thbs4;Tnf;Tnn;Vegfa</t>
  </si>
  <si>
    <t>Adcy7;Adcy8;Bub1b;Ccnb2;Cd3d;Cd3e;Cd40;Cdc20;Cdkn2b;Chek1;Csf2;E2f1;Egr2;Fzd5;Icam1;Il15ra;Il1r2;Il2ra;Il2rb;Il2rg;Il6;Itgal;Itgb2;Jak3;Lck;Mad2l1;Mybl2;Nfkb1;Nfkb2;Nfkbia;Pik3cb;Pik3r3;Pole;Pole2;Pttg1;Relb;RGD1560020_predicted;RT1-A1;RT1-A2;RT1-Ba;RT1-Bb;RT1-CE10;RT1-CE3;RT1-CE5;RT1-Da;RT1-Db1;RT1-DMb;RT1-DOa;RT1-DOb;RT1-M2;Slc2a1;Spi1;Tgfb1;Tnf</t>
  </si>
  <si>
    <t>Bak1;C3;Casp3;Casp8;Ccr1l1;Ccr3;Ccr4;Ccr5;Ccr8;Cd200r1;Clec2h;Csf2;Cxcl1;Cxcl2;Cxcl3;E2f1;Gng4;Gngt2;Hck;Hif1a;Icam1;Ifngr1;Ikbke;Il6;Irf7;Lyn;Nfkb1;Nfkbia;Pik3cb;Pik3r3;Pik3r5;Prex1;Rcan1;RT1-A1;RT1-A2;RT1-CE10;RT1-CE3;RT1-CE5;RT1-M2;Syk;Vegfa</t>
  </si>
  <si>
    <t>C3;C5;Casp3;Casp8;Ccl12;Ccl2;Ccl5;Cd74;Cdk1;Cfp;Faslg;Ifit1bl;Ifng;Ifngr1;Ikbke;Il12b;Il1b;Il6;Irf7;Myd88;Nfkb1;Nfkbia;Oas3;RT1-A1;RT1-A2;RT1-Ba;RT1-Bb;RT1-CE10;RT1-CE3;RT1-CE5;RT1-Da;RT1-Db1;RT1-DMb;RT1-DOa;RT1-DOb;RT1-M2;Socs3;Tap1;Tap2;Tlr2;Tlr9;Tnf;Tnfrsf14;Tnfsf14</t>
  </si>
  <si>
    <t>Ccna2;Cd19;Cd38;Cd40;Cd44;Cdk1;Entpd8;Fgr;Icam1;Ifng;Il10;Itgal;Jak3;Lyn;Nfkb1;Nfkb2;Nfkbia;Nfkbie;Pik3cb;Pik3r3;Polr2i;Relb;RT1-A1;RT1-A2;RT1-CE10;RT1-CE3;RT1-CE5;RT1-M2;Spi1;Spn;Syk;Tnfaip3</t>
  </si>
  <si>
    <t>Adcy7;Adcy8;Arnt2;Bak1;Bdkrb1;Birc3;Birc5;Camk2b;Casp3;Casp8;Ccne1;Cdkn2b;Cebpa;Cks2;Col4a1;Col4a2;Csf2ra;Csf2rb;Csf3r;Cxcr4;E2f1;Ednra;Ednrb;F2r;Faslg;Fgf9;Flt3;Fn1;Fzd5;Gadd45b;Gng4;Gngt2;Gsta2;Gsta3;Gsta4;Gsta5;Gstm1;Gstp1;Hif1a;Hmox1;Ifng;Ifngr1;Igf1;Il12b;Il12rb1;Il15ra;Il23a;Il2ra;Il2rb;Il2rg;Il5ra;Il6;Il7;Itga2;Itga3;Jak3;Kit;Lama1;Lamc2;Met;Mgst3;Mmp2;Mmp9;Nfkb1;Nfkb2;Nfkbia;Nos2;Nqo1;Ntrk1;Pax8;Peg12;Pik3cb;Pik3r3;Pim1;Pmaip1;Ptger2;Rac2;Rad51;Rasgrp1;Rasgrp4;Ret;Slc2a1;Spi1;Stat4;Tgfa;Tgfb1;Tpm3;Txnrd1;Vegfa</t>
  </si>
  <si>
    <t>Arnt2;Bak1;Bcl11b;Bcl2a1;Birc3;Cd14;Cd40;Cebpa;Cebpb;Cebpe;Csf2;Elane;Etv4;Ewsr1;Fcgr1a;Flt3;Gadd45b;Gzmb;Gzmbl2;Hist1h2ail1;Hist1h3a;Hist2h3c2;Igf1;Il1r2;Il2rb;Il6;Itgam;Itgb7;Met;Mmp3;Mmp9;Mycn;Nfkb1;Nfkbiz;Ntrk1;Pax8;Plat;Plau;Prom1;Runx2;Slc45a3;Spi1;Wt1</t>
  </si>
  <si>
    <t>Bak1;C3;Casp3;Casp8;Ccna2;Ccne1;Ccr3;Ccr4;Ccr5;Ccr8;Cdc20;Cdk1;Cdkn2b;Chek1;Creb3l4;Egr2;Hist1h2ba;Hist1h2bcl1;Hist1h2bd;Hist1h2bf;Hist1h2bk;Hist1h2bl;Hist1h2bo;Hist2h4;Hist2h4a;Hist3h2bb;Hpn;Irf7;Jak3;Lyn;Nfkb1;Nfkb2;Nfkbia;Pik3cb;Pik3r3;Pmaip1;Rbl1;RT1-A1;RT1-A2;RT1-CE10;RT1-CE3;RT1-CE5;RT1-M2;Scin;Syk</t>
  </si>
  <si>
    <t>Aldh1a3;Cyp1b1;Cyp2c11;Gsta2;Gsta3;Gsta4;Gsta5;Gstm1;Gstp1;Mgst3;RGD1559459;Ugt1a7c;Ugt2b7</t>
  </si>
  <si>
    <t>Camk2b;Casp3;Cd44;Faslg;Fn1;Fzd5;Hbegf;Hcls1;Hif1a;Hpse;Igf1;Il12b;Itga2;Itga5;Met;Mmp2;Mmp9;Msn;Pik3cb;Pik3r3;Plau;Plaur;Ptpn6;Tgfb1;Thbs1;Tlr2;Tnf;Vegfa</t>
  </si>
  <si>
    <t>Abcb1b;Bak1;Brca1;Casp3;Ccne1;Cd44;Cdc25c;Cdca5;Cyp1b1;Dnmt3b;E2f1;Hmox1;Itga5;Kif23;Met;Mmp9;Nfkb1;Pim1;Plau;Serpinb5;Slc45a3;Slc7a1;St14;Thbs1;Tnn;Vegfa</t>
  </si>
  <si>
    <t>Areg;Bak1;Birc5;Casp3;Ereg;Gadd45b;Pik3cb;Pik3r3;Pmaip1;Rac2;Tgfa;Tgfb1</t>
  </si>
  <si>
    <t>Arnt2;Hif1a;Met;Pik3cb;Pik3r3;Slc2a1;Tgfa;Tgfb1;Vegfa</t>
  </si>
  <si>
    <t>Bak1;E2f1;Gadd45b;Nfkb1;Pik3cb;Pik3r3;Rac2;Rad51;Tgfa;Tgfb1;Vegfa</t>
  </si>
  <si>
    <t>Bak1;Gadd45b;Pik3cb;Pik3r3</t>
  </si>
  <si>
    <t>Bak1;Camk2b;E2f1;Gadd45b;Igf1;Pik3cb;Pik3r3;Tgfa</t>
  </si>
  <si>
    <t>Ccne1;Creb3l4;E2f1;Gstp1;Igf1;Il1r2;Insrr;Mmp3;Mmp9;Nfkb1;Nfkbia;Pik3cb;Pik3r3;Plat;Plau;Tgfa</t>
  </si>
  <si>
    <t>Bak1;Gadd45b;Ntrk1;Pax8;Ret;Tpm3</t>
  </si>
  <si>
    <t>Bak1;Fzd5;Gadd45b</t>
  </si>
  <si>
    <t>Bak1;E2f1;Fgf9;Gadd45b;Igf1;Met;Pik3cb;Pik3r3</t>
  </si>
  <si>
    <t>E2f1;Hbegf;Mmp2;Mmp9;Thbs1;Vegfa</t>
  </si>
  <si>
    <t>Bak1;E2f1;Gadd45b;Nfkb1;Nfkbia;Pik3cb;Pik3r3;Tgfb1</t>
  </si>
  <si>
    <t>Bcl2a1;Cd14;Cebpa;Cebpe;Csf2;Fcgr1a;Flt3;Itgam;Kit;Nfkb1;Pik3cb;Pik3r3;Pim1;Spi1</t>
  </si>
  <si>
    <t>Bak1;Birc3;Casp3;Ccne1;Cdkn2b;Cks2;Col4a1;Col4a2;E2f1;Fn1;Gadd45b;Itga2;Itga3;Lama1;Lamc2;Nfkb1;Nfkbia;Nos2;Pik3cb;Pik3r3</t>
  </si>
  <si>
    <t>Bak1;E2f1;Gadd45b;Jak3;Pik3cb;Pik3r3;Tgfa</t>
  </si>
  <si>
    <t>Bak1;Brca1;E2f1;Fgf9;Fzd5;Gadd45b;Igf1;Kit;Nfkb2;Peg12;Pgr;Pik3cb;Pik3r3;Tnfsf11</t>
  </si>
  <si>
    <t>Bak1;E2f1;Fzd5;Gadd45b;Gsta2;Gsta3;Gsta4;Gsta5;Gstm1;Gstp1;Hmox1;Met;Mgst3;Nqo1;Peg12;Pik3cb;Pik3r3;Tgfa;Tgfb1;Txnrd1</t>
  </si>
  <si>
    <t>Abcb1b;Bak1;Ccne1;Cdh17;Cdkn2b;E2f1;Fgf9;Fzd5;Gadd45b;Met;Peg12;Pik3cb;Pik3r3;Tgfb1</t>
  </si>
  <si>
    <t>Flt3;G6pd;Hif1a;Hk2;Hk3;Kit;Ldha;Met;Ntrk1;Pik3cb;Pik3r3;Ret;Slc16a3;Slc2a1;Slc7a5</t>
  </si>
  <si>
    <t>Hif1a;Pcyt1b;Pik3cb;Pik3r3;Pla2g4f;Rac2;Slc44a4;Was</t>
  </si>
  <si>
    <t>Cd40;Cd40lg;Fcer1g;Il10;Ms4a2;RT1-Ba;RT1-Bb;RT1-Da;RT1-Db1;RT1-DMb;RT1-DOa;RT1-DOb;Tnf</t>
  </si>
  <si>
    <t>Cd28;Cd40;Cd40lg;Cd80;Ctla4;Faslg;Gzmb;Gzmbl2;Il10;Prf1;RT1-A1;RT1-A2;RT1-Ba;RT1-Bb;RT1-CE10;RT1-CE3;RT1-CE5;RT1-Da;RT1-Db1;RT1-DMb;RT1-DOa;RT1-DOb;RT1-M2;Tg</t>
  </si>
  <si>
    <t>Ifng;Ifngr1;Il10;Il12b;Il12rb1;Il17a;Il17f;Il18;Il18rap;Il1a;Il1b;Il21r;Il22;Il23a;Il2rg;Il6;Nfkb1;RT1-Ba;RT1-Bb;RT1-Da;RT1-Db1;RT1-DMb;RT1-DOa;RT1-DOb;Stat4;Tbx21;Tgfb1;Tlr2;Tlr5;Tnf</t>
  </si>
  <si>
    <t>C1qa;C1qb;C1s;C2;C3;C5;Cd28;Cd40;Cd40lg;Cd80;Elane;Fcgr1a;Fcgr2a;Fcgr3a;H2afx;Hist1h2ac;Hist1h2ah;Hist1h2ai;Hist1h2ail1;Hist1h2ak;Hist1h2an;Hist1h2ba;Hist1h2bcl1;Hist1h2bd;Hist1h2bf;Hist1h2bk;Hist1h2bl;Hist1h2bo;Hist1h3a;Hist2h3c2;Hist2h4;Hist2h4a;Hist3h2bb;Ifng;Il10;RT1-Ba;RT1-Bb;RT1-Da;RT1-Db1;RT1-DMb;RT1-DOa;RT1-DOb;Tnf</t>
  </si>
  <si>
    <t>Acp5;Ccl12;Ccl2;Ccl20;Ccl3;Ccl5;Cd28;Cd80;Csf2;Ctla4;Cxcl6;Icam1;Ifng;Il11;Il17a;Il18;Il1a;Il1b;Il23a;Il6;Itgal;Itgb2;Ltb;Mmp3;RT1-Ba;RT1-Bb;RT1-Da;RT1-Db1;RT1-DMb;RT1-DOa;RT1-DOb;Tgfb1;Tlr2;Tnf;Tnfsf11;Vegfa</t>
  </si>
  <si>
    <t>Cd28;Cd40;Cd40lg;Cd80;Faslg;Gzmb;Gzmbl2;Ifng;Il10;Il12b;Prf1;RT1-A1;RT1-A2;RT1-Ba;RT1-Bb;RT1-CE10;RT1-CE3;RT1-CE5;RT1-Da;RT1-Db1;RT1-DMb;RT1-DOa;RT1-DOb;RT1-M2;Tnf</t>
  </si>
  <si>
    <t>Cd28;Cd80;Faslg;Gzmb;Gzmbl2;Ifng;Il1a;Il1b;Il6;Klrc1;Prf1;RT1-A1;RT1-A2;RT1-Ba;RT1-Bb;RT1-CE10;RT1-CE3;RT1-CE5;RT1-Da;RT1-Db1;RT1-DMb;RT1-DOa;RT1-DOb;RT1-M2;Tnf</t>
  </si>
  <si>
    <t>Btk;Cd19;Cd3d;Cd3e;Cd40;Cd40lg;Cd8a;Cd8b;Ciita;Icos;Il2rg;Jak3;Lck;Ptprc;Tap1;Tap2;Ung;Zap70</t>
  </si>
  <si>
    <t>Cacng7;Igf1;Il6;Itga2;Itga3;Itga4;Itga5;Itga8;Itgb7;Sgcg;Tgfb1;Tnf;Tpm3;Tpm4</t>
  </si>
  <si>
    <t>Actn2;Cacng7;Dsc2;Gja1;Itga2;Itga3;Itga4;Itga5;Itga8;Itgb7;Sgcg</t>
  </si>
  <si>
    <t>Adcy7;Adcy8;Cacng7;Igf1;Itga2;Itga3;Itga4;Itga5;Itga8;Itgb7;Sgcg;Tgfb1;Tnf;Tpm3;Tpm4</t>
  </si>
  <si>
    <t>Casp3;Casp8;Cd28;Cd40;Cd40lg;Cd55;Cd80;Cxadr;Icam1;Itgal;Itgb2;Prf1;Rac2;RT1-A1;RT1-A2;RT1-Ba;RT1-Bb;RT1-CE10;RT1-CE3;RT1-CE5;RT1-Da;RT1-Db1;RT1-DMb;RT1-DOa;RT1-DOb;RT1-M2;Sgcg</t>
  </si>
  <si>
    <t>Ass1;Bmpr1b;Ccl12;Ccl2;Cyba;Gsta2;Gsta3;Gsta4;Gsta5;Gstm1;Gstp1;Hmox1;Icam1;Ifng;Il1a;Il1b;Il1r2;Mgst3;Mmp2;Mmp9;Ncf1;Ncf2;Nfkb1;Nqo1;Pik3cb;Pik3r3;Plat;Rac2;Tnf;Txn1;Vegfa</t>
  </si>
  <si>
    <t>Hk3</t>
  </si>
  <si>
    <t>Ugt1a7c</t>
  </si>
  <si>
    <t>Acsbg2</t>
  </si>
  <si>
    <t>Acaa1b;Acsbg2</t>
  </si>
  <si>
    <t>Akr1c3;Cyp11b2;Ugt1a7c</t>
  </si>
  <si>
    <t>Arg2</t>
  </si>
  <si>
    <t>Entpd8;Polr2i</t>
  </si>
  <si>
    <t>Acaa1b;Aox2</t>
  </si>
  <si>
    <t>Aoc1;Arg2;P4ha3</t>
  </si>
  <si>
    <t>Aoc1</t>
  </si>
  <si>
    <t>Aox2</t>
  </si>
  <si>
    <t>Aoc1;Aox2</t>
  </si>
  <si>
    <t>Nat8f4</t>
  </si>
  <si>
    <t>Mgat5b</t>
  </si>
  <si>
    <t>Plpp4</t>
  </si>
  <si>
    <t>Pafah1b3;Pla2g7</t>
  </si>
  <si>
    <t>Acaa1b</t>
  </si>
  <si>
    <t>Acer1</t>
  </si>
  <si>
    <t>Aldh1a7;Aox2;Ugt1a7c</t>
  </si>
  <si>
    <t>Akr7a3;Ugt1a7c</t>
  </si>
  <si>
    <t>Aox2;Ugt1a7c</t>
  </si>
  <si>
    <t>Ces2;Ces2h;Ugt1a7c</t>
  </si>
  <si>
    <t>rno01040</t>
  </si>
  <si>
    <t>Biosynthesis of unsaturated fatty acids</t>
  </si>
  <si>
    <t>Abcb1b;Tap2</t>
  </si>
  <si>
    <t>Angpt4;Bdnf;Cacna1s;Dusp9;Il1a;Rasgrf1</t>
  </si>
  <si>
    <t>Angpt4;Bdnf;Rasgrf1</t>
  </si>
  <si>
    <t>Angpt4;Thbs1</t>
  </si>
  <si>
    <t>Cacna1s;Cysltr2;Grpr;P2rx5</t>
  </si>
  <si>
    <t>Adra2c;Cacna1s</t>
  </si>
  <si>
    <t>Bdnf;Cacna1s;Ffar2;Hcn4;Tshr</t>
  </si>
  <si>
    <t>Bmpr1b;Ccl9;Cd27;Cxcl1;Cxcr4;Il1a;Il20ra;Inhbb;Ltb;Xcr1</t>
  </si>
  <si>
    <t>Ccl9;Cxcl1;Cxcr4;Xcr1</t>
  </si>
  <si>
    <t>Ltb</t>
  </si>
  <si>
    <t>Angpt4;Hk3</t>
  </si>
  <si>
    <t>Acer1;Fcer1a;Ms4a2</t>
  </si>
  <si>
    <t>Fcer1a;Ms4a2</t>
  </si>
  <si>
    <t>Adra2c;Cysltr2;Glp2r;Glra1;Grid1;Grpr;Npy4r;Ntsr2;P2rx5;Tshr</t>
  </si>
  <si>
    <t>Cdc6</t>
  </si>
  <si>
    <t>Cpeb1</t>
  </si>
  <si>
    <t>Thbs1</t>
  </si>
  <si>
    <t>Dnase2b</t>
  </si>
  <si>
    <t>Cxcr4;Ehd3</t>
  </si>
  <si>
    <t>Tap2;Thbs1;Tubb3</t>
  </si>
  <si>
    <t>Fzd5</t>
  </si>
  <si>
    <t>Angpt4;Bdnf;Fn1;Itga8;Lama1;Thbs1;Tnn</t>
  </si>
  <si>
    <t>Il1a</t>
  </si>
  <si>
    <t>Cacna1s;Myl4</t>
  </si>
  <si>
    <t>Cacna1s;Myl4;Scn5a</t>
  </si>
  <si>
    <t>Cacna1s</t>
  </si>
  <si>
    <t>Bmpr1b;Inhbb;Thbs1</t>
  </si>
  <si>
    <t>Bmpr1b;Cxcr4;Rnd1</t>
  </si>
  <si>
    <t>Myl4</t>
  </si>
  <si>
    <t>Il1a;Lilrb4</t>
  </si>
  <si>
    <t>Bmpr1b;Fzd5</t>
  </si>
  <si>
    <t>Fn1;Itga8;Lama1;Rasgrf1;Thbs1;Tnn</t>
  </si>
  <si>
    <t>Fn1;Itga8;Lama1;Thbs1;Tnn</t>
  </si>
  <si>
    <t>Cldn2;Itga8</t>
  </si>
  <si>
    <t>Cldn2;Micall2;Myh1;Myh2</t>
  </si>
  <si>
    <t>Tubb3</t>
  </si>
  <si>
    <t>Bmpr1b;Dusp9;Fzd5;Inhbb;Pcgf1</t>
  </si>
  <si>
    <t>Klrc2;Tap2</t>
  </si>
  <si>
    <t>Cma1;Cpa3;Mcpt1l1</t>
  </si>
  <si>
    <t>Cxcl1</t>
  </si>
  <si>
    <t>Clec4d;Clec4e</t>
  </si>
  <si>
    <t>Aox2;Il20ra</t>
  </si>
  <si>
    <t>Cd3e;Il1a</t>
  </si>
  <si>
    <t>Klrc2</t>
  </si>
  <si>
    <t>Cxcl1;Mmp13;S100a8;S100a9</t>
  </si>
  <si>
    <t>Cd3e</t>
  </si>
  <si>
    <t>Cldn2;Cxcr4</t>
  </si>
  <si>
    <t>Cxcr4</t>
  </si>
  <si>
    <t>Bdnf</t>
  </si>
  <si>
    <t>Olr1372;Olr59;Or10ad1</t>
  </si>
  <si>
    <t>Hcn4</t>
  </si>
  <si>
    <t>Diaph3;Fn1;Itga8;Itgad</t>
  </si>
  <si>
    <t>Krt23</t>
  </si>
  <si>
    <t>Tshr</t>
  </si>
  <si>
    <t>Mmp13</t>
  </si>
  <si>
    <t>Cacna1s;Cyp11b2</t>
  </si>
  <si>
    <t>Fn1;Il1a;Nox4</t>
  </si>
  <si>
    <t>Cacna1s;Cyp11b2;Fzd5</t>
  </si>
  <si>
    <t>Il1a;Ptprn;Ptprn2</t>
  </si>
  <si>
    <t>Calb1</t>
  </si>
  <si>
    <t>Cpa3</t>
  </si>
  <si>
    <t>Abcb1b</t>
  </si>
  <si>
    <t>Bdnf;Polr2i</t>
  </si>
  <si>
    <t>Fn1</t>
  </si>
  <si>
    <t>Cxcl1;Il1a</t>
  </si>
  <si>
    <t>Lama1</t>
  </si>
  <si>
    <t>Arg2;Fn1;Lama1</t>
  </si>
  <si>
    <t>Clec4e;Il1a</t>
  </si>
  <si>
    <t>Cldn2</t>
  </si>
  <si>
    <t>Fn1;Fzd5;Itga8;Lama1;Thbs1;Tnn</t>
  </si>
  <si>
    <t>Cd3e;Fzd5</t>
  </si>
  <si>
    <t>Tap2</t>
  </si>
  <si>
    <t>Cxcr4;Fn1;Fzd5;Lama1</t>
  </si>
  <si>
    <t>Wt1</t>
  </si>
  <si>
    <t>Fn1;Fzd5;Thbs1</t>
  </si>
  <si>
    <t>Abcb1b;Thbs1;Tnn</t>
  </si>
  <si>
    <t>Fn1;Lama1</t>
  </si>
  <si>
    <t>Abcb1b;Fzd5</t>
  </si>
  <si>
    <t>Il1a;Ltb</t>
  </si>
  <si>
    <t>Cd3e;Tap2</t>
  </si>
  <si>
    <t>Cacna1s;Itga8</t>
  </si>
  <si>
    <t>Bmpr1b;Il1a</t>
  </si>
  <si>
    <t>circRNA_2355|Chr15:55485728_55488198_+(Sucla2);</t>
  </si>
  <si>
    <t>circRNA_4934|Chr4:171770056_171787877_+(Dera);</t>
  </si>
  <si>
    <t>circRNA_5578|Chr6:27575763_27582987_-(Hadhb);</t>
  </si>
  <si>
    <t>circRNA_5578|Chr6:27575763_27582987_-(Hadhb);circRNA_6373|Chr8:58182482_58182849_-(Acat1);</t>
  </si>
  <si>
    <t>circRNA_1663|Chr12:47088804_47092139_-(Coq5);</t>
  </si>
  <si>
    <t>circRNA_0878|Chr10:16769713_16774652_-(Atp6v0e1);</t>
  </si>
  <si>
    <t>circRNA_6847|Chr9:54232163_54248877_+(Gls);</t>
  </si>
  <si>
    <t>circRNA_0380|Chr1:184008119_184017761_+(Pde3b);circRNA_0603|Chr1:238998947_239014340_-(Gda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2221|Chr15:3233141_3239097_-(Adk);circRNA_3781|Chr2:226925637_226926225_+(Pde5a);circRNA_3782|Chr2:226925637_226942478_+(Pde5a);circRNA_4774|Chr4:115191293_115197150_-(Dguok);</t>
  </si>
  <si>
    <t>circRNA_1841|Chr13:85401003_85401929_+(Uck2);</t>
  </si>
  <si>
    <t>circRNA_5595|Chr6:28272106_28272697_+(Dnmt3a);</t>
  </si>
  <si>
    <t>circRNA_2416|Chr15:109125713_109141568_+(Pcca);circRNA_2418|Chr15:109127707_109141568_+(Pcca);circRNA_4726|Chr4:82682367_82685493_-(Hibadh);circRNA_5578|Chr6:27575763_27582987_-(Hadhb);circRNA_6373|Chr8:58182482_58182849_-(Acat1);circRNA_6567|Chr8:91509748_91527174_+(Bckdhb);circRNA_6838|Chr9:53459782_53462727_-(Hibch);circRNA_6840|Chr9:53475012_53508890_-(Hibch);circRNA_6841|Chr9:53492939_53508890_-(Hibch);</t>
  </si>
  <si>
    <t>circRNA_0535|Chr1:219018599_219028923_+(Kmt5b);circRNA_2975|Chr18:48443339_48443646_+(Prdm6);circRNA_2977|Chr18:48443339_48508708_+(Prdm6);circRNA_2978|Chr18:48443339_48521166_+(Prdm6);circRNA_2979|Chr18:48443339_48531023_+(Prdm6);circRNA_3650|Chr2:188269009_188309036_+(Ash1l);circRNA_3651|Chr2:188269009_188330330_+(Ash1l);circRNA_3659|Chr2:188298849_188330330_+(Ash1l);circRNA_3665|Chr2:188337238_188387007_+(Ash1l);circRNA_4024|Chr3:1988750_1998592_-(Ehmt1);circRNA_4033|Chr3:2057181_2060164_-(Ehmt1);circRNA_4515|Chr4:6219912_6222632_+(Kmt2c);circRNA_4534|Chr4:8223840_8242710_-(Kmt2e);circRNA_4626|Chr4:50180977_50200342_-(Aass);circRNA_6349|Chr8:49140247_49141428_-(Kmt2a);circRNA_6373|Chr8:58182482_58182849_-(Acat1);</t>
  </si>
  <si>
    <t>circRNA_6373|Chr8:58182482_58182849_-(Acat1);</t>
  </si>
  <si>
    <t>circRNA_6838|Chr9:53459782_53462727_-(Hibch);circRNA_6840|Chr9:53475012_53508890_-(Hibch);circRNA_6841|Chr9:53492939_53508890_-(Hibch);</t>
  </si>
  <si>
    <t>circRNA_2559|Chr16:62222412_62226174_-(Gsr);</t>
  </si>
  <si>
    <t>circRNA_1287|Chr11:7355304_7362812_+(Gbe1);</t>
  </si>
  <si>
    <t>circRNA_0269|Chr1:142160925_142161359_-(Man2a2);circRNA_5747|Chr6:100396828_100397255_+(Fut8);</t>
  </si>
  <si>
    <t>circRNA_4598|Chr4:33929479_33934304_+(C1galt1);</t>
  </si>
  <si>
    <t>circRNA_1501|Chr12:6404013_6419916_+(B3glct);</t>
  </si>
  <si>
    <t>circRNA_3107|Chr19:12691066_12713398_-(Large1);</t>
  </si>
  <si>
    <t>circRNA_6732|Chr9:11194239_11209094_-(Uxs1);circRNA_6734|Chr9:11194239_11219449_-(Uxs1);</t>
  </si>
  <si>
    <t>circRNA_0725|Chr1:262151915_262176067_-(Hpse2);circRNA_0726|Chr1:262786087_262811422_-(Hpse2);</t>
  </si>
  <si>
    <t>circRNA_2364|Chr15:60816746_60821766_-(Dgkh);circRNA_4663|Chr4:64431354_64474930_-(Dgki);circRNA_4664|Chr4:64451679_64474930_-(Dgki);circRNA_5627|Chr6:44055353_44107579_+(Mboat2);</t>
  </si>
  <si>
    <t>circRNA_0389|Chr1:185252579_185264972_+(Pik3c2a);circRNA_0394|Chr1:185263914_185297636_+(Pik3c2a);circRNA_0445|Chr1:200102205_200105174_+(Inpp5f);circRNA_2072|Chr14:60573253_60586776_-(Pi4k2b);circRNA_2832|Chr18:307052_312848_-(Mtmr1);circRNA_3147|Chr19:29642344_29645344_-(Inpp4b);circRNA_3929|Chr20:18467660_18471939_-(Ipmk);circRNA_6804|Chr9:43968846_43977575_+(Inpp4a);circRNA_6920|Chr9:71920586_71960153_+(Pikfyve);</t>
  </si>
  <si>
    <t>rno00563</t>
  </si>
  <si>
    <t>Glycosylphosphatidylinositol(GPI)-anchor biosynthesis</t>
  </si>
  <si>
    <t>circRNA_4431|Chr3:150814608_150833140_-(Pigu);circRNA_5073|Chr5:58467569_58467992_-(Pigo);</t>
  </si>
  <si>
    <t>circRNA_1762|Chr13:67141798_67143114_-(Pla2g4a);circRNA_2364|Chr15:60816746_60821766_-(Dgkh);circRNA_3512|Chr2:113739689_113745181_+(Pld1);circRNA_3515|Chr2:113747182_113764892_+(Pld1);circRNA_4663|Chr4:64431354_64474930_-(Dgki);circRNA_4664|Chr4:64451679_64474930_-(Dgki);circRNA_5627|Chr6:44055353_44107579_+(Mboat2);</t>
  </si>
  <si>
    <t>circRNA_1011|Chr10:61464686_61498597_-(Pafah1b1);circRNA_1762|Chr13:67141798_67143114_-(Pla2g4a);circRNA_3512|Chr2:113739689_113745181_+(Pld1);circRNA_3515|Chr2:113747182_113764892_+(Pld1);circRNA_4199|Chr3:62719200_62733674_+(Agps);circRNA_5394|Chr5:152619586_152621233_+(Pafah2);</t>
  </si>
  <si>
    <t>circRNA_1762|Chr13:67141798_67143114_-(Pla2g4a);</t>
  </si>
  <si>
    <t>circRNA_0310|Chr1:163182618_163216364_-(Acer3);circRNA_1464|Chr11:87529218_87529984_+(Smpd4);circRNA_1498|Chr12:4448685_4450137_-(Cers4);circRNA_2540|Chr16:54011840_54019134_+(Asah1);</t>
  </si>
  <si>
    <t>rno00630</t>
  </si>
  <si>
    <t>Glyoxylate and dicarboxylate metabolism</t>
  </si>
  <si>
    <t>circRNA_2416|Chr15:109125713_109141568_+(Pcca);circRNA_2418|Chr15:109127707_109141568_+(Pcca);circRNA_6373|Chr8:58182482_58182849_-(Acat1);</t>
  </si>
  <si>
    <t>circRNA_2355|Chr15:55485728_55488198_+(Sucla2);circRNA_2416|Chr15:109125713_109141568_+(Pcca);circRNA_2418|Chr15:109127707_109141568_+(Pcca);circRNA_6373|Chr8:58182482_58182849_-(Acat1);circRNA_6567|Chr8:91509748_91527174_+(Bckdhb);circRNA_6838|Chr9:53459782_53462727_-(Hibch);circRNA_6840|Chr9:53475012_53508890_-(Hibch);circRNA_6841|Chr9:53492939_53508890_-(Hibch);</t>
  </si>
  <si>
    <t>circRNA_3460|Chr2:58477282_58489198_+(Nadk2);</t>
  </si>
  <si>
    <t>circRNA_0653|Chr1:253120469_253148277_-(Pank1);circRNA_4364|Chr3:123825681_123833222_+(Pank2);circRNA_4365|Chr3:123829471_123833222_+(Pank2);</t>
  </si>
  <si>
    <t>circRNA_5440|Chr5:162834556_162835977_+(Dhrs3);</t>
  </si>
  <si>
    <t>circRNA_2722|Chr17:53963185_53968528_+(Ggps1);circRNA_6373|Chr8:58182482_58182849_-(Acat1);</t>
  </si>
  <si>
    <t>circRNA_0300|Chr1:161928871_161932898_+(Nars2);circRNA_0301|Chr1:161988635_162006381_+(Nars2);circRNA_2941|Chr18:29633808_29634585_+(Hars2);circRNA_6957|Chr9:84367943_84370769_-(Farsb);</t>
  </si>
  <si>
    <t>circRNA_1841|Chr13:85401003_85401929_+(Uck2);circRNA_3111|Chr19:15151107_15207439_+(Ces1d);</t>
  </si>
  <si>
    <t>circRNA_0451|Chr1:200671013_200672411_-(Fgfr2);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3150|Chr19:30869716_30883569_+(Gab1);circRNA_4700|Chr4:67399951_67412670_-(Braf);circRNA_4702|Chr4:67449579_67450836_-(Braf);circRNA_5724|Chr6:91938501_91961861_-(Sos2);</t>
  </si>
  <si>
    <t>circRNA_1398|Chr11:68722906_68730129_-(Adcy5);circRNA_1399|Chr11:68745884_68750272_-(Adcy5)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3701|Chr2:200243345_200253557_+(Notch2);circRNA_4377|Chr3:130093308_130099815_-(Jag1);circRNA_4700|Chr4:67399951_67412670_-(Braf);circRNA_4702|Chr4:67449579_67450836_-(Braf);circRNA_5724|Chr6:91938501_91961861_-(Sos2);circRNA_6155|Chr7:114555889_114562987_-(Ptk2);circRNA_6215|Chr7:130113212_130116591_-(Mapk12);</t>
  </si>
  <si>
    <t>circRNA_3818|Chr2:240854068_240861760_-(Nfkb1);</t>
  </si>
  <si>
    <t>circRNA_1857|Chr13:95120752_95128782_-(Akt3);circRNA_1858|Chr13:95167819_95196402_-(Akt3);circRNA_1859|Chr13:95167819_95208329_-(Akt3);circRNA_1860|Chr13:95193009_95196402_-(Akt3);circRNA_1861|Chr13:95193009_95208329_-(Akt3);circRNA_3313|Chr2:21915465_21921128_-(Msh3);circRNA_3997|Chr20:44890495_44931228_+(Rev3l);circRNA_6271|Chr8:6014617_6023899_-(Birc2);</t>
  </si>
  <si>
    <t>circRNA_4940|Chr4:176868013_176879489_-(Abcc9);circRNA_5101|Chr5:69929580_69966907_-(Abca1);circRNA_5102|Chr5:69951194_69956147_-(Abca1);circRNA_5103|Chr5:69951194_69966907_-(Abca1);</t>
  </si>
  <si>
    <t>circRNA_0656|Chr1:254700270_254708288_+(Rpp30);circRNA_3538|Chr2:124187476_124205983_+(Spata5);circRNA_3600|Chr2:166406958_166423542_+(Nmd3);</t>
  </si>
  <si>
    <t>circRNA_0305|Chr1:162684057_162691242_+(Clns1a);circRNA_0306|Chr1:162684057_162696070_+(Clns1a);circRNA_0656|Chr1:254700270_254708288_+(Rpp30);circRNA_3600|Chr2:166406958_166423542_+(Nmd3);circRNA_3969|Chr20:28067776_28072115_+(Ranbp2);circRNA_7206|ChrX:123718252_123720910_-(Upf3b);circRNA_7211|ChrX:128202172_128205259_-(Thoc2);</t>
  </si>
  <si>
    <t>circRNA_0040|Chr1:16859047_16875754_+(Hbs1l);circRNA_0041|Chr1:16859047_16879498_+(Hbs1l);circRNA_0299|Chr1:157470071_157490006_-(Pcf11);circRNA_1017|Chr10:61882916_61885796_+(Smg6);circRNA_2904|Chr18:24611733_24614740_+(Wdr33);circRNA_2925|Chr18:27704440_27708817_-(Etf1);circRNA_6028|Chr7:60390972_60408823_-(Cpsf6);circRNA_7206|ChrX:123718252_123720910_-(Upf3b);</t>
  </si>
  <si>
    <t>circRNA_0083|Chr1:36417425_36419485_+(Papd7);circRNA_1521|Chr12:9292180_9313769_-(Pan3);circRNA_6022|Chr7:59556898_59587314_-(Cnot2);circRNA_6448|Chr8:69793755_69795155_-(Dis3l);</t>
  </si>
  <si>
    <t>rno03022</t>
  </si>
  <si>
    <t>Basal transcription factors</t>
  </si>
  <si>
    <t>circRNA_1593|Chr12:25431710_25435591_+(Gtf2i);circRNA_1594|Chr12:25442325_25447480_+(Gtf2i);circRNA_2866|Chr18:6218154_6233603_+(Taf4b);circRNA_2909|Chr18:25055044_25059278_+(Ercc3);</t>
  </si>
  <si>
    <t>circRNA_2312|Chr15:45437783_45445017_+(Rnaseh2b);</t>
  </si>
  <si>
    <t>circRNA_0893|Chr10:29038498_29040713_+(Slu7);circRNA_1119|Chr10:75337353_75340473_+(Srsf1);circRNA_2638|Chr17:9503324_9503470_-(Ddx46);circRNA_3238|Chr19:43394227_43401075_+(Sf3b3);circRNA_4493|Chr3:177131326_177132323_+(Prpf6);circRNA_7211|ChrX:128202172_128205259_-(Thoc2);</t>
  </si>
  <si>
    <t>circRNA_2205|Chr14:115183821_115195697_+(Psme4);circRNA_4483|Chr3:175422379_175423144_-(Psma7);</t>
  </si>
  <si>
    <t>circRNA_0691|Chr1:259396273_259437470_-(Sorbs1);circRNA_0696|Chr1:259412482_259459540_-(Sorbs1);circRNA_0710|Chr1:259450673_259469248_-(Sorbs1);</t>
  </si>
  <si>
    <t>circRNA_2909|Chr18:25055044_25059278_+(Ercc3);</t>
  </si>
  <si>
    <t>circRNA_3313|Chr2:21915465_21921128_-(Msh3);</t>
  </si>
  <si>
    <t>circRNA_2648|Chr17:10096739_10107746_+(Uimc1);circRNA_2851|Chr18:3175483_3176344_+(Rbbp8);circRNA_5568|Chr6:25903936_25912817_-(Bre);</t>
  </si>
  <si>
    <t>circRNA_1481|Chr11:89328437_89332868_-(Prkdc);</t>
  </si>
  <si>
    <t>circRNA_2191|Chr14:110683107_110709166_+(Fancl);circRNA_3997|Chr20:44890495_44931228_+(Rev3l);</t>
  </si>
  <si>
    <t>circRNA_0451|Chr1:200671013_200672411_-(Fgfr2);circRNA_1021|Chr10:62540625_62581037_+(Taok1);circRNA_1762|Chr13:67141798_67143114_-(Pla2g4a);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2334|Chr15:51896716_51944899_-(Ppp3cc);circRNA_2337|Chr15:51925689_51954838_-(Ppp3cc);circRNA_3140|Chr19:25721379_25722171_+(Cacna1a);circRNA_3204|Chr19:38057557_38091369_+(Nfatc3);circRNA_3818|Chr2:240854068_240861760_-(Nfkb1);circRNA_4700|Chr4:67399951_67412670_-(Braf);circRNA_4702|Chr4:67449579_67450836_-(Braf);circRNA_5724|Chr6:91938501_91961861_-(Sos2);circRNA_5808|Chr6:124651885_124677509_-(Rps6ka5);circRNA_6074|Chr7:73684650_73698020_-(Stk3);circRNA_6077|Chr7:73808151_73848871_-(Stk3);circRNA_6079|Chr7:73834044_73848871_-(Stk3);circRNA_6215|Chr7:130113212_130116591_-(Mapk12);circRNA_6438|Chr8:68089178_68154119_-(Map2k5);</t>
  </si>
  <si>
    <t>circRNA_1368|Chr11:51049296_51068978_-(Cblb);circRNA_1369|Chr11:51057506_51068978_-(Cblb);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3150|Chr19:30869716_30883569_+(Gab1);circRNA_3796|Chr2:231078900_231128709_+(Camk2d);circRNA_4700|Chr4:67399951_67412670_-(Braf);circRNA_4702|Chr4:67449579_67450836_-(Braf);circRNA_5724|Chr6:91938501_91961861_-(Sos2);circRNA_6155|Chr7:114555889_114562987_-(Ptk2);</t>
  </si>
  <si>
    <t>circRNA_0451|Chr1:200671013_200672411_-(Fgfr2);circRNA_0839|Chr10:5930383_5930975_+(Grin2a);circRNA_1304|Chr11:29967593_29992834_-(Tiam1);circRNA_1659|Chr12:44761634_44762147_-(Ksr2);circRNA_1762|Chr13:67141798_67143114_-(Pla2g4a);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3150|Chr19:30869716_30883569_+(Gab1);circRNA_3512|Chr2:113739689_113745181_+(Pld1);circRNA_3515|Chr2:113747182_113764892_+(Pld1);circRNA_3818|Chr2:240854068_240861760_-(Nfkb1);circRNA_5724|Chr6:91938501_91961861_-(Sos2);circRNA_6642|Chr8:117106575_117109692_+(Rhoa);circRNA_6643|Chr8:117109572_117114039_+(Rhoa);</t>
  </si>
  <si>
    <t>circRNA_0451|Chr1:200671013_200672411_-(Fgfr2);circRNA_0839|Chr10:5930383_5930975_+(Grin2a);circRNA_1304|Chr11:29967593_29992834_-(Tiam1);circRNA_1398|Chr11:68722906_68730129_-(Adcy5);circRNA_1399|Chr11:68745884_68750272_-(Adcy5)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3280|Chr19:60370736_60429996_+(Pard3);circRNA_3719|Chr2:206549585_206567195_-(Magi3);circRNA_3720|Chr2:206549585_206570833_-(Magi3);circRNA_4700|Chr4:67399951_67412670_-(Braf);circRNA_4702|Chr4:67449579_67450836_-(Braf);circRNA_4812|Chr4:125734597_125789911_-(Magi1);circRNA_5664|Chr6:71078256_71089829_-(Prkd1);circRNA_6215|Chr7:130113212_130116591_-(Mapk12);circRNA_6492|Chr8:73183720_73192779_-(Tln2);circRNA_6642|Chr8:117106575_117109692_+(Rhoa);circRNA_6643|Chr8:117109572_117114039_+(Rhoa);</t>
  </si>
  <si>
    <t>circRNA_0839|Chr10:5930383_5930975_+(Grin2a);circRNA_1405|Chr11:69064518_69068514_-(Mylk);circRNA_1725|Chr13:50150091_50150276_-(Atp2b4)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2334|Chr15:51896716_51944899_-(Ppp3cc);circRNA_2337|Chr15:51925689_51954838_-(Ppp3cc);circRNA_3140|Chr19:25721379_25722171_+(Cacna1a);circRNA_3796|Chr2:231078900_231128709_+(Camk2d);circRNA_3978|Chr20:31900597_31901729_+(Tacr2);circRNA_4270|Chr3:104125824_104126822_-(Ryr3);circRNA_4272|Chr3:104155193_104159664_-(Ryr3);circRNA_4281|Chr3:104375097_104394775_-(Ryr3);circRNA_4282|Chr3:104385141_104430368_-(Ryr3);circRNA_4283|Chr3:104422849_104430368_-(Ryr3);circRNA_5502|Chr6:4259110_4315062_-(Slc8a1);circRNA_5503|Chr6:4278307_4315062_-(Slc8a1);circRNA_5504|Chr6:4298605_4315062_-(Slc8a1);</t>
  </si>
  <si>
    <t>circRNA_0380|Chr1:184008119_184017761_+(Pde3b);circRNA_1398|Chr11:68722906_68730129_-(Adcy5);circRNA_1399|Chr11:68745884_68750272_-(Adcy5);circRNA_1405|Chr11:69064518_69068514_-(Mylk);circRNA_1593|Chr12:25431710_25435591_+(Gtf2i);circRNA_1594|Chr12:25442325_25447480_+(Gtf2i);circRNA_1725|Chr13:50150091_50150276_-(Atp2b4)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2334|Chr15:51896716_51944899_-(Ppp3cc);circRNA_2337|Chr15:51925689_51954838_-(Ppp3cc);circRNA_2837|Chr18:1337228_1354828_-(Rock1);circRNA_3204|Chr19:38057557_38091369_+(Nfatc3);circRNA_3635|Chr2:187525295_187532740_+(Mef2d);circRNA_3781|Chr2:226925637_226926225_+(Pde5a);circRNA_3782|Chr2:226925637_226942478_+(Pde5a);circRNA_5502|Chr6:4259110_4315062_-(Slc8a1);circRNA_5503|Chr6:4278307_4315062_-(Slc8a1);circRNA_5504|Chr6:4298605_4315062_-(Slc8a1);circRNA_5998|Chr7:51410270_51416139_-(Ppp1r12a);circRNA_6002|Chr7:51433839_51444422_-(Ppp1r12a);circRNA_6642|Chr8:117106575_117109692_+(Rhoa);circRNA_6643|Chr8:117109572_117114039_+(Rhoa);</t>
  </si>
  <si>
    <t>circRNA_0380|Chr1:184008119_184017761_+(Pde3b);circRNA_0839|Chr10:5930383_5930975_+(Grin2a);circRNA_1304|Chr11:29967593_29992834_-(Tiam1);circRNA_1398|Chr11:68722906_68730129_-(Adcy5);circRNA_1399|Chr11:68745884_68750272_-(Adcy5);circRNA_1725|Chr13:50150091_50150276_-(Atp2b4)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2720|Chr17:52477332_52555114_-(Gli3);circRNA_2837|Chr18:1337228_1354828_-(Rock1);circRNA_3512|Chr2:113739689_113745181_+(Pld1);circRNA_3515|Chr2:113747182_113764892_+(Pld1);circRNA_3796|Chr2:231078900_231128709_+(Camk2d);circRNA_3818|Chr2:240854068_240861760_-(Nfkb1);circRNA_4700|Chr4:67399951_67412670_-(Braf);circRNA_4702|Chr4:67449579_67450836_-(Braf);circRNA_5998|Chr7:51410270_51416139_-(Ppp1r12a);circRNA_6002|Chr7:51433839_51444422_-(Ppp1r12a);circRNA_6642|Chr8:117106575_117109692_+(Rhoa);circRNA_6643|Chr8:117109572_117114039_+(Rhoa);</t>
  </si>
  <si>
    <t>circRNA_2158|Chr14:100058305_100066787_+(Egfr);circRNA_3450|Chr2:56451097_56456188_+(Lifr);</t>
  </si>
  <si>
    <t>circRNA_1304|Chr11:29967593_29992834_-(Tiam1);circRNA_1398|Chr11:68722906_68730129_-(Adcy5);circRNA_1399|Chr11:68745884_68750272_-(Adcy5);circRNA_1857|Chr13:95120752_95128782_-(Akt3);circRNA_1858|Chr13:95167819_95196402_-(Akt3);circRNA_1859|Chr13:95167819_95208329_-(Akt3);circRNA_1860|Chr13:95193009_95196402_-(Akt3);circRNA_1861|Chr13:95193009_95208329_-(Akt3);circRNA_2096|Chr14:81267948_81280976_-(Grk4);circRNA_2097|Chr14:81278563_81280976_-(Grk4);circRNA_2141|Chr14:87328008_87331877_+(Adcy1);circRNA_2142|Chr14:87328008_87357732_+(Adcy1);circRNA_2143|Chr14:87328008_87377952_+(Adcy1);circRNA_2144|Chr14:87331763_87357732_+(Adcy1);circRNA_2145|Chr14:87350088_87357732_+(Adcy1);circRNA_2837|Chr18:1337228_1354828_-(Rock1);circRNA_3280|Chr19:60370736_60429996_+(Pard3);circRNA_3818|Chr2:240854068_240861760_-(Nfkb1);circRNA_4700|Chr4:67399951_67412670_-(Braf);circRNA_4702|Chr4:67449579_67450836_-(Braf);circRNA_5724|Chr6:91938501_91961861_-(Sos2);circRNA_6155|Chr7:114555889_114562987_-(Ptk2);circRNA_6642|Chr8:117106575_117109692_+(Rhoa);circRNA_6643|Chr8:117109572_117114039_+(Rhoa);</t>
  </si>
  <si>
    <t>circRNA_3818|Chr2:240854068_240861760_-(Nfkb1);circRNA_4871|Chr4:152265847_152274059_-(Erc1);circRNA_4873|Chr4:152282030_152355930_-(Erc1);circRNA_6271|Chr8:6014617_6023899_-(Birc2);</t>
  </si>
  <si>
    <t>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3796|Chr2:231078900_231128709_+(Camk2d);circRNA_3818|Chr2:240854068_240861760_-(Nfkb1);</t>
  </si>
  <si>
    <t>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3031|Chr18:69634006_69647714_-(Smad4);circRNA_3032|Chr18:69634006_69657373_-(Smad4);circRNA_3034|Chr18:69642130_69657373_-(Smad4);circRNA_4700|Chr4:67399951_67412670_-(Braf);circRNA_4702|Chr4:67449579_67450836_-(Braf);circRNA_5724|Chr6:91938501_91961861_-(Sos2);circRNA_6215|Chr7:130113212_130116591_-(Mapk12);</t>
  </si>
  <si>
    <t>circRNA_0389|Chr1:185252579_185264972_+(Pik3c2a);circRNA_0394|Chr1:185263914_185297636_+(Pik3c2a);circRNA_0445|Chr1:200102205_200105174_+(Inpp5f);circRNA_2072|Chr14:60573253_60586776_-(Pi4k2b);circRNA_2364|Chr15:60816746_60821766_-(Dgkh);circRNA_2832|Chr18:307052_312848_-(Mtmr1);circRNA_3147|Chr19:29642344_29645344_-(Inpp4b);circRNA_3929|Chr20:18467660_18471939_-(Ipmk);circRNA_4663|Chr4:64431354_64474930_-(Dgki);circRNA_4664|Chr4:64451679_64474930_-(Dgki);circRNA_6804|Chr9:43968846_43977575_+(Inpp4a);circRNA_6920|Chr9:71920586_71960153_+(Pikfyve);</t>
  </si>
  <si>
    <t>circRNA_1498|Chr12:4448685_4450137_-(Cers4);circRNA_1857|Chr13:95120752_95128782_-(Akt3);circRNA_1858|Chr13:95167819_95196402_-(Akt3);circRNA_1859|Chr13:95167819_95208329_-(Akt3);circRNA_1860|Chr13:95193009_95196402_-(Akt3);circRNA_1861|Chr13:95193009_95208329_-(Akt3);circRNA_2540|Chr16:54011840_54019134_+(Asah1);circRNA_2837|Chr18:1337228_1354828_-(Rock1);circRNA_3512|Chr2:113739689_113745181_+(Pld1);circRNA_3515|Chr2:113747182_113764892_+(Pld1);circRNA_3818|Chr2:240854068_240861760_-(Nfkb1);circRNA_6215|Chr7:130113212_130116591_-(Mapk12);circRNA_6642|Chr8:117106575_117109692_+(Rhoa);circRNA_6643|Chr8:117109572_117114039_+(Rhoa);</t>
  </si>
  <si>
    <t>circRNA_1398|Chr11:68722906_68730129_-(Adcy5);circRNA_1399|Chr11:68745884_68750272_-(Adcy5);circRNA_1762|Chr13:67141798_67143114_-(Pla2g4a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2364|Chr15:60816746_60821766_-(Dgkh);circRNA_3150|Chr19:30869716_30883569_+(Gab1);circRNA_3512|Chr2:113739689_113745181_+(Pld1);circRNA_3515|Chr2:113747182_113764892_+(Pld1);circRNA_4518|Chr4:6866069_6869642_+(Rheb);circRNA_4663|Chr4:64431354_64474930_-(Dgki);circRNA_4664|Chr4:64451679_64474930_-(Dgki);circRNA_5724|Chr6:91938501_91961861_-(Sos2);circRNA_6293|Chr8:22509215_22513080_+(Dnm2);circRNA_6642|Chr8:117106575_117109692_+(Rhoa);circRNA_6643|Chr8:117109572_117114039_+(Rhoa);</t>
  </si>
  <si>
    <t>circRNA_0839|Chr10:5930383_5930975_+(Grin2a);circRNA_3280|Chr19:60370736_60429996_+(Pard3);circRNA_3978|Chr20:31900597_31901729_+(Tacr2);</t>
  </si>
  <si>
    <t>circRNA_1039|Chr10:63908528_63915032_+(Ywhae);circRNA_1481|Chr11:89328437_89332868_-(Prkdc);circRNA_3031|Chr18:69634006_69647714_-(Smad4);circRNA_3032|Chr18:69634006_69657373_-(Smad4);circRNA_3034|Chr18:69642130_69657373_-(Smad4);circRNA_6609|Chr8:109192353_109216053_+(Stag1);circRNA_6611|Chr8:109243253_109288160_+(Stag1);circRNA_6612|Chr8:109250465_109254764_+(Stag1);</t>
  </si>
  <si>
    <t>circRNA_0661|Chr1:255685048_255694514_-(Cpeb3);circRNA_1039|Chr10:63908528_63915032_+(Ywhae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2334|Chr15:51896716_51944899_-(Ppp3cc);circRNA_2337|Chr15:51925689_51954838_-(Ppp3cc);circRNA_3796|Chr2:231078900_231128709_+(Camk2d);circRNA_6215|Chr7:130113212_130116591_-(Mapk12);</t>
  </si>
  <si>
    <t>circRNA_1811|Chr13:76952080_77004245_+(Rfwd2);</t>
  </si>
  <si>
    <t>circRNA_0216|Chr1:116643750_116660509_+(Ube3a);circRNA_0999|Chr10:59192184_59239990_+(Ube2g1);circRNA_1368|Chr11:51049296_51068978_-(Cblb);circRNA_1369|Chr11:51057506_51068978_-(Cblb);circRNA_1811|Chr13:76952080_77004245_+(Rfwd2);circRNA_2191|Chr14:110683107_110709166_+(Fancl);circRNA_3062|Chr18:73479863_73498648_+(Pias2);circRNA_4426|Chr3:150692740_150696569_+(Itch);circRNA_4428|Chr3:150717267_150725392_+(Itch);circRNA_4430|Chr3:150717267_150734719_+(Itch);circRNA_4504|Chr4:2546232_2564215_+(Ube3c);circRNA_5545|Chr6:21942755_21944809_-(Birc6);circRNA_6271|Chr8:6014617_6023899_-(Birc2);circRNA_6433|Chr8:67801800_67812158_-(Pias1);circRNA_6959|Chr9:86083543_86087176_-(Cul3);circRNA_6967|Chr9:92325183_92327598_-(Trip12);</t>
  </si>
  <si>
    <t>circRNA_2770|Chr17:77176705_77178100_+(Optn);</t>
  </si>
  <si>
    <t>circRNA_0317|Chr1:164025518_164055455_-(Uvrag);circRNA_1857|Chr13:95120752_95128782_-(Akt3);circRNA_1858|Chr13:95167819_95196402_-(Akt3);circRNA_1859|Chr13:95167819_95208329_-(Akt3);circRNA_1860|Chr13:95193009_95196402_-(Akt3);circRNA_1861|Chr13:95193009_95208329_-(Akt3);circRNA_4518|Chr4:6866069_6869642_+(Rheb);circRNA_6125|Chr7:94895697_94898194_+(Deptor);</t>
  </si>
  <si>
    <t>circRNA_0999|Chr10:59192184_59239990_+(Ube2g1);circRNA_3249|Chr19:52169070_52171485_-(Mbtps1);</t>
  </si>
  <si>
    <t>circRNA_2540|Chr16:54011840_54019134_+(Asah1);circRNA_5959|Chr7:28987514_28990116_+(Gnptab);circRNA_5960|Chr7:28987514_28992637_+(Gnptab);</t>
  </si>
  <si>
    <t>circRNA_0193|Chr1:100913425_100914082_-(Ap2a1);circRNA_0451|Chr1:200671013_200672411_-(Fgfr2);circRNA_0865|Chr10:15358869_15376292_-(Rab11fip3);circRNA_0989|Chr10:57549452_57549919_+(Rabep1);circRNA_0990|Chr10:57549452_57563686_+(Rabep1);circRNA_1284|Chr11:2672491_2678232_-(Chmp2b);circRNA_1368|Chr11:51049296_51068978_-(Cblb);circRNA_1369|Chr11:51057506_51068978_-(Cblb);circRNA_1411|Chr11:70724569_70728535_-(Snx4);circRNA_2096|Chr14:81267948_81280976_-(Grk4);circRNA_2097|Chr14:81278563_81280976_-(Grk4);circRNA_2158|Chr14:100058305_100066787_+(Egfr);circRNA_2507|Chr16:23555922_23573530_+(Psd3);circRNA_2508|Chr16:23555922_23600154_+(Psd3);circRNA_3280|Chr19:60370736_60429996_+(Pard3);circRNA_3512|Chr2:113739689_113745181_+(Pld1);circRNA_3515|Chr2:113747182_113764892_+(Pld1);circRNA_3872|Chr20:3232306_3273815_+(RT1-T24-3);circRNA_4426|Chr3:150692740_150696569_+(Itch);circRNA_4428|Chr3:150717267_150725392_+(Itch);circRNA_4430|Chr3:150717267_150734719_+(Itch);circRNA_5287|Chr5:128997614_128998323_+(Eps15);circRNA_6293|Chr8:22509215_22513080_+(Dnm2);circRNA_6642|Chr8:117106575_117109692_+(Rhoa);circRNA_6643|Chr8:117109572_117114039_+(Rhoa);circRNA_7118|ChrX:37958484_37984798_-(Sh3kbp1);</t>
  </si>
  <si>
    <t>circRNA_0878|Chr10:16769713_16774652_-(Atp6v0e1);circRNA_3872|Chr20:3232306_3273815_+(RT1-T24-3);circRNA_4147|Chr3:46525736_46528994_-(Pla2r1);circRNA_4212|Chr3:71143189_71149475_+(Itgav);circRNA_6920|Chr9:71920586_71960153_+(Pikfyve);</t>
  </si>
  <si>
    <t>circRNA_4199|Chr3:62719200_62733674_+(Agps);</t>
  </si>
  <si>
    <t>circRNA_1857|Chr13:95120752_95128782_-(Akt3);circRNA_1858|Chr13:95167819_95196402_-(Akt3);circRNA_1859|Chr13:95167819_95208329_-(Akt3);circRNA_1860|Chr13:95193009_95196402_-(Akt3);circRNA_1861|Chr13:95193009_95208329_-(Akt3);circRNA_3448|Chr2:56061126_56069928_+(Rictor);circRNA_4518|Chr4:6866069_6869642_+(Rheb);circRNA_4700|Chr4:67399951_67412670_-(Braf);circRNA_4702|Chr4:67449579_67450836_-(Braf);circRNA_4917|Chr4:168213382_168221653_-(Lrp6);circRNA_4921|Chr4:168260038_168267184_-(Lrp6);circRNA_5724|Chr6:91938501_91961861_-(Sos2);circRNA_6125|Chr7:94895697_94898194_+(Deptor);circRNA_6642|Chr8:117106575_117109692_+(Rhoa);circRNA_6643|Chr8:117109572_117114039_+(Rhoa);circRNA_6971|Chr9:92859987_92880445_+(Cab39);</t>
  </si>
  <si>
    <t>circRNA_0451|Chr1:200671013_200672411_-(Fgfr2);circRNA_1039|Chr10:63908528_63915032_+(Ywhae);circRNA_1151|Chr10:82753666_82754365_+(Col1a1);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3428|Chr2:47182739_47203913_-(Itga1);circRNA_3818|Chr2:240854068_240861760_-(Nfkb1);circRNA_3836|Chr2:248770225_248811031_-(Pkn2);circRNA_4212|Chr3:71143189_71149475_+(Itgav);circRNA_4518|Chr4:6866069_6869642_+(Rheb);circRNA_5724|Chr6:91938501_91961861_-(Sos2);circRNA_6155|Chr7:114555889_114562987_-(Ptk2);circRNA_6680|Chr8:127289436_127301219_+(Itga9);</t>
  </si>
  <si>
    <t>circRNA_1857|Chr13:95120752_95128782_-(Akt3);circRNA_1858|Chr13:95167819_95196402_-(Akt3);circRNA_1859|Chr13:95167819_95208329_-(Akt3);circRNA_1860|Chr13:95193009_95196402_-(Akt3);circRNA_1861|Chr13:95193009_95208329_-(Akt3);circRNA_2062|Chr14:45683767_45691895_-(Tbc1d1);circRNA_4518|Chr4:6866069_6869642_+(Rheb);circRNA_6971|Chr9:92859987_92880445_+(Cab39);</t>
  </si>
  <si>
    <t>circRNA_1857|Chr13:95120752_95128782_-(Akt3);circRNA_1858|Chr13:95167819_95196402_-(Akt3);circRNA_1859|Chr13:95167819_95208329_-(Akt3);circRNA_1860|Chr13:95193009_95196402_-(Akt3);circRNA_1861|Chr13:95193009_95208329_-(Akt3);circRNA_3818|Chr2:240854068_240861760_-(Nfkb1);circRNA_6271|Chr8:6014617_6023899_-(Birc2);</t>
  </si>
  <si>
    <t>circRNA_1398|Chr11:68722906_68730129_-(Adcy5);circRNA_1399|Chr11:68745884_68750272_-(Adcy5)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2441|Chr16:2578902_2581762_-(Appl1);circRNA_3818|Chr2:240854068_240861760_-(Nfkb1);circRNA_4024|Chr3:1988750_1998592_-(Ehmt1);circRNA_4033|Chr3:2057181_2060164_-(Ehmt1);circRNA_4518|Chr4:6866069_6869642_+(Rheb);</t>
  </si>
  <si>
    <t>circRNA_1398|Chr11:68722906_68730129_-(Adcy5);circRNA_1399|Chr11:68745884_68750272_-(Adcy5)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</t>
  </si>
  <si>
    <t>circRNA_5545|Chr6:21942755_21944809_-(Birc6);circRNA_6271|Chr8:6014617_6023899_-(Birc2);</t>
  </si>
  <si>
    <t>circRNA_6262|Chr7:144080542_144084759_+(Pcbp2);</t>
  </si>
  <si>
    <t>circRNA_1284|Chr11:2672491_2678232_-(Chmp2b);circRNA_1762|Chr13:67141798_67143114_-(Pla2g4a);circRNA_2271|Chr15:34277381_34277914_+(Rnf31);circRNA_3796|Chr2:231078900_231128709_+(Camk2d);circRNA_5293|Chr5:129621176_129647021_+(Faf1);circRNA_6271|Chr8:6014617_6023899_-(Birc2);</t>
  </si>
  <si>
    <t>circRNA_1644|Chr12:39719713_39721351_+(Rad9b);circRNA_1857|Chr13:95120752_95128782_-(Akt3);circRNA_1858|Chr13:95167819_95196402_-(Akt3);circRNA_1859|Chr13:95167819_95208329_-(Akt3);circRNA_1860|Chr13:95193009_95196402_-(Akt3);circRNA_1861|Chr13:95193009_95208329_-(Akt3);circRNA_2334|Chr15:51896716_51944899_-(Ppp3cc);circRNA_2337|Chr15:51925689_51954838_-(Ppp3cc);circRNA_3204|Chr19:38057557_38091369_+(Nfatc3);circRNA_3818|Chr2:240854068_240861760_-(Nfkb1);circRNA_3872|Chr20:3232306_3273815_+(RT1-T24-3);circRNA_4518|Chr4:6866069_6869642_+(Rheb);circRNA_5774|Chr6:108248261_108249918_+(Lin52);circRNA_6215|Chr7:130113212_130116591_-(Mapk12);</t>
  </si>
  <si>
    <t>circRNA_1740|Chr13:52671461_52673721_+(Tnnt2);circRNA_5502|Chr6:4259110_4315062_-(Slc8a1);circRNA_5503|Chr6:4278307_4315062_-(Slc8a1);circRNA_5504|Chr6:4298605_4315062_-(Slc8a1);circRNA_7250|ChrX:159023994_159035906_+(Slc9a6);</t>
  </si>
  <si>
    <t>circRNA_1398|Chr11:68722906_68730129_-(Adcy5);circRNA_1399|Chr11:68745884_68750272_-(Adcy5);circRNA_1725|Chr13:50150091_50150276_-(Atp2b4);circRNA_1740|Chr13:52671461_52673721_+(Tnnt2)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3796|Chr2:231078900_231128709_+(Camk2d);circRNA_5502|Chr6:4259110_4315062_-(Slc8a1);circRNA_5503|Chr6:4278307_4315062_-(Slc8a1);circRNA_5504|Chr6:4298605_4315062_-(Slc8a1);circRNA_5808|Chr6:124651885_124677509_-(Rps6ka5);circRNA_6215|Chr7:130113212_130116591_-(Mapk12);</t>
  </si>
  <si>
    <t>circRNA_0790|Chr10:776697_783836_+(Myh11);circRNA_0793|Chr10:776697_822670_+(Myh11);circRNA_0799|Chr10:805713_819703_+(Myh11);circRNA_1398|Chr11:68722906_68730129_-(Adcy5);circRNA_1399|Chr11:68745884_68750272_-(Adcy5);circRNA_1405|Chr11:69064518_69068514_-(Mylk);circRNA_1762|Chr13:67141798_67143114_-(Pla2g4a);circRNA_2141|Chr14:87328008_87331877_+(Adcy1);circRNA_2142|Chr14:87328008_87357732_+(Adcy1);circRNA_2143|Chr14:87328008_87377952_+(Adcy1);circRNA_2144|Chr14:87331763_87357732_+(Adcy1);circRNA_2145|Chr14:87350088_87357732_+(Adcy1);circRNA_2837|Chr18:1337228_1354828_-(Rock1);circRNA_3633|Chr2:187048486_187051162_+(Arhgef11);circRNA_4700|Chr4:67399951_67412670_-(Braf);circRNA_4702|Chr4:67449579_67450836_-(Braf);circRNA_5998|Chr7:51410270_51416139_-(Ppp1r12a);circRNA_6002|Chr7:51433839_51444422_-(Ppp1r12a);circRNA_6344|Chr8:47335866_47339341_-(Arhgef12);circRNA_6642|Chr8:117106575_117109692_+(Rhoa);circRNA_6643|Chr8:117109572_117114039_+(Rhoa);</t>
  </si>
  <si>
    <t>circRNA_2334|Chr15:51896716_51944899_-(Ppp3cc);circRNA_2337|Chr15:51925689_51954838_-(Ppp3cc);circRNA_3031|Chr18:69634006_69647714_-(Smad4);circRNA_3032|Chr18:69634006_69657373_-(Smad4);circRNA_3034|Chr18:69642130_69657373_-(Smad4);circRNA_3204|Chr19:38057557_38091369_+(Nfatc3);circRNA_3796|Chr2:231078900_231128709_+(Camk2d);circRNA_4917|Chr4:168213382_168221653_-(Lrp6);circRNA_4921|Chr4:168260038_168267184_-(Lrp6);circRNA_5730|Chr6:94642473_94663269_+(Daam1);circRNA_6642|Chr8:117106575_117109692_+(Rhoa);circRNA_6643|Chr8:117109572_117114039_+(Rhoa);</t>
  </si>
  <si>
    <t>rno04330</t>
  </si>
  <si>
    <t>Notch signaling pathway</t>
  </si>
  <si>
    <t>circRNA_3701|Chr2:200243345_200253557_+(Notch2);circRNA_4377|Chr3:130093308_130099815_-(Jag1);</t>
  </si>
  <si>
    <t>rno04340</t>
  </si>
  <si>
    <t>Hedgehog signaling pathway</t>
  </si>
  <si>
    <t>circRNA_2720|Chr17:52477332_52555114_-(Gli3);circRNA_6332|Chr8:36673405_36682424_+(Cdon);circRNA_6959|Chr9:86083543_86087176_-(Cul3);</t>
  </si>
  <si>
    <t>circRNA_2837|Chr18:1337228_1354828_-(Rock1);circRNA_3031|Chr18:69634006_69647714_-(Smad4);circRNA_3032|Chr18:69634006_69657373_-(Smad4);circRNA_3034|Chr18:69642130_69657373_-(Smad4);circRNA_6642|Chr8:117106575_117109692_+(Rhoa);circRNA_6643|Chr8:117109572_117114039_+(Rhoa);</t>
  </si>
  <si>
    <t>circRNA_1875|Chr13:100300002_100353039_-(Enah);circRNA_2334|Chr15:51896716_51944899_-(Ppp3cc);circRNA_2337|Chr15:51925689_51954838_-(Ppp3cc);circRNA_2837|Chr18:1337228_1354828_-(Rock1);circRNA_3204|Chr19:38057557_38091369_+(Nfatc3);circRNA_3280|Chr19:60370736_60429996_+(Pard3);circRNA_3751|Chr2:212852209_212852849_-(Ntng1);circRNA_3753|Chr2:213064653_213065395_-(Ntng1);circRNA_3796|Chr2:231078900_231128709_+(Camk2d);circRNA_4560|Chr4:18311528_18331379_-(Sema3a);circRNA_6045|Chr7:64024698_64033477_-(Srgap1);circRNA_6155|Chr7:114555889_114562987_-(Ptk2);circRNA_6344|Chr8:47335866_47339341_-(Arhgef12);circRNA_6642|Chr8:117106575_117109692_+(Rhoa);circRNA_6643|Chr8:117109572_117114039_+(Rhoa);</t>
  </si>
  <si>
    <t>circRNA_1762|Chr13:67141798_67143114_-(Pla2g4a);circRNA_1857|Chr13:95120752_95128782_-(Akt3);circRNA_1858|Chr13:95167819_95196402_-(Akt3);circRNA_1859|Chr13:95167819_95208329_-(Akt3);circRNA_1860|Chr13:95193009_95196402_-(Akt3);circRNA_1861|Chr13:95193009_95208329_-(Akt3);circRNA_2334|Chr15:51896716_51944899_-(Ppp3cc);circRNA_2337|Chr15:51925689_51954838_-(Ppp3cc);circRNA_6155|Chr7:114555889_114562987_-(Ptk2);circRNA_6215|Chr7:130113212_130116591_-(Mapk12);</t>
  </si>
  <si>
    <t>circRNA_0380|Chr1:184008119_184017761_+(Pde3b);circRNA_1398|Chr11:68722906_68730129_-(Adcy5);circRNA_1399|Chr11:68745884_68750272_-(Adcy5);circRNA_1405|Chr11:69064518_69068514_-(Mylk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3031|Chr18:69634006_69647714_-(Smad4);circRNA_3032|Chr18:69634006_69657373_-(Smad4);circRNA_3034|Chr18:69642130_69657373_-(Smad4);circRNA_3635|Chr2:187525295_187532740_+(Mef2d);circRNA_4270|Chr3:104125824_104126822_-(Ryr3);circRNA_4272|Chr3:104155193_104159664_-(Ryr3);circRNA_4281|Chr3:104375097_104394775_-(Ryr3);circRNA_4282|Chr3:104385141_104430368_-(Ryr3);circRNA_4283|Chr3:104422849_104430368_-(Ryr3);circRNA_4377|Chr3:130093308_130099815_-(Jag1);circRNA_5502|Chr6:4259110_4315062_-(Slc8a1);circRNA_5503|Chr6:4278307_4315062_-(Slc8a1);circRNA_5504|Chr6:4298605_4315062_-(Slc8a1);</t>
  </si>
  <si>
    <t>circRNA_1857|Chr13:95120752_95128782_-(Akt3);circRNA_1858|Chr13:95167819_95196402_-(Akt3);circRNA_1859|Chr13:95167819_95208329_-(Akt3);circRNA_1860|Chr13:95193009_95196402_-(Akt3);circRNA_1861|Chr13:95193009_95208329_-(Akt3);circRNA_2334|Chr15:51896716_51944899_-(Ppp3cc);circRNA_2337|Chr15:51925689_51954838_-(Ppp3cc);circRNA_3818|Chr2:240854068_240861760_-(Nfkb1);circRNA_6215|Chr7:130113212_130116591_-(Mapk12);</t>
  </si>
  <si>
    <t>circRNA_0373|Chr1:177521072_177569872_+(Tead1);circRNA_0890|Chr10:20741182_20746474_-(Wwc1);circRNA_1039|Chr10:63908528_63915032_+(Ywhae);circRNA_2137|Chr14:85059667_85061960_-(Nf2);circRNA_3031|Chr18:69634006_69647714_-(Smad4);circRNA_3032|Chr18:69634006_69657373_-(Smad4);circRNA_3034|Chr18:69642130_69657373_-(Smad4);circRNA_3280|Chr19:60370736_60429996_+(Pard3);circRNA_6074|Chr7:73684650_73698020_-(Stk3);circRNA_6077|Chr7:73808151_73848871_-(Stk3);circRNA_6079|Chr7:73834044_73848871_-(Stk3);circRNA_6271|Chr8:6014617_6023899_-(Birc2);circRNA_6272|Chr8:6135492_6161740_-(Yap1);</t>
  </si>
  <si>
    <t>circRNA_0373|Chr1:177521072_177569872_+(Tead1);circRNA_0890|Chr10:20741182_20746474_-(Wwc1);circRNA_2137|Chr14:85059667_85061960_-(Nf2);circRNA_6074|Chr7:73684650_73698020_-(Stk3);circRNA_6077|Chr7:73808151_73848871_-(Stk3);circRNA_6079|Chr7:73834044_73848871_-(Stk3);circRNA_6272|Chr8:6135492_6161740_-(Yap1);</t>
  </si>
  <si>
    <t>circRNA_0370|Chr1:177389638_177397572_+(Parva);circRNA_1151|Chr10:82753666_82754365_+(Col1a1);circRNA_1405|Chr11:69064518_69068514_-(Mylk);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2837|Chr18:1337228_1354828_-(Rock1);circRNA_3428|Chr2:47182739_47203913_-(Itga1);circRNA_4212|Chr3:71143189_71149475_+(Itgav);circRNA_4700|Chr4:67399951_67412670_-(Braf);circRNA_4702|Chr4:67449579_67450836_-(Braf);circRNA_5677|Chr6:73357940_73385888_+(Arhgap5);circRNA_5724|Chr6:91938501_91961861_-(Sos2);circRNA_5754|Chr6:103389817_103393554_-(Actn1);circRNA_5998|Chr7:51410270_51416139_-(Ppp1r12a);circRNA_6002|Chr7:51433839_51444422_-(Ppp1r12a);circRNA_6155|Chr7:114555889_114562987_-(Ptk2);circRNA_6271|Chr8:6014617_6023899_-(Birc2);circRNA_6492|Chr8:73183720_73192779_-(Tln2);circRNA_6642|Chr8:117106575_117109692_+(Rhoa);circRNA_6643|Chr8:117109572_117114039_+(Rhoa);circRNA_6680|Chr8:127289436_127301219_+(Itga9);</t>
  </si>
  <si>
    <t>circRNA_1151|Chr10:82753666_82754365_+(Col1a1);circRNA_3428|Chr2:47182739_47203913_-(Itga1);circRNA_4212|Chr3:71143189_71149475_+(Itgav);circRNA_5408|Chr5:155850980_155851664_+(Hspg2);circRNA_6680|Chr8:127289436_127301219_+(Itga9);</t>
  </si>
  <si>
    <t>circRNA_3751|Chr2:212852209_212852849_-(Ntng1);circRNA_3753|Chr2:213064653_213065395_-(Ntng1);circRNA_3872|Chr20:3232306_3273815_+(RT1-T24-3);circRNA_4212|Chr3:71143189_71149475_+(Itgav);circRNA_6399|Chr8:63332376_63335340_-(Cd276);circRNA_6680|Chr8:127289436_127301219_+(Itga9);</t>
  </si>
  <si>
    <t>circRNA_0691|Chr1:259396273_259437470_-(Sorbs1);circRNA_0696|Chr1:259412482_259459540_-(Sorbs1);circRNA_0710|Chr1:259450673_259469248_-(Sorbs1);circRNA_2158|Chr14:100058305_100066787_+(Egfr);circRNA_3031|Chr18:69634006_69647714_-(Smad4);circRNA_3032|Chr18:69634006_69657373_-(Smad4);circRNA_3034|Chr18:69642130_69657373_-(Smad4);circRNA_3280|Chr19:60370736_60429996_+(Pard3);circRNA_5754|Chr6:103389817_103393554_-(Actn1);circRNA_6642|Chr8:117106575_117109692_+(Rhoa);circRNA_6643|Chr8:117109572_117114039_+(Rhoa);</t>
  </si>
  <si>
    <t>circRNA_0790|Chr10:776697_783836_+(Myh11);circRNA_0793|Chr10:776697_822670_+(Myh11);circRNA_0799|Chr10:805713_819703_+(Myh11);circRNA_1304|Chr11:29967593_29992834_-(Tiam1);circRNA_2137|Chr14:85059667_85061960_-(Nf2);circRNA_2837|Chr18:1337228_1354828_-(Rock1);circRNA_3280|Chr19:60370736_60429996_+(Pard3);circRNA_4014|Chr20:50444171_50448905_+(Bves);circRNA_4812|Chr4:125734597_125789911_-(Magi1);circRNA_5754|Chr6:103389817_103393554_-(Actn1);circRNA_6642|Chr8:117106575_117109692_+(Rhoa);circRNA_6643|Chr8:117109572_117114039_+(Rhoa);</t>
  </si>
  <si>
    <t>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5724|Chr6:91938501_91961861_-(Sos2);circRNA_6438|Chr8:68089178_68154119_-(Map2k5);</t>
  </si>
  <si>
    <t>circRNA_0451|Chr1:200671013_200672411_-(Fgfr2);circRNA_1857|Chr13:95120752_95128782_-(Akt3);circRNA_1858|Chr13:95167819_95196402_-(Akt3);circRNA_1859|Chr13:95167819_95208329_-(Akt3);circRNA_1860|Chr13:95193009_95196402_-(Akt3);circRNA_1861|Chr13:95193009_95208329_-(Akt3);circRNA_3031|Chr18:69634006_69647714_-(Smad4);circRNA_3032|Chr18:69634006_69657373_-(Smad4);circRNA_3034|Chr18:69642130_69657373_-(Smad4);circRNA_3450|Chr2:56451097_56456188_+(Lifr);circRNA_6215|Chr7:130113212_130116591_-(Mapk12);</t>
  </si>
  <si>
    <t>circRNA_2686|Chr17:28580286_28608641_+(F13a1);circRNA_3443|Chr2:54755242_54759947_-(C7);</t>
  </si>
  <si>
    <t>circRNA_1151|Chr10:82753666_82754365_+(Col1a1);circRNA_1398|Chr11:68722906_68730129_-(Adcy5);circRNA_1399|Chr11:68745884_68750272_-(Adcy5);circRNA_1405|Chr11:69064518_69068514_-(Mylk);circRNA_1762|Chr13:67141798_67143114_-(Pla2g4a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2837|Chr18:1337228_1354828_-(Rock1);circRNA_5998|Chr7:51410270_51416139_-(Ppp1r12a);circRNA_6002|Chr7:51433839_51444422_-(Ppp1r12a);circRNA_6215|Chr7:130113212_130116591_-(Mapk12);circRNA_6344|Chr8:47335866_47339341_-(Arhgef12);circRNA_6492|Chr8:73183720_73192779_-(Tln2);circRNA_6642|Chr8:117106575_117109692_+(Rhoa);circRNA_6643|Chr8:117109572_117114039_+(Rhoa);</t>
  </si>
  <si>
    <t>circRNA_3872|Chr20:3232306_3273815_+(RT1-T24-3);</t>
  </si>
  <si>
    <t>circRNA_1857|Chr13:95120752_95128782_-(Akt3);circRNA_1858|Chr13:95167819_95196402_-(Akt3);circRNA_1859|Chr13:95167819_95208329_-(Akt3);circRNA_1860|Chr13:95193009_95196402_-(Akt3);circRNA_1861|Chr13:95193009_95208329_-(Akt3);circRNA_3818|Chr2:240854068_240861760_-(Nfkb1);circRNA_6215|Chr7:130113212_130116591_-(Mapk12);</t>
  </si>
  <si>
    <t>circRNA_0993|Chr10:57627261_57634588_-(Dhx33);circRNA_0994|Chr10:57634023_57634588_-(Dhx33);circRNA_2271|Chr15:34277381_34277914_+(Rnf31);circRNA_3384|Chr2:33933956_33937260_-(Erbin);circRNA_3818|Chr2:240854068_240861760_-(Nfkb1);circRNA_6215|Chr7:130113212_130116591_-(Mapk12);circRNA_6271|Chr8:6014617_6023899_-(Birc2);circRNA_6642|Chr8:117106575_117109692_+(Rhoa);circRNA_6643|Chr8:117109572_117114039_+(Rhoa);</t>
  </si>
  <si>
    <t>circRNA_3818|Chr2:240854068_240861760_-(Nfkb1);circRNA_6215|Chr7:130113212_130116591_-(Mapk12);</t>
  </si>
  <si>
    <t>circRNA_1368|Chr11:51049296_51068978_-(Cblb);circRNA_1369|Chr11:51057506_51068978_-(Cblb);circRNA_1857|Chr13:95120752_95128782_-(Akt3);circRNA_1858|Chr13:95167819_95196402_-(Akt3);circRNA_1859|Chr13:95167819_95208329_-(Akt3);circRNA_1860|Chr13:95193009_95196402_-(Akt3);circRNA_1861|Chr13:95193009_95208329_-(Akt3);circRNA_2334|Chr15:51896716_51944899_-(Ppp3cc);circRNA_2337|Chr15:51925689_51954838_-(Ppp3cc);circRNA_3204|Chr19:38057557_38091369_+(Nfatc3);circRNA_3818|Chr2:240854068_240861760_-(Nfkb1);circRNA_6215|Chr7:130113212_130116591_-(Mapk12);circRNA_6344|Chr8:47335866_47339341_-(Arhgef12);circRNA_6642|Chr8:117106575_117109692_+(Rhoa);circRNA_6643|Chr8:117109572_117114039_+(Rhoa);</t>
  </si>
  <si>
    <t>circRNA_1168|Chr10:85313576_85314836_+(Socs7);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3062|Chr18:73479863_73498648_+(Pias2);circRNA_3450|Chr2:56451097_56456188_+(Lifr);circRNA_5724|Chr6:91938501_91961861_-(Sos2);circRNA_6433|Chr8:67801800_67812158_-(Pias1);</t>
  </si>
  <si>
    <t>circRNA_3428|Chr2:47182739_47203913_-(Itga1);</t>
  </si>
  <si>
    <t>circRNA_2334|Chr15:51896716_51944899_-(Ppp3cc);circRNA_2337|Chr15:51925689_51954838_-(Ppp3cc);circRNA_3872|Chr20:3232306_3273815_+(RT1-T24-3);circRNA_4700|Chr4:67399951_67412670_-(Braf);circRNA_4702|Chr4:67449579_67450836_-(Braf);circRNA_5724|Chr6:91938501_91961861_-(Sos2);</t>
  </si>
  <si>
    <t>circRNA_1119|Chr10:75337353_75340473_+(Srsf1);circRNA_3818|Chr2:240854068_240861760_-(Nfkb1);circRNA_6215|Chr7:130113212_130116591_-(Mapk12);</t>
  </si>
  <si>
    <t>circRNA_2334|Chr15:51896716_51944899_-(Ppp3cc);circRNA_2337|Chr15:51925689_51954838_-(Ppp3cc);circRNA_3204|Chr19:38057557_38091369_+(Nfatc3);circRNA_3701|Chr2:200243345_200253557_+(Notch2);circRNA_3818|Chr2:240854068_240861760_-(Nfkb1);circRNA_4377|Chr3:130093308_130099815_-(Jag1);circRNA_6215|Chr7:130113212_130116591_-(Mapk12);</t>
  </si>
  <si>
    <t>circRNA_2334|Chr15:51896716_51944899_-(Ppp3cc);circRNA_2337|Chr15:51925689_51954838_-(Ppp3cc);circRNA_3031|Chr18:69634006_69647714_-(Smad4);circRNA_3032|Chr18:69634006_69657373_-(Smad4);circRNA_3034|Chr18:69642130_69657373_-(Smad4);circRNA_3204|Chr19:38057557_38091369_+(Nfatc3);circRNA_3818|Chr2:240854068_240861760_-(Nfkb1);circRNA_6215|Chr7:130113212_130116591_-(Mapk12);</t>
  </si>
  <si>
    <t>circRNA_1368|Chr11:51049296_51068978_-(Cblb);circRNA_1369|Chr11:51057506_51068978_-(Cblb);circRNA_1857|Chr13:95120752_95128782_-(Akt3);circRNA_1858|Chr13:95167819_95196402_-(Akt3);circRNA_1859|Chr13:95167819_95208329_-(Akt3);circRNA_1860|Chr13:95193009_95196402_-(Akt3);circRNA_1861|Chr13:95193009_95208329_-(Akt3);circRNA_2334|Chr15:51896716_51944899_-(Ppp3cc);circRNA_2337|Chr15:51925689_51954838_-(Ppp3cc);circRNA_3204|Chr19:38057557_38091369_+(Nfatc3);circRNA_3818|Chr2:240854068_240861760_-(Nfkb1);circRNA_5724|Chr6:91938501_91961861_-(Sos2);circRNA_6215|Chr7:130113212_130116591_-(Mapk12);circRNA_6642|Chr8:117106575_117109692_+(Rhoa);circRNA_6643|Chr8:117109572_117114039_+(Rhoa);</t>
  </si>
  <si>
    <t>circRNA_1857|Chr13:95120752_95128782_-(Akt3);circRNA_1858|Chr13:95167819_95196402_-(Akt3);circRNA_1859|Chr13:95167819_95208329_-(Akt3);circRNA_1860|Chr13:95193009_95196402_-(Akt3);circRNA_1861|Chr13:95193009_95208329_-(Akt3);circRNA_2334|Chr15:51896716_51944899_-(Ppp3cc);circRNA_2337|Chr15:51925689_51954838_-(Ppp3cc);circRNA_3204|Chr19:38057557_38091369_+(Nfatc3);circRNA_3818|Chr2:240854068_240861760_-(Nfkb1);circRNA_5724|Chr6:91938501_91961861_-(Sos2);</t>
  </si>
  <si>
    <t>circRNA_1762|Chr13:67141798_67143114_-(Pla2g4a);circRNA_1857|Chr13:95120752_95128782_-(Akt3);circRNA_1858|Chr13:95167819_95196402_-(Akt3);circRNA_1859|Chr13:95167819_95208329_-(Akt3);circRNA_1860|Chr13:95193009_95196402_-(Akt3);circRNA_1861|Chr13:95193009_95208329_-(Akt3);circRNA_5724|Chr6:91938501_91961861_-(Sos2);circRNA_6215|Chr7:130113212_130116591_-(Mapk12);</t>
  </si>
  <si>
    <t>circRNA_1762|Chr13:67141798_67143114_-(Pla2g4a);circRNA_1857|Chr13:95120752_95128782_-(Akt3);circRNA_1858|Chr13:95167819_95196402_-(Akt3);circRNA_1859|Chr13:95167819_95208329_-(Akt3);circRNA_1860|Chr13:95193009_95196402_-(Akt3);circRNA_1861|Chr13:95193009_95208329_-(Akt3);circRNA_3512|Chr2:113739689_113745181_+(Pld1);circRNA_3515|Chr2:113747182_113764892_+(Pld1);circRNA_6293|Chr8:22509215_22513080_+(Dnm2);</t>
  </si>
  <si>
    <t>circRNA_1857|Chr13:95120752_95128782_-(Akt3);circRNA_1858|Chr13:95167819_95196402_-(Akt3);circRNA_1859|Chr13:95167819_95208329_-(Akt3);circRNA_1860|Chr13:95193009_95196402_-(Akt3);circRNA_1861|Chr13:95193009_95208329_-(Akt3);circRNA_3818|Chr2:240854068_240861760_-(Nfkb1);circRNA_4377|Chr3:130093308_130099815_-(Jag1);circRNA_4426|Chr3:150692740_150696569_+(Itch);circRNA_4428|Chr3:150717267_150725392_+(Itch);circRNA_4430|Chr3:150717267_150734719_+(Itch);circRNA_5808|Chr6:124651885_124677509_-(Rps6ka5);circRNA_6215|Chr7:130113212_130116591_-(Mapk12);circRNA_6271|Chr8:6014617_6023899_-(Birc2);</t>
  </si>
  <si>
    <t>circRNA_2837|Chr18:1337228_1354828_-(Rock1);circRNA_5677|Chr6:73357940_73385888_+(Arhgap5);circRNA_5754|Chr6:103389817_103393554_-(Actn1);circRNA_6155|Chr7:114555889_114562987_-(Ptk2);circRNA_6215|Chr7:130113212_130116591_-(Mapk12);circRNA_6642|Chr8:117106575_117109692_+(Rhoa);circRNA_6643|Chr8:117109572_117114039_+(Rhoa);</t>
  </si>
  <si>
    <t>circRNA_0839|Chr10:5930383_5930975_+(Grin2a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3796|Chr2:231078900_231128709_+(Camk2d);circRNA_4270|Chr3:104125824_104126822_-(Ryr3);circRNA_4272|Chr3:104155193_104159664_-(Ryr3);circRNA_4281|Chr3:104375097_104394775_-(Ryr3);circRNA_4282|Chr3:104385141_104430368_-(Ryr3);circRNA_4283|Chr3:104422849_104430368_-(Ryr3);circRNA_5808|Chr6:124651885_124677509_-(Rps6ka5);</t>
  </si>
  <si>
    <t>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4518|Chr4:6866069_6869642_+(Rheb);circRNA_5724|Chr6:91938501_91961861_-(Sos2);circRNA_6215|Chr7:130113212_130116591_-(Mapk12);</t>
  </si>
  <si>
    <t>circRNA_0839|Chr10:5930383_5930975_+(Grin2a);circRNA_2141|Chr14:87328008_87331877_+(Adcy1);circRNA_2142|Chr14:87328008_87357732_+(Adcy1);circRNA_2143|Chr14:87328008_87377952_+(Adcy1);circRNA_2144|Chr14:87331763_87357732_+(Adcy1);circRNA_2145|Chr14:87350088_87357732_+(Adcy1);circRNA_2334|Chr15:51896716_51944899_-(Ppp3cc);circRNA_2337|Chr15:51925689_51954838_-(Ppp3cc);circRNA_3796|Chr2:231078900_231128709_+(Camk2d);circRNA_4700|Chr4:67399951_67412670_-(Braf);circRNA_4702|Chr4:67449579_67450836_-(Braf);</t>
  </si>
  <si>
    <t>circRNA_0193|Chr1:100913425_100914082_-(Ap2a1);circRNA_0878|Chr10:16769713_16774652_-(Atp6v0e1);circRNA_3140|Chr19:25721379_25722171_+(Cacna1a);circRNA_6293|Chr8:22509215_22513080_+(Dnm2);</t>
  </si>
  <si>
    <t>circRNA_0259|Chr1:139943398_139956356_-(Ntrk3);circRNA_1039|Chr10:63908528_63915032_+(Ywhae);circRNA_1857|Chr13:95120752_95128782_-(Akt3);circRNA_1858|Chr13:95167819_95196402_-(Akt3);circRNA_1859|Chr13:95167819_95208329_-(Akt3);circRNA_1860|Chr13:95193009_95196402_-(Akt3);circRNA_1861|Chr13:95193009_95208329_-(Akt3);circRNA_3150|Chr19:30869716_30883569_+(Gab1);circRNA_3796|Chr2:231078900_231128709_+(Camk2d);circRNA_3818|Chr2:240854068_240861760_-(Nfkb1);circRNA_4700|Chr4:67399951_67412670_-(Braf);circRNA_4702|Chr4:67449579_67450836_-(Braf);circRNA_5724|Chr6:91938501_91961861_-(Sos2);circRNA_5808|Chr6:124651885_124677509_-(Rps6ka5);circRNA_6215|Chr7:130113212_130116591_-(Mapk12);circRNA_6438|Chr8:68089178_68154119_-(Map2k5);circRNA_6642|Chr8:117106575_117109692_+(Rhoa);circRNA_6643|Chr8:117109572_117114039_+(Rhoa);</t>
  </si>
  <si>
    <t>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3140|Chr19:25721379_25722171_+(Cacna1a);circRNA_6215|Chr7:130113212_130116591_-(Mapk12);</t>
  </si>
  <si>
    <t>circRNA_0839|Chr10:5930383_5930975_+(Grin2a);circRNA_1398|Chr11:68722906_68730129_-(Adcy5);circRNA_1399|Chr11:68745884_68750272_-(Adcy5);circRNA_1762|Chr13:67141798_67143114_-(Pla2g4a);circRNA_2141|Chr14:87328008_87331877_+(Adcy1);circRNA_2142|Chr14:87328008_87357732_+(Adcy1);circRNA_2143|Chr14:87328008_87377952_+(Adcy1);circRNA_2144|Chr14:87331763_87357732_+(Adcy1);circRNA_2145|Chr14:87350088_87357732_+(Adcy1);circRNA_2334|Chr15:51896716_51944899_-(Ppp3cc);circRNA_2337|Chr15:51925689_51954838_-(Ppp3cc);circRNA_3140|Chr19:25721379_25722171_+(Cacna1a);circRNA_3512|Chr2:113739689_113745181_+(Pld1);circRNA_3515|Chr2:113747182_113764892_+(Pld1);circRNA_6236|Chr7:138002505_138021168_-(Slc38a1);circRNA_6847|Chr9:54232163_54248877_+(Gls);</t>
  </si>
  <si>
    <t>circRNA_1398|Chr11:68722906_68730129_-(Adcy5);circRNA_1399|Chr11:68745884_68750272_-(Adcy5)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3140|Chr19:25721379_25722171_+(Cacna1a);circRNA_3796|Chr2:231078900_231128709_+(Camk2d);</t>
  </si>
  <si>
    <t>circRNA_1301|Chr11:24527899_24550752_-(App);circRNA_1302|Chr11:24547990_24550752_-(App);circRNA_1398|Chr11:68722906_68730129_-(Adcy5);circRNA_1399|Chr11:68745884_68750272_-(Adcy5);circRNA_1762|Chr13:67141798_67143114_-(Pla2g4a);circRNA_3140|Chr19:25721379_25722171_+(Cacna1a);circRNA_4700|Chr4:67399951_67412670_-(Braf);circRNA_4702|Chr4:67449579_67450836_-(Braf);</t>
  </si>
  <si>
    <t>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3140|Chr19:25721379_25722171_+(Cacna1a);circRNA_6236|Chr7:138002505_138021168_-(Slc38a1);circRNA_6847|Chr9:54232163_54248877_+(Gls);</t>
  </si>
  <si>
    <t>circRNA_0839|Chr10:5930383_5930975_+(Grin2a);circRNA_1398|Chr11:68722906_68730129_-(Adcy5);circRNA_1399|Chr11:68745884_68750272_-(Adcy5);circRNA_1857|Chr13:95120752_95128782_-(Akt3);circRNA_1858|Chr13:95167819_95196402_-(Akt3);circRNA_1859|Chr13:95167819_95208329_-(Akt3);circRNA_1860|Chr13:95193009_95196402_-(Akt3);circRNA_1861|Chr13:95193009_95208329_-(Akt3);circRNA_2334|Chr15:51896716_51944899_-(Ppp3cc);circRNA_2337|Chr15:51925689_51954838_-(Ppp3cc);circRNA_3140|Chr19:25721379_25722171_+(Cacna1a);circRNA_3796|Chr2:231078900_231128709_+(Camk2d);circRNA_6215|Chr7:130113212_130116591_-(Mapk12);</t>
  </si>
  <si>
    <t>circRNA_1762|Chr13:67141798_67143114_-(Pla2g4a);circRNA_3140|Chr19:25721379_25722171_+(Cacna1a);circRNA_3927|Chr20:14618775_14619985_-(Gnaz);circRNA_4700|Chr4:67399951_67412670_-(Braf);circRNA_4702|Chr4:67449579_67450836_-(Braf);</t>
  </si>
  <si>
    <t>circRNA_3796|Chr2:231078900_231128709_+(Camk2d);circRNA_5502|Chr6:4259110_4315062_-(Slc8a1);circRNA_5503|Chr6:4278307_4315062_-(Slc8a1);circRNA_5504|Chr6:4298605_4315062_-(Slc8a1);circRNA_6105|Chr7:76229137_76229533_-(Ncald);</t>
  </si>
  <si>
    <t>circRNA_3140|Chr19:25721379_25722171_+(Cacna1a);</t>
  </si>
  <si>
    <t>circRNA_1398|Chr11:68722906_68730129_-(Adcy5);circRNA_1399|Chr11:68745884_68750272_-(Adcy5);circRNA_1762|Chr13:67141798_67143114_-(Pla2g4a);circRNA_2141|Chr14:87328008_87331877_+(Adcy1);circRNA_2142|Chr14:87328008_87357732_+(Adcy1);circRNA_2143|Chr14:87328008_87377952_+(Adcy1);circRNA_2144|Chr14:87331763_87357732_+(Adcy1);circRNA_2145|Chr14:87350088_87357732_+(Adcy1);circRNA_3796|Chr2:231078900_231128709_+(Camk2d);circRNA_6215|Chr7:130113212_130116591_-(Mapk12);</t>
  </si>
  <si>
    <t>circRNA_0451|Chr1:200671013_200672411_-(Fgfr2);circRNA_1304|Chr11:29967593_29992834_-(Tiam1);circRNA_1405|Chr11:69064518_69068514_-(Mylk);circRNA_1875|Chr13:100300002_100353039_-(Enah);circRNA_2158|Chr14:100058305_100066787_+(Egfr);circRNA_2588|Chr16:83050847_83058847_-(Arhgef7);circRNA_2837|Chr18:1337228_1354828_-(Rock1);circRNA_3428|Chr2:47182739_47203913_-(Itga1);circRNA_4212|Chr3:71143189_71149475_+(Itgav);circRNA_4700|Chr4:67399951_67412670_-(Braf);circRNA_4702|Chr4:67449579_67450836_-(Braf);circRNA_5724|Chr6:91938501_91961861_-(Sos2);circRNA_5754|Chr6:103389817_103393554_-(Actn1);circRNA_5998|Chr7:51410270_51416139_-(Ppp1r12a);circRNA_6002|Chr7:51433839_51444422_-(Ppp1r12a);circRNA_6155|Chr7:114555889_114562987_-(Ptk2);circRNA_6344|Chr8:47335866_47339341_-(Arhgef12);circRNA_6642|Chr8:117106575_117109692_+(Rhoa);circRNA_6643|Chr8:117109572_117114039_+(Rhoa);circRNA_6680|Chr8:127289436_127301219_+(Itga9);circRNA_6895|Chr9:67242046_67282025_+(Abi2);circRNA_6920|Chr9:71920586_71960153_+(Pikfyve);circRNA_7167|ChrX:99728011_99758593_+(Diaph2);</t>
  </si>
  <si>
    <t>circRNA_0380|Chr1:184008119_184017761_+(Pde3b);circRNA_0691|Chr1:259396273_259437470_-(Sorbs1);circRNA_0696|Chr1:259412482_259459540_-(Sorbs1);circRNA_0710|Chr1:259450673_259469248_-(Sorbs1);circRNA_1368|Chr11:51049296_51068978_-(Cblb);circRNA_1369|Chr11:51057506_51068978_-(Cblb);circRNA_1857|Chr13:95120752_95128782_-(Akt3);circRNA_1858|Chr13:95167819_95196402_-(Akt3);circRNA_1859|Chr13:95167819_95208329_-(Akt3);circRNA_1860|Chr13:95193009_95196402_-(Akt3);circRNA_1861|Chr13:95193009_95208329_-(Akt3);circRNA_4518|Chr4:6866069_6869642_+(Rheb);circRNA_4700|Chr4:67399951_67412670_-(Braf);circRNA_4702|Chr4:67449579_67450836_-(Braf);circRNA_5724|Chr6:91938501_91961861_-(Sos2);</t>
  </si>
  <si>
    <t>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3796|Chr2:231078900_231128709_+(Camk2d);</t>
  </si>
  <si>
    <t>circRNA_1398|Chr11:68722906_68730129_-(Adcy5);circRNA_1399|Chr11:68745884_68750272_-(Adcy5);circRNA_1762|Chr13:67141798_67143114_-(Pla2g4a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3512|Chr2:113739689_113745181_+(Pld1);circRNA_3515|Chr2:113747182_113764892_+(Pld1);circRNA_3796|Chr2:231078900_231128709_+(Camk2d);circRNA_5724|Chr6:91938501_91961861_-(Sos2);circRNA_6215|Chr7:130113212_130116591_-(Mapk12);</t>
  </si>
  <si>
    <t>circRNA_1398|Chr11:68722906_68730129_-(Adcy5);circRNA_1399|Chr11:68745884_68750272_-(Adcy5);circRNA_1762|Chr13:67141798_67143114_-(Pla2g4a);circRNA_2141|Chr14:87328008_87331877_+(Adcy1);circRNA_2142|Chr14:87328008_87357732_+(Adcy1);circRNA_2143|Chr14:87328008_87377952_+(Adcy1);circRNA_2144|Chr14:87331763_87357732_+(Adcy1);circRNA_2145|Chr14:87350088_87357732_+(Adcy1);</t>
  </si>
  <si>
    <t>circRNA_0380|Chr1:184008119_184017761_+(Pde3b);circRNA_0661|Chr1:255685048_255694514_-(Cpeb3);circRNA_1398|Chr11:68722906_68730129_-(Adcy5);circRNA_1399|Chr11:68745884_68750272_-(Adcy5)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4700|Chr4:67399951_67412670_-(Braf);circRNA_4702|Chr4:67449579_67450836_-(Braf);circRNA_6215|Chr7:130113212_130116591_-(Mapk12);</t>
  </si>
  <si>
    <t>circRNA_1398|Chr11:68722906_68730129_-(Adcy5);circRNA_1399|Chr11:68745884_68750272_-(Adcy5)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5724|Chr6:91938501_91961861_-(Sos2);</t>
  </si>
  <si>
    <t>circRNA_1168|Chr10:85313576_85314836_+(Socs7);circRNA_1857|Chr13:95120752_95128782_-(Akt3);circRNA_1858|Chr13:95167819_95196402_-(Akt3);circRNA_1859|Chr13:95167819_95208329_-(Akt3);circRNA_1860|Chr13:95193009_95196402_-(Akt3);circRNA_1861|Chr13:95193009_95208329_-(Akt3);circRNA_3818|Chr2:240854068_240861760_-(Nfkb1);circRNA_5724|Chr6:91938501_91961861_-(Sos2);circRNA_6215|Chr7:130113212_130116591_-(Mapk12);</t>
  </si>
  <si>
    <t>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2559|Chr16:62222412_62226174_-(Gsr);</t>
  </si>
  <si>
    <t>circRNA_1857|Chr13:95120752_95128782_-(Akt3);circRNA_1858|Chr13:95167819_95196402_-(Akt3);circRNA_1859|Chr13:95167819_95208329_-(Akt3);circRNA_1860|Chr13:95193009_95196402_-(Akt3);circRNA_1861|Chr13:95193009_95208329_-(Akt3);circRNA_3701|Chr2:200243345_200253557_+(Notch2);circRNA_3998|Chr20:45189472_45193661_-(Slc16a10);circRNA_4212|Chr3:71143189_71149475_+(Itgav);circRNA_4518|Chr4:6866069_6869642_+(Rheb);</t>
  </si>
  <si>
    <t>circRNA_1857|Chr13:95120752_95128782_-(Akt3);circRNA_1858|Chr13:95167819_95196402_-(Akt3);circRNA_1859|Chr13:95167819_95208329_-(Akt3);circRNA_1860|Chr13:95193009_95196402_-(Akt3);circRNA_1861|Chr13:95193009_95208329_-(Akt3);circRNA_3818|Chr2:240854068_240861760_-(Nfkb1);</t>
  </si>
  <si>
    <t>circRNA_1398|Chr11:68722906_68730129_-(Adcy5);circRNA_1399|Chr11:68745884_68750272_-(Adcy5);circRNA_1405|Chr11:69064518_69068514_-(Mylk);circRNA_1762|Chr13:67141798_67143114_-(Pla2g4a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2334|Chr15:51896716_51944899_-(Ppp3cc);circRNA_2337|Chr15:51925689_51954838_-(Ppp3cc);circRNA_2837|Chr18:1337228_1354828_-(Rock1);circRNA_3204|Chr19:38057557_38091369_+(Nfatc3);circRNA_3796|Chr2:231078900_231128709_+(Camk2d);circRNA_4270|Chr3:104125824_104126822_-(Ryr3);circRNA_4272|Chr3:104155193_104159664_-(Ryr3);circRNA_4281|Chr3:104375097_104394775_-(Ryr3);circRNA_4282|Chr3:104385141_104430368_-(Ryr3);circRNA_4283|Chr3:104422849_104430368_-(Ryr3);circRNA_5998|Chr7:51410270_51416139_-(Ppp1r12a);circRNA_6002|Chr7:51433839_51444422_-(Ppp1r12a);circRNA_6438|Chr8:68089178_68154119_-(Map2k5);circRNA_6642|Chr8:117106575_117109692_+(Rhoa);circRNA_6643|Chr8:117109572_117114039_+(Rhoa);</t>
  </si>
  <si>
    <t>circRNA_0380|Chr1:184008119_184017761_+(Pde3b);circRNA_1857|Chr13:95120752_95128782_-(Akt3);circRNA_1858|Chr13:95167819_95196402_-(Akt3);circRNA_1859|Chr13:95167819_95208329_-(Akt3);circRNA_1860|Chr13:95193009_95196402_-(Akt3);circRNA_1861|Chr13:95193009_95208329_-(Akt3);circRNA_2334|Chr15:51896716_51944899_-(Ppp3cc);circRNA_2337|Chr15:51925689_51954838_-(Ppp3cc);circRNA_3796|Chr2:231078900_231128709_+(Camk2d);</t>
  </si>
  <si>
    <t>circRNA_0380|Chr1:184008119_184017761_+(Pde3b);circRNA_1398|Chr11:68722906_68730129_-(Adcy5);circRNA_1399|Chr11:68745884_68750272_-(Adcy5)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</t>
  </si>
  <si>
    <t>circRNA_0380|Chr1:184008119_184017761_+(Pde3b);circRNA_1398|Chr11:68722906_68730129_-(Adcy5);circRNA_1399|Chr11:68745884_68750272_-(Adcy5);circRNA_2334|Chr15:51896716_51944899_-(Ppp3cc);circRNA_2337|Chr15:51925689_51954838_-(Ppp3cc);</t>
  </si>
  <si>
    <t>circRNA_1398|Chr11:68722906_68730129_-(Adcy5);circRNA_1399|Chr11:68745884_68750272_-(Adcy5);circRNA_1725|Chr13:50150091_50150276_-(Atp2b4);circRNA_2141|Chr14:87328008_87331877_+(Adcy1);circRNA_2142|Chr14:87328008_87357732_+(Adcy1);circRNA_2143|Chr14:87328008_87377952_+(Adcy1);circRNA_2144|Chr14:87331763_87357732_+(Adcy1);circRNA_2145|Chr14:87350088_87357732_+(Adcy1);circRNA_3796|Chr2:231078900_231128709_+(Camk2d);circRNA_5664|Chr6:71078256_71089829_-(Prkd1);</t>
  </si>
  <si>
    <t>circRNA_1151|Chr10:82753666_82754365_+(Col1a1);circRNA_1398|Chr11:68722906_68730129_-(Adcy5);circRNA_1399|Chr11:68745884_68750272_-(Adcy5)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3818|Chr2:240854068_240861760_-(Nfkb1);circRNA_5724|Chr6:91938501_91961861_-(Sos2);circRNA_6215|Chr7:130113212_130116591_-(Mapk12);</t>
  </si>
  <si>
    <t>circRNA_1398|Chr11:68722906_68730129_-(Adcy5);circRNA_1399|Chr11:68745884_68750272_-(Adcy5);circRNA_1843|Chr13:86424477_86436725_-(Pbx1);circRNA_1845|Chr13:86432220_86451001_-(Pbx1);circRNA_1846|Chr13:86444740_86451001_-(Pbx1);circRNA_2141|Chr14:87328008_87331877_+(Adcy1);circRNA_2142|Chr14:87328008_87357732_+(Adcy1);circRNA_2143|Chr14:87328008_87377952_+(Adcy1);circRNA_2144|Chr14:87331763_87357732_+(Adcy1);circRNA_2145|Chr14:87350088_87357732_+(Adcy1);</t>
  </si>
  <si>
    <t>circRNA_1857|Chr13:95120752_95128782_-(Akt3);circRNA_1858|Chr13:95167819_95196402_-(Akt3);circRNA_1859|Chr13:95167819_95208329_-(Akt3);circRNA_1860|Chr13:95193009_95196402_-(Akt3);circRNA_1861|Chr13:95193009_95208329_-(Akt3);circRNA_3818|Chr2:240854068_240861760_-(Nfkb1);circRNA_4426|Chr3:150692740_150696569_+(Itch);circRNA_4428|Chr3:150717267_150725392_+(Itch);circRNA_4430|Chr3:150717267_150734719_+(Itch);</t>
  </si>
  <si>
    <t>circRNA_1151|Chr10:82753666_82754365_+(Col1a1);circRNA_1857|Chr13:95120752_95128782_-(Akt3);circRNA_1858|Chr13:95167819_95196402_-(Akt3);circRNA_1859|Chr13:95167819_95208329_-(Akt3);circRNA_1860|Chr13:95193009_95196402_-(Akt3);circRNA_1861|Chr13:95193009_95208329_-(Akt3);circRNA_3031|Chr18:69634006_69647714_-(Smad4);circRNA_3032|Chr18:69634006_69657373_-(Smad4);circRNA_3034|Chr18:69642130_69657373_-(Smad4);circRNA_3818|Chr2:240854068_240861760_-(Nfkb1);circRNA_6215|Chr7:130113212_130116591_-(Mapk12);</t>
  </si>
  <si>
    <t>circRNA_1398|Chr11:68722906_68730129_-(Adcy5);circRNA_1399|Chr11:68745884_68750272_-(Adcy5);circRNA_1843|Chr13:86424477_86436725_-(Pbx1);circRNA_1845|Chr13:86432220_86451001_-(Pbx1);circRNA_1846|Chr13:86444740_86451001_-(Pbx1)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3796|Chr2:231078900_231128709_+(Camk2d);circRNA_4700|Chr4:67399951_67412670_-(Braf);circRNA_4702|Chr4:67449579_67450836_-(Braf);circRNA_6349|Chr8:49140247_49141428_-(Kmt2a);</t>
  </si>
  <si>
    <t>circRNA_3872|Chr20:3232306_3273815_+(RT1-T24-3);circRNA_4603|Chr4:34740521_34761519_-(Ica1);</t>
  </si>
  <si>
    <t>circRNA_0193|Chr1:100913425_100914082_-(Ap2a1);circRNA_5502|Chr6:4259110_4315062_-(Slc8a1);circRNA_5503|Chr6:4278307_4315062_-(Slc8a1);circRNA_5504|Chr6:4298605_4315062_-(Slc8a1);circRNA_6293|Chr8:22509215_22513080_+(Dnm2);</t>
  </si>
  <si>
    <t>circRNA_4768|Chr4:114879427_114880228_+(Dctn1);</t>
  </si>
  <si>
    <t>circRNA_1989|Chr14:20749845_20769564_-(Slc4a4);circRNA_6847|Chr9:54232163_54248877_+(Gls);</t>
  </si>
  <si>
    <t>circRNA_1398|Chr11:68722906_68730129_-(Adcy5);circRNA_1399|Chr11:68745884_68750272_-(Adcy5);circRNA_1725|Chr13:50150091_50150276_-(Atp2b4);circRNA_2141|Chr14:87328008_87331877_+(Adcy1);circRNA_2142|Chr14:87328008_87357732_+(Adcy1);circRNA_2143|Chr14:87328008_87377952_+(Adcy1);circRNA_2144|Chr14:87331763_87357732_+(Adcy1);circRNA_2145|Chr14:87350088_87357732_+(Adcy1);circRNA_4270|Chr3:104125824_104126822_-(Ryr3);circRNA_4272|Chr3:104155193_104159664_-(Ryr3);circRNA_4281|Chr3:104375097_104394775_-(Ryr3);circRNA_4282|Chr3:104385141_104430368_-(Ryr3);circRNA_4283|Chr3:104422849_104430368_-(Ryr3);</t>
  </si>
  <si>
    <t>circRNA_1398|Chr11:68722906_68730129_-(Adcy5);circRNA_1399|Chr11:68745884_68750272_-(Adcy5);circRNA_1405|Chr11:69064518_69068514_-(Mylk);circRNA_2141|Chr14:87328008_87331877_+(Adcy1);circRNA_2142|Chr14:87328008_87357732_+(Adcy1);circRNA_2143|Chr14:87328008_87377952_+(Adcy1);circRNA_2144|Chr14:87331763_87357732_+(Adcy1);circRNA_2145|Chr14:87350088_87357732_+(Adcy1);circRNA_3796|Chr2:231078900_231128709_+(Camk2d);</t>
  </si>
  <si>
    <t>circRNA_1398|Chr11:68722906_68730129_-(Adcy5);circRNA_1399|Chr11:68745884_68750272_-(Adcy5);circRNA_1725|Chr13:50150091_50150276_-(Atp2b4);circRNA_1989|Chr14:20749845_20769564_-(Slc4a4);circRNA_2141|Chr14:87328008_87331877_+(Adcy1);circRNA_2142|Chr14:87328008_87357732_+(Adcy1);circRNA_2143|Chr14:87328008_87377952_+(Adcy1);circRNA_2144|Chr14:87331763_87357732_+(Adcy1);circRNA_2145|Chr14:87350088_87357732_+(Adcy1);circRNA_6642|Chr8:117106575_117109692_+(Rhoa);circRNA_6643|Chr8:117109572_117114039_+(Rhoa);</t>
  </si>
  <si>
    <t>circRNA_1857|Chr13:95120752_95128782_-(Akt3);circRNA_1858|Chr13:95167819_95196402_-(Akt3);circRNA_1859|Chr13:95167819_95208329_-(Akt3);circRNA_1860|Chr13:95193009_95196402_-(Akt3);circRNA_1861|Chr13:95193009_95208329_-(Akt3);</t>
  </si>
  <si>
    <t>circRNA_1151|Chr10:82753666_82754365_+(Col1a1);circRNA_3998|Chr20:45189472_45193661_-(Slc16a10);circRNA_5502|Chr6:4259110_4315062_-(Slc8a1);circRNA_5503|Chr6:4278307_4315062_-(Slc8a1);circRNA_5504|Chr6:4298605_4315062_-(Slc8a1);</t>
  </si>
  <si>
    <t>circRNA_5101|Chr5:69929580_69966907_-(Abca1);circRNA_5102|Chr5:69951194_69956147_-(Abca1);circRNA_5103|Chr5:69951194_69966907_-(Abca1);</t>
  </si>
  <si>
    <t>circRNA_1398|Chr11:68722906_68730129_-(Adcy5);circRNA_1399|Chr11:68745884_68750272_-(Adcy5);circRNA_1989|Chr14:20749845_20769564_-(Slc4a4);circRNA_2141|Chr14:87328008_87331877_+(Adcy1);circRNA_2142|Chr14:87328008_87357732_+(Adcy1);circRNA_2143|Chr14:87328008_87377952_+(Adcy1);circRNA_2144|Chr14:87331763_87357732_+(Adcy1);circRNA_2145|Chr14:87350088_87357732_+(Adcy1);</t>
  </si>
  <si>
    <t>circRNA_5502|Chr6:4259110_4315062_-(Slc8a1);circRNA_5503|Chr6:4278307_4315062_-(Slc8a1);circRNA_5504|Chr6:4298605_4315062_-(Slc8a1);</t>
  </si>
  <si>
    <t>circRNA_0666|Chr1:255931357_255935277_-(Ide);circRNA_0668|Chr1:255942367_255958835_-(Ide);circRNA_0671|Chr1:255970949_255976428_-(Ide);circRNA_0839|Chr10:5930383_5930975_+(Grin2a);circRNA_1301|Chr11:24527899_24550752_-(App);circRNA_1302|Chr11:24547990_24550752_-(App);circRNA_2334|Chr15:51896716_51944899_-(Ppp3cc);circRNA_2337|Chr15:51925689_51954838_-(Ppp3cc);circRNA_4270|Chr3:104125824_104126822_-(Ryr3);circRNA_4272|Chr3:104155193_104159664_-(Ryr3);circRNA_4281|Chr3:104375097_104394775_-(Ryr3);circRNA_4282|Chr3:104385141_104430368_-(Ryr3);circRNA_4283|Chr3:104422849_104430368_-(Ryr3);</t>
  </si>
  <si>
    <t>circRNA_0999|Chr10:59192184_59239990_+(Ube2g1);circRNA_1398|Chr11:68722906_68730129_-(Adcy5);circRNA_1399|Chr11:68745884_68750272_-(Adcy5);circRNA_6222|Chr7:132867046_132873732_+(Lrrk2);</t>
  </si>
  <si>
    <t>circRNA_0839|Chr10:5930383_5930975_+(Grin2a);circRNA_2334|Chr15:51896716_51944899_-(Ppp3cc);circRNA_2337|Chr15:51925689_51954838_-(Ppp3cc);circRNA_6215|Chr7:130113212_130116591_-(Mapk12);</t>
  </si>
  <si>
    <t>circRNA_0193|Chr1:100913425_100914082_-(Ap2a1);circRNA_2866|Chr18:6218154_6233603_+(Taf4b);circRNA_4768|Chr4:114879427_114880228_+(Dctn1);circRNA_5881|Chr6:135533315_135544421_+(Rcor1);</t>
  </si>
  <si>
    <t>circRNA_3443|Chr2:54755242_54759947_-(C7);</t>
  </si>
  <si>
    <t>circRNA_0839|Chr10:5930383_5930975_+(Grin2a);circRNA_1398|Chr11:68722906_68730129_-(Adcy5);circRNA_1399|Chr11:68745884_68750272_-(Adcy5);circRNA_3818|Chr2:240854068_240861760_-(Nfkb1);</t>
  </si>
  <si>
    <t>circRNA_0839|Chr10:5930383_5930975_+(Grin2a);circRNA_1398|Chr11:68722906_68730129_-(Adcy5);circRNA_1399|Chr11:68745884_68750272_-(Adcy5);circRNA_2334|Chr15:51896716_51944899_-(Ppp3cc);circRNA_2337|Chr15:51925689_51954838_-(Ppp3cc);circRNA_3796|Chr2:231078900_231128709_+(Camk2d);</t>
  </si>
  <si>
    <t>circRNA_0380|Chr1:184008119_184017761_+(Pde3b);circRNA_1398|Chr11:68722906_68730129_-(Adcy5);circRNA_1399|Chr11:68745884_68750272_-(Adcy5);circRNA_2096|Chr14:81267948_81280976_-(Grk4);circRNA_2097|Chr14:81278563_81280976_-(Grk4);circRNA_2141|Chr14:87328008_87331877_+(Adcy1);circRNA_2142|Chr14:87328008_87357732_+(Adcy1);circRNA_2143|Chr14:87328008_87377952_+(Adcy1);circRNA_2144|Chr14:87331763_87357732_+(Adcy1);circRNA_2145|Chr14:87350088_87357732_+(Adcy1);circRNA_3140|Chr19:25721379_25722171_+(Cacna1a);</t>
  </si>
  <si>
    <t>circRNA_0839|Chr10:5930383_5930975_+(Grin2a);circRNA_1398|Chr11:68722906_68730129_-(Adcy5);circRNA_1399|Chr11:68745884_68750272_-(Adcy5);circRNA_4700|Chr4:67399951_67412670_-(Braf);circRNA_4702|Chr4:67449579_67450836_-(Braf);circRNA_5724|Chr6:91938501_91961861_-(Sos2);</t>
  </si>
  <si>
    <t>circRNA_3150|Chr19:30869716_30883569_+(Gab1);circRNA_3179|Chr19:34249087_34272145_+(Arhgap10);circRNA_3180|Chr19:34249087_34272192_+(Arhgap10);circRNA_3182|Chr19:34266719_34272192_+(Arhgap10);circRNA_3183|Chr19:34270069_34298610_+(Arhgap10);circRNA_6155|Chr7:114555889_114562987_-(Ptk2);circRNA_6293|Chr8:22509215_22513080_+(Dnm2);circRNA_6642|Chr8:117106575_117109692_+(Rhoa);circRNA_6643|Chr8:117109572_117114039_+(Rhoa);circRNA_6757|Chr9:20817077_20839897_+(Cd2ap);circRNA_6758|Chr9:20817077_20849380_+(Cd2ap);circRNA_6760|Chr9:20826561_20849380_+(Cd2ap);</t>
  </si>
  <si>
    <t>circRNA_2837|Chr18:1337228_1354828_-(Rock1);circRNA_3818|Chr2:240854068_240861760_-(Nfkb1);circRNA_3836|Chr2:248770225_248811031_-(Pkn2);circRNA_5896|Chr6:136348651_136358127_+(Klc1);circRNA_6215|Chr7:130113212_130116591_-(Mapk12);</t>
  </si>
  <si>
    <t>circRNA_3818|Chr2:240854068_240861760_-(Nfkb1);circRNA_6215|Chr7:130113212_130116591_-(Mapk12);circRNA_6642|Chr8:117106575_117109692_+(Rhoa);circRNA_6643|Chr8:117109572_117114039_+(Rhoa);</t>
  </si>
  <si>
    <t>circRNA_0040|Chr1:16859047_16875754_+(Hbs1l);circRNA_0041|Chr1:16859047_16879498_+(Hbs1l);circRNA_3818|Chr2:240854068_240861760_-(Nfkb1);</t>
  </si>
  <si>
    <t>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3818|Chr2:240854068_240861760_-(Nfkb1);circRNA_6215|Chr7:130113212_130116591_-(Mapk12);</t>
  </si>
  <si>
    <t>circRNA_1857|Chr13:95120752_95128782_-(Akt3);circRNA_1858|Chr13:95167819_95196402_-(Akt3);circRNA_1859|Chr13:95167819_95208329_-(Akt3);circRNA_1860|Chr13:95193009_95196402_-(Akt3);circRNA_1861|Chr13:95193009_95208329_-(Akt3);circRNA_3818|Chr2:240854068_240861760_-(Nfkb1);circRNA_6215|Chr7:130113212_130116591_-(Mapk12);circRNA_6271|Chr8:6014617_6023899_-(Birc2);</t>
  </si>
  <si>
    <t>circRNA_1151|Chr10:82753666_82754365_+(Col1a1);circRNA_2141|Chr14:87328008_87331877_+(Adcy1);circRNA_2142|Chr14:87328008_87357732_+(Adcy1);circRNA_2143|Chr14:87328008_87377952_+(Adcy1);circRNA_2144|Chr14:87331763_87357732_+(Adcy1);circRNA_2145|Chr14:87350088_87357732_+(Adcy1);circRNA_3818|Chr2:240854068_240861760_-(Nfkb1);circRNA_5754|Chr6:103389817_103393554_-(Actn1);circRNA_6155|Chr7:114555889_114562987_-(Ptk2);</t>
  </si>
  <si>
    <t>circRNA_1857|Chr13:95120752_95128782_-(Akt3);circRNA_1858|Chr13:95167819_95196402_-(Akt3);circRNA_1859|Chr13:95167819_95208329_-(Akt3);circRNA_1860|Chr13:95193009_95196402_-(Akt3);circRNA_1861|Chr13:95193009_95208329_-(Akt3);circRNA_2334|Chr15:51896716_51944899_-(Ppp3cc);circRNA_2337|Chr15:51925689_51954838_-(Ppp3cc);circRNA_3796|Chr2:231078900_231128709_+(Camk2d);circRNA_3818|Chr2:240854068_240861760_-(Nfkb1);circRNA_4147|Chr3:46525736_46528994_-(Pla2r1);circRNA_6215|Chr7:130113212_130116591_-(Mapk12);circRNA_6344|Chr8:47335866_47339341_-(Arhgef12);circRNA_6642|Chr8:117106575_117109692_+(Rhoa);circRNA_6643|Chr8:117109572_117114039_+(Rhoa);</t>
  </si>
  <si>
    <t>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3818|Chr2:240854068_240861760_-(Nfkb1);circRNA_4700|Chr4:67399951_67412670_-(Braf);circRNA_4702|Chr4:67449579_67450836_-(Braf);circRNA_5724|Chr6:91938501_91961861_-(Sos2);circRNA_6215|Chr7:130113212_130116591_-(Mapk12);circRNA_6433|Chr8:67801800_67812158_-(Pias1);</t>
  </si>
  <si>
    <t>circRNA_1857|Chr13:95120752_95128782_-(Akt3);circRNA_1858|Chr13:95167819_95196402_-(Akt3);circRNA_1859|Chr13:95167819_95208329_-(Akt3);circRNA_1860|Chr13:95193009_95196402_-(Akt3);circRNA_1861|Chr13:95193009_95208329_-(Akt3);circRNA_3031|Chr18:69634006_69647714_-(Smad4);circRNA_3032|Chr18:69634006_69657373_-(Smad4);circRNA_3034|Chr18:69642130_69657373_-(Smad4);circRNA_3204|Chr19:38057557_38091369_+(Nfatc3);circRNA_3818|Chr2:240854068_240861760_-(Nfkb1);circRNA_5408|Chr5:155850980_155851664_+(Hspg2);</t>
  </si>
  <si>
    <t>circRNA_1368|Chr11:51049296_51068978_-(Cblb);circRNA_1369|Chr11:51057506_51068978_-(Cblb);circRNA_1857|Chr13:95120752_95128782_-(Akt3);circRNA_1858|Chr13:95167819_95196402_-(Akt3);circRNA_1859|Chr13:95167819_95208329_-(Akt3);circRNA_1860|Chr13:95193009_95196402_-(Akt3);circRNA_1861|Chr13:95193009_95208329_-(Akt3);circRNA_3818|Chr2:240854068_240861760_-(Nfkb1);</t>
  </si>
  <si>
    <t>circRNA_0216|Chr1:116643750_116660509_+(Ube3a);circRNA_1151|Chr10:82753666_82754365_+(Col1a1);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3280|Chr19:60370736_60429996_+(Pard3);circRNA_3428|Chr2:47182739_47203913_-(Itga1);circRNA_3701|Chr2:200243345_200253557_+(Notch2);circRNA_3818|Chr2:240854068_240861760_-(Nfkb1);circRNA_3872|Chr20:3232306_3273815_+(RT1-T24-3);circRNA_4212|Chr3:71143189_71149475_+(Itgav);circRNA_4377|Chr3:130093308_130099815_-(Jag1);circRNA_4518|Chr4:6866069_6869642_+(Rheb);circRNA_4812|Chr4:125734597_125789911_-(Magi1);circRNA_5724|Chr6:91938501_91961861_-(Sos2);circRNA_6155|Chr7:114555889_114562987_-(Ptk2);circRNA_6680|Chr8:127289436_127301219_+(Itga9);</t>
  </si>
  <si>
    <t>circRNA_1398|Chr11:68722906_68730129_-(Adcy5);circRNA_1399|Chr11:68745884_68750272_-(Adcy5)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2334|Chr15:51896716_51944899_-(Ppp3cc);circRNA_2337|Chr15:51925689_51954838_-(Ppp3cc);circRNA_3031|Chr18:69634006_69647714_-(Smad4);circRNA_3032|Chr18:69634006_69657373_-(Smad4);circRNA_3034|Chr18:69642130_69657373_-(Smad4);circRNA_3204|Chr19:38057557_38091369_+(Nfatc3);circRNA_3818|Chr2:240854068_240861760_-(Nfkb1);circRNA_3872|Chr20:3232306_3273815_+(RT1-T24-3);circRNA_6492|Chr8:73183720_73192779_-(Tln2);</t>
  </si>
  <si>
    <t>circRNA_1857|Chr13:95120752_95128782_-(Akt3);circRNA_1858|Chr13:95167819_95196402_-(Akt3);circRNA_1859|Chr13:95167819_95208329_-(Akt3);circRNA_1860|Chr13:95193009_95196402_-(Akt3);circRNA_1861|Chr13:95193009_95208329_-(Akt3);circRNA_2334|Chr15:51896716_51944899_-(Ppp3cc);circRNA_2337|Chr15:51925689_51954838_-(Ppp3cc);circRNA_3204|Chr19:38057557_38091369_+(Nfatc3);circRNA_3818|Chr2:240854068_240861760_-(Nfkb1);circRNA_3872|Chr20:3232306_3273815_+(RT1-T24-3);circRNA_6215|Chr7:130113212_130116591_-(Mapk12);</t>
  </si>
  <si>
    <t>circRNA_1119|Chr10:75337353_75340473_+(Srsf1);circRNA_1593|Chr12:25431710_25435591_+(Gtf2i);circRNA_1594|Chr12:25442325_25447480_+(Gtf2i);circRNA_2866|Chr18:6218154_6233603_+(Taf4b);circRNA_3818|Chr2:240854068_240861760_-(Nfkb1);circRNA_3872|Chr20:3232306_3273815_+(RT1-T24-3);</t>
  </si>
  <si>
    <t>circRNA_1039|Chr10:63908528_63915032_+(Ywhae);circRNA_1857|Chr13:95120752_95128782_-(Akt3);circRNA_1858|Chr13:95167819_95196402_-(Akt3);circRNA_1859|Chr13:95167819_95208329_-(Akt3);circRNA_1860|Chr13:95193009_95196402_-(Akt3);circRNA_1861|Chr13:95193009_95208329_-(Akt3);circRNA_3818|Chr2:240854068_240861760_-(Nfkb1);circRNA_3872|Chr20:3232306_3273815_+(RT1-T24-3);circRNA_6215|Chr7:130113212_130116591_-(Mapk12);</t>
  </si>
  <si>
    <t>circRNA_0451|Chr1:200671013_200672411_-(Fgfr2);circRNA_1398|Chr11:68722906_68730129_-(Adcy5);circRNA_1399|Chr11:68745884_68750272_-(Adcy5);circRNA_1857|Chr13:95120752_95128782_-(Akt3);circRNA_1858|Chr13:95167819_95196402_-(Akt3);circRNA_1859|Chr13:95167819_95208329_-(Akt3);circRNA_1860|Chr13:95193009_95196402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2441|Chr16:2578902_2581762_-(Appl1);circRNA_2720|Chr17:52477332_52555114_-(Gli3);circRNA_2837|Chr18:1337228_1354828_-(Rock1);circRNA_3031|Chr18:69634006_69647714_-(Smad4);circRNA_3032|Chr18:69634006_69657373_-(Smad4);circRNA_3034|Chr18:69642130_69657373_-(Smad4);circRNA_3313|Chr2:21915465_21921128_-(Msh3);circRNA_3633|Chr2:187048486_187051162_+(Arhgef11);circRNA_3701|Chr2:200243345_200253557_+(Notch2);circRNA_3796|Chr2:231078900_231128709_+(Camk2d);circRNA_3818|Chr2:240854068_240861760_-(Nfkb1);circRNA_4212|Chr3:71143189_71149475_+(Itgav);circRNA_4377|Chr3:130093308_130099815_-(Jag1);circRNA_4700|Chr4:67399951_67412670_-(Braf);circRNA_4702|Chr4:67449579_67450836_-(Braf);circRNA_4917|Chr4:168213382_168221653_-(Lrp6);circRNA_4921|Chr4:168260038_168267184_-(Lrp6);circRNA_5508|Chr6:6627343_6668794_+(Eml4);circRNA_5724|Chr6:91938501_91961861_-(Sos2);circRNA_5808|Chr6:124651885_124677509_-(Rps6ka5);circRNA_6155|Chr7:114555889_114562987_-(Ptk2);circRNA_6271|Chr8:6014617_6023899_-(Birc2);circRNA_6344|Chr8:47335866_47339341_-(Arhgef12);circRNA_6642|Chr8:117106575_117109692_+(Rhoa);circRNA_6643|Chr8:117109572_117114039_+(Rhoa);</t>
  </si>
  <si>
    <t>circRNA_1843|Chr13:86424477_86436725_-(Pbx1);circRNA_1845|Chr13:86432220_86451001_-(Pbx1);circRNA_1846|Chr13:86444740_86451001_-(Pbx1);circRNA_3818|Chr2:240854068_240861760_-(Nfkb1);circRNA_4977|Chr5:4408215_4469629_+(Eya1);circRNA_4979|Chr5:4424816_4449569_+(Eya1);circRNA_4980|Chr5:4424816_4469629_+(Eya1);circRNA_5747|Chr6:100396828_100397255_+(Fut8);circRNA_6155|Chr7:114555889_114562987_-(Ptk2);circRNA_6331|Chr8:33572918_33597389_-(Fli1);circRNA_6349|Chr8:49140247_49141428_-(Kmt2a);circRNA_7067|ChrX:4856245_4898806_-(NEWGENE_1565481);circRNA_7069|ChrX:4876505_4898806_-(NEWGENE_1565481);circRNA_7070|ChrX:4885740_4898806_-(NEWGENE_1565481);circRNA_7074|ChrX:13262784_13279026_-(Tspan7);</t>
  </si>
  <si>
    <t>circRNA_0216|Chr1:116643750_116660509_+(Ube3a);circRNA_1039|Chr10:63908528_63915032_+(Ywhae);circRNA_3818|Chr2:240854068_240861760_-(Nfkb1);circRNA_3872|Chr20:3232306_3273815_+(RT1-T24-3);circRNA_5754|Chr6:103389817_103393554_-(Actn1);circRNA_6642|Chr8:117106575_117109692_+(Rhoa);circRNA_6643|Chr8:117109572_117114039_+(Rhoa);</t>
  </si>
  <si>
    <t>circRNA_0725|Chr1:262151915_262176067_-(Hpse2);circRNA_0726|Chr1:262786087_262811422_-(Hpse2);circRNA_1304|Chr11:29967593_29992834_-(Tiam1);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2837|Chr18:1337228_1354828_-(Rock1);circRNA_3150|Chr19:30869716_30883569_+(Gab1);circRNA_3796|Chr2:231078900_231128709_+(Camk2d);circRNA_3797|Chr2:231383147_231409493_-(Ank2);circRNA_4212|Chr3:71143189_71149475_+(Itgav);circRNA_4700|Chr4:67399951_67412670_-(Braf);circRNA_4702|Chr4:67449579_67450836_-(Braf);circRNA_5408|Chr5:155850980_155851664_+(Hspg2);circRNA_5724|Chr6:91938501_91961861_-(Sos2);circRNA_5998|Chr7:51410270_51416139_-(Ppp1r12a);circRNA_6002|Chr7:51433839_51444422_-(Ppp1r12a);circRNA_6155|Chr7:114555889_114562987_-(Ptk2);circRNA_6215|Chr7:130113212_130116591_-(Mapk12);circRNA_6344|Chr8:47335866_47339341_-(Arhgef12);circRNA_6642|Chr8:117106575_117109692_+(Rhoa);circRNA_6643|Chr8:117109572_117114039_+(Rhoa);</t>
  </si>
  <si>
    <t>circRNA_2158|Chr14:100058305_100066787_+(Egfr);circRNA_2837|Chr18:1337228_1354828_-(Rock1);circRNA_3701|Chr2:200243345_200253557_+(Notch2);circRNA_3818|Chr2:240854068_240861760_-(Nfkb1);circRNA_5043|Chr5:31700609_31739695_+(Mmp16);circRNA_5595|Chr6:28272106_28272697_+(Dnmt3a);circRNA_5724|Chr6:91938501_91961861_-(Sos2);circRNA_5808|Chr6:124651885_124677509_-(Rps6ka5);circRNA_6642|Chr8:117106575_117109692_+(Rhoa);circRNA_6643|Chr8:117109572_117114039_+(Rhoa);circRNA_6847|Chr9:54232163_54248877_+(Gls);</t>
  </si>
  <si>
    <t>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2441|Chr16:2578902_2581762_-(Appl1);circRNA_3031|Chr18:69634006_69647714_-(Smad4);circRNA_3032|Chr18:69634006_69657373_-(Smad4);circRNA_3034|Chr18:69642130_69657373_-(Smad4);circRNA_3313|Chr2:21915465_21921128_-(Msh3);circRNA_4700|Chr4:67399951_67412670_-(Braf);circRNA_4702|Chr4:67449579_67450836_-(Braf);circRNA_5724|Chr6:91938501_91961861_-(Sos2);circRNA_6642|Chr8:117106575_117109692_+(Rhoa);circRNA_6643|Chr8:117109572_117114039_+(Rhoa);</t>
  </si>
  <si>
    <t>circRNA_1857|Chr13:95120752_95128782_-(Akt3);circRNA_1858|Chr13:95167819_95196402_-(Akt3);circRNA_1859|Chr13:95167819_95208329_-(Akt3);circRNA_1860|Chr13:95193009_95196402_-(Akt3);circRNA_1861|Chr13:95193009_95208329_-(Akt3);circRNA_3150|Chr19:30869716_30883569_+(Gab1);circRNA_4700|Chr4:67399951_67412670_-(Braf);circRNA_4702|Chr4:67449579_67450836_-(Braf);circRNA_5724|Chr6:91938501_91961861_-(Sos2);</t>
  </si>
  <si>
    <t>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3031|Chr18:69634006_69647714_-(Smad4);circRNA_3032|Chr18:69634006_69657373_-(Smad4);circRNA_3034|Chr18:69642130_69657373_-(Smad4);circRNA_3512|Chr2:113739689_113745181_+(Pld1);circRNA_3515|Chr2:113747182_113764892_+(Pld1);circRNA_3818|Chr2:240854068_240861760_-(Nfkb1);circRNA_4700|Chr4:67399951_67412670_-(Braf);circRNA_4702|Chr4:67449579_67450836_-(Braf);</t>
  </si>
  <si>
    <t>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4700|Chr4:67399951_67412670_-(Braf);circRNA_4702|Chr4:67449579_67450836_-(Braf);circRNA_5724|Chr6:91938501_91961861_-(Sos2);</t>
  </si>
  <si>
    <t>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3796|Chr2:231078900_231128709_+(Camk2d);circRNA_4700|Chr4:67399951_67412670_-(Braf);circRNA_4702|Chr4:67449579_67450836_-(Braf);circRNA_5724|Chr6:91938501_91961861_-(Sos2);</t>
  </si>
  <si>
    <t>circRNA_0451|Chr1:200671013_200672411_-(Fgfr2);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3818|Chr2:240854068_240861760_-(Nfkb1);circRNA_4700|Chr4:67399951_67412670_-(Braf);circRNA_4702|Chr4:67449579_67450836_-(Braf);circRNA_5724|Chr6:91938501_91961861_-(Sos2);</t>
  </si>
  <si>
    <t>circRNA_4700|Chr4:67399951_67412670_-(Braf);circRNA_4702|Chr4:67449579_67450836_-(Braf);</t>
  </si>
  <si>
    <t>circRNA_2720|Chr17:52477332_52555114_-(Gli3);</t>
  </si>
  <si>
    <t>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4700|Chr4:67399951_67412670_-(Braf);circRNA_4702|Chr4:67449579_67450836_-(Braf);</t>
  </si>
  <si>
    <t>circRNA_2158|Chr14:100058305_100066787_+(Egfr);circRNA_4700|Chr4:67399951_67412670_-(Braf);circRNA_4702|Chr4:67449579_67450836_-(Braf);circRNA_5808|Chr6:124651885_124677509_-(Rps6ka5);</t>
  </si>
  <si>
    <t>circRNA_1857|Chr13:95120752_95128782_-(Akt3);circRNA_1858|Chr13:95167819_95196402_-(Akt3);circRNA_1859|Chr13:95167819_95208329_-(Akt3);circRNA_1860|Chr13:95193009_95196402_-(Akt3);circRNA_1861|Chr13:95193009_95208329_-(Akt3);circRNA_3031|Chr18:69634006_69647714_-(Smad4);circRNA_3032|Chr18:69634006_69657373_-(Smad4);circRNA_3034|Chr18:69642130_69657373_-(Smad4);circRNA_3818|Chr2:240854068_240861760_-(Nfkb1);circRNA_4700|Chr4:67399951_67412670_-(Braf);circRNA_4702|Chr4:67449579_67450836_-(Braf);circRNA_5724|Chr6:91938501_91961861_-(Sos2);</t>
  </si>
  <si>
    <t>circRNA_1857|Chr13:95120752_95128782_-(Akt3);circRNA_1858|Chr13:95167819_95196402_-(Akt3);circRNA_1859|Chr13:95167819_95208329_-(Akt3);circRNA_1860|Chr13:95193009_95196402_-(Akt3);circRNA_1861|Chr13:95193009_95208329_-(Akt3);circRNA_3818|Chr2:240854068_240861760_-(Nfkb1);circRNA_4700|Chr4:67399951_67412670_-(Braf);circRNA_4702|Chr4:67449579_67450836_-(Braf);circRNA_5724|Chr6:91938501_91961861_-(Sos2);</t>
  </si>
  <si>
    <t>circRNA_1857|Chr13:95120752_95128782_-(Akt3);circRNA_1858|Chr13:95167819_95196402_-(Akt3);circRNA_1859|Chr13:95167819_95208329_-(Akt3);circRNA_1860|Chr13:95193009_95196402_-(Akt3);circRNA_1861|Chr13:95193009_95208329_-(Akt3);circRNA_3818|Chr2:240854068_240861760_-(Nfkb1);circRNA_4212|Chr3:71143189_71149475_+(Itgav);circRNA_6155|Chr7:114555889_114562987_-(Ptk2);circRNA_6271|Chr8:6014617_6023899_-(Birc2);</t>
  </si>
  <si>
    <t>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4700|Chr4:67399951_67412670_-(Braf);circRNA_4702|Chr4:67449579_67450836_-(Braf);circRNA_5508|Chr6:6627343_6668794_+(Eml4);circRNA_5724|Chr6:91938501_91961861_-(Sos2);</t>
  </si>
  <si>
    <t>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3701|Chr2:200243345_200253557_+(Notch2);circRNA_4377|Chr3:130093308_130099815_-(Jag1);circRNA_4700|Chr4:67399951_67412670_-(Braf);circRNA_4702|Chr4:67449579_67450836_-(Braf);circRNA_4917|Chr4:168213382_168221653_-(Lrp6);circRNA_4921|Chr4:168260038_168267184_-(Lrp6);circRNA_5724|Chr6:91938501_91961861_-(Sos2);</t>
  </si>
  <si>
    <t>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3031|Chr18:69634006_69647714_-(Smad4);circRNA_3032|Chr18:69634006_69657373_-(Smad4);circRNA_3034|Chr18:69642130_69657373_-(Smad4);circRNA_3150|Chr19:30869716_30883569_+(Gab1);circRNA_4700|Chr4:67399951_67412670_-(Braf);circRNA_4702|Chr4:67449579_67450836_-(Braf);circRNA_4917|Chr4:168213382_168221653_-(Lrp6);circRNA_4921|Chr4:168260038_168267184_-(Lrp6);circRNA_5724|Chr6:91938501_91961861_-(Sos2);</t>
  </si>
  <si>
    <t>circRNA_0451|Chr1:200671013_200672411_-(Fgfr2);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3031|Chr18:69634006_69647714_-(Smad4);circRNA_3032|Chr18:69634006_69657373_-(Smad4);circRNA_3034|Chr18:69642130_69657373_-(Smad4);circRNA_3150|Chr19:30869716_30883569_+(Gab1);circRNA_4700|Chr4:67399951_67412670_-(Braf);circRNA_4702|Chr4:67449579_67450836_-(Braf);circRNA_4917|Chr4:168213382_168221653_-(Lrp6);circRNA_4921|Chr4:168260038_168267184_-(Lrp6);circRNA_5724|Chr6:91938501_91961861_-(Sos2);</t>
  </si>
  <si>
    <t>circRNA_0259|Chr1:139943398_139956356_-(Ntrk3);circRNA_0451|Chr1:200671013_200672411_-(Fgfr2);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6847|Chr9:54232163_54248877_+(Gls);</t>
  </si>
  <si>
    <t>circRNA_1762|Chr13:67141798_67143114_-(Pla2g4a);circRNA_1857|Chr13:95120752_95128782_-(Akt3);circRNA_1858|Chr13:95167819_95196402_-(Akt3);circRNA_1859|Chr13:95167819_95208329_-(Akt3);circRNA_1860|Chr13:95193009_95196402_-(Akt3);circRNA_1861|Chr13:95193009_95208329_-(Akt3);circRNA_2158|Chr14:100058305_100066787_+(Egfr);circRNA_2364|Chr15:60816746_60821766_-(Dgkh);circRNA_3512|Chr2:113739689_113745181_+(Pld1);circRNA_3515|Chr2:113747182_113764892_+(Pld1);circRNA_4518|Chr4:6866069_6869642_+(Rheb);circRNA_4663|Chr4:64431354_64474930_-(Dgki);circRNA_4664|Chr4:64451679_64474930_-(Dgki);circRNA_5724|Chr6:91938501_91961861_-(Sos2);</t>
  </si>
  <si>
    <t>circRNA_0839|Chr10:5930383_5930975_+(Grin2a);circRNA_3443|Chr2:54755242_54759947_-(C7);circRNA_5754|Chr6:103389817_103393554_-(Actn1);</t>
  </si>
  <si>
    <t>circRNA_1740|Chr13:52671461_52673721_+(Tnnt2);circRNA_3428|Chr2:47182739_47203913_-(Itga1);circRNA_4212|Chr3:71143189_71149475_+(Itgav);circRNA_5502|Chr6:4259110_4315062_-(Slc8a1);circRNA_5503|Chr6:4278307_4315062_-(Slc8a1);circRNA_5504|Chr6:4298605_4315062_-(Slc8a1);circRNA_6680|Chr8:127289436_127301219_+(Itga9);</t>
  </si>
  <si>
    <t>circRNA_3428|Chr2:47182739_47203913_-(Itga1);circRNA_4212|Chr3:71143189_71149475_+(Itgav);circRNA_5502|Chr6:4259110_4315062_-(Slc8a1);circRNA_5503|Chr6:4278307_4315062_-(Slc8a1);circRNA_5504|Chr6:4298605_4315062_-(Slc8a1);circRNA_6680|Chr8:127289436_127301219_+(Itga9);</t>
  </si>
  <si>
    <t>circRNA_1398|Chr11:68722906_68730129_-(Adcy5);circRNA_1399|Chr11:68745884_68750272_-(Adcy5);circRNA_1740|Chr13:52671461_52673721_+(Tnnt2);circRNA_2141|Chr14:87328008_87331877_+(Adcy1);circRNA_2142|Chr14:87328008_87357732_+(Adcy1);circRNA_2143|Chr14:87328008_87377952_+(Adcy1);circRNA_2144|Chr14:87331763_87357732_+(Adcy1);circRNA_2145|Chr14:87350088_87357732_+(Adcy1);circRNA_3428|Chr2:47182739_47203913_-(Itga1);circRNA_4212|Chr3:71143189_71149475_+(Itgav);circRNA_5502|Chr6:4259110_4315062_-(Slc8a1);circRNA_5503|Chr6:4278307_4315062_-(Slc8a1);circRNA_5504|Chr6:4298605_4315062_-(Slc8a1);circRNA_6680|Chr8:127289436_127301219_+(Itga9);</t>
  </si>
  <si>
    <t>circRNA_1857|Chr13:95120752_95128782_-(Akt3);circRNA_1858|Chr13:95167819_95196402_-(Akt3);circRNA_1859|Chr13:95167819_95208329_-(Akt3);circRNA_1860|Chr13:95193009_95196402_-(Akt3);circRNA_1861|Chr13:95193009_95208329_-(Akt3);circRNA_3818|Chr2:240854068_240861760_-(Nfkb1);circRNA_4212|Chr3:71143189_71149475_+(Itgav);circRNA_6155|Chr7:114555889_114562987_-(Ptk2);circRNA_6215|Chr7:130113212_130116591_-(Mapk12);circRNA_6438|Chr8:68089178_68154119_-(Map2k5);circRNA_6642|Chr8:117106575_117109692_+(Rhoa);circRNA_6643|Chr8:117109572_117114039_+(Rhoa);</t>
  </si>
  <si>
    <t>circRNA_4933|Chr4:171770056_171775265_+(Dera);</t>
  </si>
  <si>
    <t>circRNA_0878|Chr10:16769713_16774652_-(Atp6v0e1);circRNA_3812|Chr2:238543065_238577394_+(Ppa2);</t>
  </si>
  <si>
    <t>circRNA_0277|Chr1:143107055_143109260_+(Pde8a);circRNA_0279|Chr1:143143055_143143524_+(Pde8a);circRNA_0380|Chr1:184008119_184017761_+(Pde3b);circRNA_0384|Chr1:184041764_184055555_+(Pde3b);circRNA_0603|Chr1:238998947_239014340_-(Gda);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2221|Chr15:3233141_3239097_-(Adk);circRNA_3782|Chr2:226925637_226942478_+(Pde5a);circRNA_4774|Chr4:115191293_115197150_-(Dguok);circRNA_6793|Chr9:38582634_38584696_+(Prim2);</t>
  </si>
  <si>
    <t>circRNA_6793|Chr9:38582634_38584696_+(Prim2);</t>
  </si>
  <si>
    <t>circRNA_2418|Chr15:109127707_109141568_+(Pcca);circRNA_4726|Chr4:82682367_82685493_-(Hibadh);circRNA_4727|Chr4:82682367_82692626_-(Hibadh);circRNA_5578|Chr6:27575763_27582987_-(Hadhb);circRNA_6373|Chr8:58182482_58182849_-(Acat1);circRNA_6567|Chr8:91509748_91527174_+(Bckdhb);circRNA_6838|Chr9:53459782_53462727_-(Hibch);</t>
  </si>
  <si>
    <t>circRNA_2975|Chr18:48443339_48443646_+(Prdm6);circRNA_2977|Chr18:48443339_48508708_+(Prdm6);circRNA_2978|Chr18:48443339_48521166_+(Prdm6);circRNA_2979|Chr18:48443339_48531023_+(Prdm6);circRNA_3659|Chr2:188298849_188330330_+(Ash1l);circRNA_3663|Chr2:188308301_188309036_+(Ash1l);circRNA_3665|Chr2:188337238_188387007_+(Ash1l);circRNA_4513|Chr4:6164583_6169550_+(Kmt2c);circRNA_4626|Chr4:50180977_50200342_-(Aass);circRNA_6349|Chr8:49140247_49141428_-(Kmt2a);circRNA_6373|Chr8:58182482_58182849_-(Acat1);</t>
  </si>
  <si>
    <t>circRNA_6838|Chr9:53459782_53462727_-(Hibch);</t>
  </si>
  <si>
    <t>circRNA_6732|Chr9:11194239_11209094_-(Uxs1);circRNA_6734|Chr9:11194239_11219449_-(Uxs1);circRNA_6736|Chr9:11202671_11219449_-(Uxs1);</t>
  </si>
  <si>
    <t>circRNA_0725|Chr1:262151915_262176067_-(Hpse2);circRNA_0726|Chr1:262786087_262811422_-(Hpse2);circRNA_6673|Chr8:122473237_122490342_+(Glb1);</t>
  </si>
  <si>
    <t>circRNA_2364|Chr15:60816746_60821766_-(Dgkh);circRNA_4663|Chr4:64431354_64474930_-(Dgki);circRNA_4664|Chr4:64451679_64474930_-(Dgki);circRNA_5626|Chr6:44055353_44097830_+(Mboat2);circRNA_5627|Chr6:44055353_44107579_+(Mboat2);</t>
  </si>
  <si>
    <t>circRNA_0389|Chr1:185252579_185264972_+(Pik3c2a);circRNA_0645|Chr1:251455609_251463748_+(Pten);circRNA_1468|Chr11:87898055_87899561_+(Pi4ka);circRNA_2072|Chr14:60573253_60586776_-(Pi4k2b);circRNA_2832|Chr18:307052_312848_-(Mtmr1);circRNA_3147|Chr19:29642344_29645344_-(Inpp4b);circRNA_3929|Chr20:18467660_18471939_-(Ipmk);circRNA_6804|Chr9:43968846_43977575_+(Inpp4a);circRNA_6920|Chr9:71920586_71960153_+(Pikfyve);</t>
  </si>
  <si>
    <t>circRNA_2364|Chr15:60816746_60821766_-(Dgkh);circRNA_3512|Chr2:113739689_113745181_+(Pld1);circRNA_3515|Chr2:113747182_113764892_+(Pld1);circRNA_4663|Chr4:64431354_64474930_-(Dgki);circRNA_4664|Chr4:64451679_64474930_-(Dgki);circRNA_5626|Chr6:44055353_44097830_+(Mboat2);circRNA_5627|Chr6:44055353_44107579_+(Mboat2);</t>
  </si>
  <si>
    <t>circRNA_1011|Chr10:61464686_61498597_-(Pafah1b1);circRNA_3512|Chr2:113739689_113745181_+(Pld1);circRNA_3515|Chr2:113747182_113764892_+(Pld1);circRNA_5394|Chr5:152619586_152621233_+(Pafah2);</t>
  </si>
  <si>
    <t>circRNA_0311|Chr1:163203870_163216364_-(Acer3);circRNA_1464|Chr11:87529218_87529984_+(Smpd4);circRNA_1498|Chr12:4448685_4450137_-(Cers4);circRNA_2540|Chr16:54011840_54019134_+(Asah1);circRNA_5203|Chr5:105243242_105253190_+(Acer2);circRNA_6673|Chr8:122473237_122490342_+(Glb1);</t>
  </si>
  <si>
    <t>circRNA_6673|Chr8:122473237_122490342_+(Glb1);</t>
  </si>
  <si>
    <t>circRNA_2418|Chr15:109127707_109141568_+(Pcca);circRNA_6373|Chr8:58182482_58182849_-(Acat1);</t>
  </si>
  <si>
    <t>circRNA_2355|Chr15:55485728_55488198_+(Sucla2);circRNA_2418|Chr15:109127707_109141568_+(Pcca);circRNA_6373|Chr8:58182482_58182849_-(Acat1);circRNA_6567|Chr8:91509748_91527174_+(Bckdhb);circRNA_6838|Chr9:53459782_53462727_-(Hibch);</t>
  </si>
  <si>
    <t>circRNA_4363|Chr3:123819852_123833222_+(Pank2);circRNA_4364|Chr3:123825681_123833222_+(Pank2);circRNA_4365|Chr3:123829471_123833222_+(Pank2);</t>
  </si>
  <si>
    <t>circRNA_3111|Chr19:15151107_15207439_+(Ces1d);</t>
  </si>
  <si>
    <t>circRNA_0451|Chr1:200671013_200672411_-(Fgfr2);circRNA_0645|Chr1:251455609_251463748_+(Pten);circRNA_1059|Chr10:66891013_66900528_+(Nf1);circRNA_1061|Chr10:66901944_66917125_+(Nf1);circRNA_1236|Chr10:96264760_96266403_-(Prkca);circRNA_1857|Chr13:95120752_95128782_-(Akt3);circRNA_1858|Chr13:95167819_95196402_-(Akt3);circRNA_1859|Chr13:95167819_95208329_-(Akt3);circRNA_1861|Chr13:95193009_95208329_-(Akt3);circRNA_2158|Chr14:100058305_100066787_+(Egfr);circRNA_3149|Chr19:30869716_30870010_+(Gab1);circRNA_3150|Chr19:30869716_30883569_+(Gab1);circRNA_3379|Chr2:31816052_31816763_-(Pik3r1);circRNA_5722|Chr6:91933750_91961861_-(Sos2);circRNA_5724|Chr6:91938501_91961861_-(Sos2);</t>
  </si>
  <si>
    <t>circRNA_1397|Chr11:68722906_68725314_-(Adcy5);circRNA_1398|Chr11:68722906_68730129_-(Adcy5);circRNA_1399|Chr11:68745884_68750272_-(Adcy5)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2352|Chr15:55151603_55154467_-(Rb1);circRNA_3379|Chr2:31816052_31816763_-(Pik3r1);circRNA_3701|Chr2:200243345_200253557_+(Notch2);circRNA_5722|Chr6:91933750_91961861_-(Sos2);circRNA_5724|Chr6:91938501_91961861_-(Sos2);circRNA_6150|Chr7:114466514_114468769_-(Ptk2);circRNA_6155|Chr7:114555889_114562987_-(Ptk2);circRNA_6215|Chr7:130113212_130116591_-(Mapk12);</t>
  </si>
  <si>
    <t>circRNA_3817|Chr2:240822115_240867796_-(Nfkb1);</t>
  </si>
  <si>
    <t>circRNA_1857|Chr13:95120752_95128782_-(Akt3);circRNA_1858|Chr13:95167819_95196402_-(Akt3);circRNA_1859|Chr13:95167819_95208329_-(Akt3);circRNA_1861|Chr13:95193009_95208329_-(Akt3);circRNA_2232|Chr15:10296336_10303515_-(Top2b);circRNA_3379|Chr2:31816052_31816763_-(Pik3r1);circRNA_3997|Chr20:44890495_44931228_+(Rev3l);circRNA_6271|Chr8:6014617_6023899_-(Birc2);circRNA_6748|Chr9:17166589_17167490_+(Polh);</t>
  </si>
  <si>
    <t>circRNA_4940|Chr4:176868013_176879489_-(Abcc9);</t>
  </si>
  <si>
    <t>circRNA_0656|Chr1:254700270_254708288_+(Rpp30);circRNA_2681|Chr17:27440591_27442626_-(Riok1);circRNA_3538|Chr2:124187476_124205983_+(Spata5);circRNA_3600|Chr2:166406958_166423542_+(Nmd3);</t>
  </si>
  <si>
    <t>circRNA_0305|Chr1:162684057_162691242_+(Clns1a);circRNA_0306|Chr1:162684057_162696070_+(Clns1a);circRNA_0656|Chr1:254700270_254708288_+(Rpp30);circRNA_3272|Chr19:56720223_56721427_-(Nup133);circRNA_3600|Chr2:166406958_166423542_+(Nmd3);circRNA_3969|Chr20:28067776_28072115_+(Ranbp2);circRNA_4063|Chr3:8906803_8907042_+(Nup188);circRNA_7211|ChrX:128202172_128205259_-(Thoc2);circRNA_7212|ChrX:128202172_128211753_-(Thoc2);</t>
  </si>
  <si>
    <t>circRNA_0041|Chr1:16859047_16879498_+(Hbs1l);circRNA_0299|Chr1:157470071_157490006_-(Pcf11);circRNA_1017|Chr10:61882916_61885796_+(Smg6);circRNA_2925|Chr18:27704440_27708817_-(Etf1);circRNA_6028|Chr7:60390972_60408823_-(Cpsf6);circRNA_6031|Chr7:60407008_60408823_-(Cpsf6);</t>
  </si>
  <si>
    <t>circRNA_1515|Chr12:9233368_9240810_-(Pan3);circRNA_4661|Chr4:62617602_62619866_-(Cnot4);circRNA_6023|Chr7:59556898_59587384_-(Cnot2);circRNA_6025|Chr7:59566764_59587384_-(Cnot2);circRNA_6448|Chr8:69793755_69795155_-(Dis3l);</t>
  </si>
  <si>
    <t>circRNA_1593|Chr12:25431710_25435591_+(Gtf2i);circRNA_1594|Chr12:25442325_25447480_+(Gtf2i);circRNA_1596|Chr12:25442325_25454041_+(Gtf2i);circRNA_2866|Chr18:6218154_6233603_+(Taf4b);circRNA_2869|Chr18:6249297_6279570_+(Taf4b);circRNA_5734|Chr6:96070497_96108038_+(Mnat1);</t>
  </si>
  <si>
    <t>circRNA_0893|Chr10:29038498_29040713_+(Slu7);circRNA_1119|Chr10:75337353_75340473_+(Srsf1);circRNA_2638|Chr17:9503324_9503470_-(Ddx46);circRNA_4493|Chr3:177131326_177132323_+(Prpf6);circRNA_5943|Chr7:18533478_18535599_-(Hnrnpm);circRNA_7211|ChrX:128202172_128205259_-(Thoc2);circRNA_7212|ChrX:128202172_128211753_-(Thoc2);</t>
  </si>
  <si>
    <t>circRNA_0696|Chr1:259412482_259459540_-(Sorbs1);circRNA_0697|Chr1:259421033_259437470_-(Sorbs1);circRNA_0703|Chr1:259434763_259479455_-(Sorbs1);circRNA_0715|Chr1:259479327_259488326_-(Sorbs1);circRNA_4845|Chr4:147295666_147361944_+(Pparg);</t>
  </si>
  <si>
    <t>circRNA_5734|Chr6:96070497_96108038_+(Mnat1);</t>
  </si>
  <si>
    <t>circRNA_2851|Chr18:3175483_3176344_+(Rbbp8);</t>
  </si>
  <si>
    <t>circRNA_2191|Chr14:110683107_110709166_+(Fancl);circRNA_3997|Chr20:44890495_44931228_+(Rev3l);circRNA_6748|Chr9:17166589_17167490_+(Polh);</t>
  </si>
  <si>
    <t>circRNA_0451|Chr1:200671013_200672411_-(Fgfr2);circRNA_1059|Chr10:66891013_66900528_+(Nf1);circRNA_1061|Chr10:66901944_66917125_+(Nf1);circRNA_1212|Chr10:94292693_94314584_+(Map3k3);circRNA_1236|Chr10:96264760_96266403_-(Prkca);circRNA_1857|Chr13:95120752_95128782_-(Akt3);circRNA_1858|Chr13:95167819_95196402_-(Akt3);circRNA_1859|Chr13:95167819_95208329_-(Akt3);circRNA_1861|Chr13:95193009_95208329_-(Akt3);circRNA_2158|Chr14:100058305_100066787_+(Egfr);circRNA_2337|Chr15:51925689_51954838_-(Ppp3cc);circRNA_3140|Chr19:25721379_25722171_+(Cacna1a);circRNA_3204|Chr19:38057557_38091369_+(Nfatc3);circRNA_3817|Chr2:240822115_240867796_-(Nfkb1);circRNA_4864|Chr4:151118221_151124504_-(Cacna1c);circRNA_5406|Chr5:155702728_155709264_-(Cdc42);circRNA_5519|Chr6:8257474_8261060_+(Ppm1b);circRNA_5722|Chr6:91933750_91961861_-(Sos2);circRNA_5724|Chr6:91938501_91961861_-(Sos2);circRNA_5802|Chr6:124596541_124629605_-(Rps6ka5);circRNA_5807|Chr6:124651885_124652103_-(Rps6ka5);circRNA_5808|Chr6:124651885_124677509_-(Rps6ka5);circRNA_6075|Chr7:73684650_73748233_-(Stk3);circRNA_6077|Chr7:73808151_73848871_-(Stk3);circRNA_6079|Chr7:73834044_73848871_-(Stk3);circRNA_6215|Chr7:130113212_130116591_-(Mapk12);circRNA_6438|Chr8:68089178_68154119_-(Map2k5);circRNA_7233|ChrX:156468826_156469166_+(Flna);</t>
  </si>
  <si>
    <t>circRNA_1236|Chr10:96264760_96266403_-(Prkca);circRNA_1368|Chr11:51049296_51068978_-(Cblb);circRNA_1369|Chr11:51057506_51068978_-(Cblb);circRNA_1857|Chr13:95120752_95128782_-(Akt3);circRNA_1858|Chr13:95167819_95196402_-(Akt3);circRNA_1859|Chr13:95167819_95208329_-(Akt3);circRNA_1861|Chr13:95193009_95208329_-(Akt3);circRNA_2158|Chr14:100058305_100066787_+(Egfr);circRNA_3149|Chr19:30869716_30870010_+(Gab1);circRNA_3150|Chr19:30869716_30883569_+(Gab1);circRNA_3379|Chr2:31816052_31816763_-(Pik3r1);circRNA_5722|Chr6:91933750_91961861_-(Sos2);circRNA_5724|Chr6:91938501_91961861_-(Sos2);circRNA_6150|Chr7:114466514_114468769_-(Ptk2);circRNA_6155|Chr7:114555889_114562987_-(Ptk2);</t>
  </si>
  <si>
    <t>circRNA_0451|Chr1:200671013_200672411_-(Fgfr2);circRNA_0839|Chr10:5930383_5930975_+(Grin2a);circRNA_1059|Chr10:66891013_66900528_+(Nf1);circRNA_1061|Chr10:66901944_66917125_+(Nf1);circRNA_1236|Chr10:96264760_96266403_-(Prkca);circRNA_1659|Chr12:44761634_44762147_-(Ksr2);circRNA_1780|Chr13:69936554_69944404_-(Rgl1);circRNA_1857|Chr13:95120752_95128782_-(Akt3);circRNA_1858|Chr13:95167819_95196402_-(Akt3);circRNA_1859|Chr13:95167819_95208329_-(Akt3);circRNA_1861|Chr13:95193009_95208329_-(Akt3);circRNA_2158|Chr14:100058305_100066787_+(Egfr);circRNA_3149|Chr19:30869716_30870010_+(Gab1);circRNA_3150|Chr19:30869716_30883569_+(Gab1);circRNA_3379|Chr2:31816052_31816763_-(Pik3r1);circRNA_3512|Chr2:113739689_113745181_+(Pld1);circRNA_3515|Chr2:113747182_113764892_+(Pld1);circRNA_3817|Chr2:240822115_240867796_-(Nfkb1);circRNA_5406|Chr5:155702728_155709264_-(Cdc42);circRNA_5722|Chr6:91933750_91961861_-(Sos2);circRNA_5724|Chr6:91938501_91961861_-(Sos2);circRNA_6642|Chr8:117106575_117109692_+(Rhoa);circRNA_6643|Chr8:117109572_117114039_+(Rhoa);</t>
  </si>
  <si>
    <t>circRNA_0451|Chr1:200671013_200672411_-(Fgfr2);circRNA_0839|Chr10:5930383_5930975_+(Grin2a);circRNA_1236|Chr10:96264760_96266403_-(Prkca);circRNA_1397|Chr11:68722906_68725314_-(Adcy5);circRNA_1398|Chr11:68722906_68730129_-(Adcy5);circRNA_1399|Chr11:68745884_68750272_-(Adcy5)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3280|Chr19:60370736_60429996_+(Pard3);circRNA_3379|Chr2:31816052_31816763_-(Pik3r1);circRNA_3719|Chr2:206549585_206567195_-(Magi3);circRNA_4814|Chr4:125762257_125789911_-(Magi1);circRNA_5406|Chr5:155702728_155709264_-(Cdc42);circRNA_5662|Chr6:60609626_60618957_+(Dock4);circRNA_5664|Chr6:71078256_71089829_-(Prkd1);circRNA_6215|Chr7:130113212_130116591_-(Mapk12);circRNA_6492|Chr8:73183720_73192779_-(Tln2);circRNA_6642|Chr8:117106575_117109692_+(Rhoa);circRNA_6643|Chr8:117109572_117114039_+(Rhoa);</t>
  </si>
  <si>
    <t>circRNA_0839|Chr10:5930383_5930975_+(Grin2a);circRNA_1236|Chr10:96264760_96266403_-(Prkca);circRNA_1405|Chr11:69064518_69068514_-(Mylk);circRNA_1725|Chr13:50150091_50150276_-(Atp2b4)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2337|Chr15:51925689_51954838_-(Ppp3cc);circRNA_3126|Chr19:22113525_22128599_-(Phkb);circRNA_3140|Chr19:25721379_25722171_+(Cacna1a);circRNA_3978|Chr20:31900597_31901729_+(Tacr2);circRNA_4270|Chr3:104125824_104126822_-(Ryr3);circRNA_4272|Chr3:104155193_104159664_-(Ryr3);circRNA_4281|Chr3:104375097_104394775_-(Ryr3);circRNA_4282|Chr3:104385141_104430368_-(Ryr3);circRNA_4283|Chr3:104422849_104430368_-(Ryr3);circRNA_4864|Chr4:151118221_151124504_-(Cacna1c);circRNA_5502|Chr6:4259110_4315062_-(Slc8a1);circRNA_5503|Chr6:4278307_4315062_-(Slc8a1);circRNA_5504|Chr6:4298605_4315062_-(Slc8a1);</t>
  </si>
  <si>
    <t>circRNA_0380|Chr1:184008119_184017761_+(Pde3b);circRNA_0384|Chr1:184041764_184055555_+(Pde3b);circRNA_1397|Chr11:68722906_68725314_-(Adcy5);circRNA_1398|Chr11:68722906_68730129_-(Adcy5);circRNA_1399|Chr11:68745884_68750272_-(Adcy5);circRNA_1405|Chr11:69064518_69068514_-(Mylk);circRNA_1593|Chr12:25431710_25435591_+(Gtf2i);circRNA_1594|Chr12:25442325_25447480_+(Gtf2i);circRNA_1596|Chr12:25442325_25454041_+(Gtf2i);circRNA_1725|Chr13:50150091_50150276_-(Atp2b4)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2212|Chr15:907065_977590_+(Kcnma1);circRNA_2337|Chr15:51925689_51954838_-(Ppp3cc);circRNA_3204|Chr19:38057557_38091369_+(Nfatc3);circRNA_3635|Chr2:187525295_187532740_+(Mef2d);circRNA_3782|Chr2:226925637_226942478_+(Pde5a);circRNA_4864|Chr4:151118221_151124504_-(Cacna1c);circRNA_5502|Chr6:4259110_4315062_-(Slc8a1);circRNA_5503|Chr6:4278307_4315062_-(Slc8a1);circRNA_5504|Chr6:4298605_4315062_-(Slc8a1);circRNA_5998|Chr7:51410270_51416139_-(Ppp1r12a);circRNA_6002|Chr7:51433839_51444422_-(Ppp1r12a);circRNA_6597|Chr8:104192886_104202285_-(Atp1b3);circRNA_6642|Chr8:117106575_117109692_+(Rhoa);circRNA_6643|Chr8:117109572_117114039_+(Rhoa);</t>
  </si>
  <si>
    <t>circRNA_0380|Chr1:184008119_184017761_+(Pde3b);circRNA_0384|Chr1:184041764_184055555_+(Pde3b);circRNA_0839|Chr10:5930383_5930975_+(Grin2a);circRNA_1397|Chr11:68722906_68725314_-(Adcy5);circRNA_1398|Chr11:68722906_68730129_-(Adcy5);circRNA_1399|Chr11:68745884_68750272_-(Adcy5);circRNA_1725|Chr13:50150091_50150276_-(Atp2b4)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2605|Chr17:1057871_1065593_-(Ptch1);circRNA_2720|Chr17:52477332_52555114_-(Gli3);circRNA_3379|Chr2:31816052_31816763_-(Pik3r1);circRNA_3512|Chr2:113739689_113745181_+(Pld1);circRNA_3515|Chr2:113747182_113764892_+(Pld1);circRNA_3817|Chr2:240822115_240867796_-(Nfkb1);circRNA_4864|Chr4:151118221_151124504_-(Cacna1c);circRNA_5998|Chr7:51410270_51416139_-(Ppp1r12a);circRNA_6002|Chr7:51433839_51444422_-(Ppp1r12a);circRNA_6597|Chr8:104192886_104202285_-(Atp1b3);circRNA_6642|Chr8:117106575_117109692_+(Rhoa);circRNA_6643|Chr8:117109572_117114039_+(Rhoa);</t>
  </si>
  <si>
    <t>circRNA_2158|Chr14:100058305_100066787_+(Egfr);circRNA_3450|Chr2:56451097_56456188_+(Lifr);circRNA_4137|Chr3:44500847_44522988_-(Acvr1);circRNA_5249|Chr5:120609027_120616745_+(Lepr);</t>
  </si>
  <si>
    <t>circRNA_1397|Chr11:68722906_68725314_-(Adcy5);circRNA_1398|Chr11:68722906_68730129_-(Adcy5);circRNA_1399|Chr11:68745884_68750272_-(Adcy5);circRNA_1857|Chr13:95120752_95128782_-(Akt3);circRNA_1858|Chr13:95167819_95196402_-(Akt3);circRNA_1859|Chr13:95167819_95208329_-(Akt3);circRNA_1861|Chr13:95193009_95208329_-(Akt3);circRNA_2096|Chr14:81267948_81280976_-(Grk4);circRNA_2097|Chr14:81278563_81280976_-(Grk4);circRNA_2141|Chr14:87328008_87331877_+(Adcy1);circRNA_2142|Chr14:87328008_87357732_+(Adcy1);circRNA_2143|Chr14:87328008_87377952_+(Adcy1);circRNA_2144|Chr14:87331763_87357732_+(Adcy1);circRNA_2145|Chr14:87350088_87357732_+(Adcy1);circRNA_3280|Chr19:60370736_60429996_+(Pard3);circRNA_3379|Chr2:31816052_31816763_-(Pik3r1);circRNA_3817|Chr2:240822115_240867796_-(Nfkb1);circRNA_5406|Chr5:155702728_155709264_-(Cdc42);circRNA_5722|Chr6:91933750_91961861_-(Sos2);circRNA_5724|Chr6:91938501_91961861_-(Sos2);circRNA_6150|Chr7:114466514_114468769_-(Ptk2);circRNA_6155|Chr7:114555889_114562987_-(Ptk2);circRNA_6642|Chr8:117106575_117109692_+(Rhoa);circRNA_6643|Chr8:117109572_117114039_+(Rhoa);</t>
  </si>
  <si>
    <t>circRNA_3817|Chr2:240822115_240867796_-(Nfkb1);circRNA_4871|Chr4:152265847_152274059_-(Erc1);circRNA_4873|Chr4:152282030_152355930_-(Erc1);circRNA_6271|Chr8:6014617_6023899_-(Birc2);circRNA_7137|ChrX:54037977_54102885_+(Tab3);</t>
  </si>
  <si>
    <t>circRNA_1236|Chr10:96264760_96266403_-(Prkca);circRNA_1857|Chr13:95120752_95128782_-(Akt3);circRNA_1858|Chr13:95167819_95196402_-(Akt3);circRNA_1859|Chr13:95167819_95208329_-(Akt3);circRNA_1861|Chr13:95193009_95208329_-(Akt3);circRNA_2158|Chr14:100058305_100066787_+(Egfr);circRNA_3379|Chr2:31816052_31816763_-(Pik3r1);circRNA_3817|Chr2:240822115_240867796_-(Nfkb1);</t>
  </si>
  <si>
    <t>circRNA_0645|Chr1:251455609_251463748_+(Pten);circRNA_1857|Chr13:95120752_95128782_-(Akt3);circRNA_1858|Chr13:95167819_95196402_-(Akt3);circRNA_1859|Chr13:95167819_95208329_-(Akt3);circRNA_1861|Chr13:95193009_95208329_-(Akt3);circRNA_2158|Chr14:100058305_100066787_+(Egfr);circRNA_2585|Chr16:80780733_80793376_-(Fbxo25);circRNA_3031|Chr18:69634006_69647714_-(Smad4);circRNA_3037|Chr18:69654505_69657373_-(Smad4);circRNA_3059|Chr18:72593000_72611211_+(Smad2);circRNA_3379|Chr2:31816052_31816763_-(Pik3r1);circRNA_5722|Chr6:91933750_91961861_-(Sos2);circRNA_5724|Chr6:91938501_91961861_-(Sos2);circRNA_6215|Chr7:130113212_130116591_-(Mapk12);</t>
  </si>
  <si>
    <t>circRNA_0389|Chr1:185252579_185264972_+(Pik3c2a);circRNA_0645|Chr1:251455609_251463748_+(Pten);circRNA_1236|Chr10:96264760_96266403_-(Prkca);circRNA_1468|Chr11:87898055_87899561_+(Pi4ka);circRNA_2072|Chr14:60573253_60586776_-(Pi4k2b);circRNA_2364|Chr15:60816746_60821766_-(Dgkh);circRNA_2832|Chr18:307052_312848_-(Mtmr1);circRNA_3147|Chr19:29642344_29645344_-(Inpp4b);circRNA_3379|Chr2:31816052_31816763_-(Pik3r1);circRNA_3929|Chr20:18467660_18471939_-(Ipmk);circRNA_4663|Chr4:64431354_64474930_-(Dgki);circRNA_4664|Chr4:64451679_64474930_-(Dgki);circRNA_6804|Chr9:43968846_43977575_+(Inpp4a);circRNA_6920|Chr9:71920586_71960153_+(Pikfyve);</t>
  </si>
  <si>
    <t>circRNA_0645|Chr1:251455609_251463748_+(Pten);circRNA_1236|Chr10:96264760_96266403_-(Prkca);circRNA_1498|Chr12:4448685_4450137_-(Cers4);circRNA_1857|Chr13:95120752_95128782_-(Akt3);circRNA_1858|Chr13:95167819_95196402_-(Akt3);circRNA_1859|Chr13:95167819_95208329_-(Akt3);circRNA_1861|Chr13:95193009_95208329_-(Akt3);circRNA_2540|Chr16:54011840_54019134_+(Asah1);circRNA_3379|Chr2:31816052_31816763_-(Pik3r1);circRNA_3512|Chr2:113739689_113745181_+(Pld1);circRNA_3515|Chr2:113747182_113764892_+(Pld1);circRNA_3817|Chr2:240822115_240867796_-(Nfkb1);circRNA_5203|Chr5:105243242_105253190_+(Acer2);circRNA_6215|Chr7:130113212_130116591_-(Mapk12);circRNA_6642|Chr8:117106575_117109692_+(Rhoa);circRNA_6643|Chr8:117109572_117114039_+(Rhoa);</t>
  </si>
  <si>
    <t>circRNA_1236|Chr10:96264760_96266403_-(Prkca);circRNA_1397|Chr11:68722906_68725314_-(Adcy5);circRNA_1398|Chr11:68722906_68730129_-(Adcy5);circRNA_1399|Chr11:68745884_68750272_-(Adcy5)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2364|Chr15:60816746_60821766_-(Dgkh);circRNA_3149|Chr19:30869716_30870010_+(Gab1);circRNA_3150|Chr19:30869716_30883569_+(Gab1);circRNA_3379|Chr2:31816052_31816763_-(Pik3r1);circRNA_3512|Chr2:113739689_113745181_+(Pld1);circRNA_3515|Chr2:113747182_113764892_+(Pld1);circRNA_4518|Chr4:6866069_6869642_+(Rheb);circRNA_4663|Chr4:64431354_64474930_-(Dgki);circRNA_4664|Chr4:64451679_64474930_-(Dgki);circRNA_5722|Chr6:91933750_91961861_-(Sos2);circRNA_5724|Chr6:91938501_91961861_-(Sos2);circRNA_6293|Chr8:22509215_22513080_+(Dnm2);circRNA_6642|Chr8:117106575_117109692_+(Rhoa);circRNA_6643|Chr8:117109572_117114039_+(Rhoa);</t>
  </si>
  <si>
    <t>circRNA_0839|Chr10:5930383_5930975_+(Grin2a);circRNA_3280|Chr19:60370736_60429996_+(Pard3);circRNA_3978|Chr20:31900597_31901729_+(Tacr2);circRNA_5249|Chr5:120609027_120616745_+(Lepr);</t>
  </si>
  <si>
    <t>circRNA_1643|Chr12:39627016_39635912_-(Anapc7);circRNA_2352|Chr15:55151603_55154467_-(Rb1);circRNA_3031|Chr18:69634006_69647714_-(Smad4);circRNA_3037|Chr18:69654505_69657373_-(Smad4);circRNA_3059|Chr18:72593000_72611211_+(Smad2);circRNA_6611|Chr8:109243253_109288160_+(Stag1);circRNA_6612|Chr8:109250465_109254764_+(Stag1);circRNA_6862|Chr9:65361368_65364133_-(Orc2);</t>
  </si>
  <si>
    <t>circRNA_0661|Chr1:255685048_255694514_-(Cpeb3);circRNA_0663|Chr1:255727112_255764689_-(Cpeb3);circRNA_1397|Chr11:68722906_68725314_-(Adcy5);circRNA_1398|Chr11:68722906_68730129_-(Adcy5);circRNA_1399|Chr11:68745884_68750272_-(Adcy5);circRNA_1643|Chr12:39627016_39635912_-(Anapc7);circRNA_2141|Chr14:87328008_87331877_+(Adcy1);circRNA_2142|Chr14:87328008_87357732_+(Adcy1);circRNA_2143|Chr14:87328008_87377952_+(Adcy1);circRNA_2144|Chr14:87331763_87357732_+(Adcy1);circRNA_2145|Chr14:87350088_87357732_+(Adcy1);circRNA_2337|Chr15:51925689_51954838_-(Ppp3cc);circRNA_6215|Chr7:130113212_130116591_-(Mapk12);</t>
  </si>
  <si>
    <t>circRNA_0645|Chr1:251455609_251463748_+(Pten);</t>
  </si>
  <si>
    <t>circRNA_0216|Chr1:116643750_116660509_+(Ube3a);circRNA_0999|Chr10:59192184_59239990_+(Ube2g1);circRNA_1368|Chr11:51049296_51068978_-(Cblb);circRNA_1369|Chr11:51057506_51068978_-(Cblb);circRNA_1643|Chr12:39627016_39635912_-(Anapc7);circRNA_2191|Chr14:110683107_110709166_+(Fancl);circRNA_3007|Chr18:60691028_60702777_+(Nedd4l);circRNA_4426|Chr3:150692740_150696569_+(Itch);circRNA_4430|Chr3:150717267_150734719_+(Itch);circRNA_5545|Chr6:21942755_21944809_-(Birc6);circRNA_6271|Chr8:6014617_6023899_-(Birc2);circRNA_6378|Chr8:59736470_59745377_+(Ube2q2);circRNA_6433|Chr8:67801800_67812158_-(Pias1);circRNA_6479|Chr8:72138878_72148728_+(Herc1);circRNA_7064|ChrX:1729687_1730287_-(Uba1);</t>
  </si>
  <si>
    <t>circRNA_1032|Chr10:63412175_63412639_+(Gosr1);</t>
  </si>
  <si>
    <t>circRNA_0316|Chr1:163965001_164064815_-(Uvrag);circRNA_0317|Chr1:164025518_164055455_-(Uvrag);circRNA_0318|Chr1:164025518_164064815_-(Uvrag);circRNA_0645|Chr1:251455609_251463748_+(Pten);circRNA_1857|Chr13:95120752_95128782_-(Akt3);circRNA_1858|Chr13:95167819_95196402_-(Akt3);circRNA_1859|Chr13:95167819_95208329_-(Akt3);circRNA_1861|Chr13:95193009_95208329_-(Akt3);circRNA_3379|Chr2:31816052_31816763_-(Pik3r1);circRNA_4518|Chr4:6866069_6869642_+(Rheb);circRNA_6125|Chr7:94895697_94898194_+(Deptor);</t>
  </si>
  <si>
    <t>circRNA_0914|Chr10:37167400_37172772_-(Sec24a);circRNA_0999|Chr10:59192184_59239990_+(Ube2g1);circRNA_2811|Chr17:85036937_85057912_-(Dnajc1);circRNA_2812|Chr17:85036937_85064621_-(Dnajc1);circRNA_3249|Chr19:52169070_52171485_-(Mbtps1);</t>
  </si>
  <si>
    <t>circRNA_2540|Chr16:54011840_54019134_+(Asah1);circRNA_5959|Chr7:28987514_28990116_+(Gnptab);circRNA_6673|Chr8:122473237_122490342_+(Glb1);</t>
  </si>
  <si>
    <t>circRNA_0451|Chr1:200671013_200672411_-(Fgfr2);circRNA_0503|Chr1:214562895_214581660_+(Ap2a2);circRNA_0865|Chr10:15358869_15376292_-(Rab11fip3);circRNA_0989|Chr10:57549452_57549919_+(Rabep1);circRNA_0990|Chr10:57549452_57563686_+(Rabep1);circRNA_1284|Chr11:2672491_2678232_-(Chmp2b);circRNA_1368|Chr11:51049296_51068978_-(Cblb);circRNA_1369|Chr11:51057506_51068978_-(Cblb);circRNA_1411|Chr11:70724569_70728535_-(Snx4);circRNA_2096|Chr14:81267948_81280976_-(Grk4);circRNA_2097|Chr14:81278563_81280976_-(Grk4);circRNA_2158|Chr14:100058305_100066787_+(Egfr);circRNA_2508|Chr16:23555922_23600154_+(Psd3);circRNA_3007|Chr18:60691028_60702777_+(Nedd4l);circRNA_3059|Chr18:72593000_72611211_+(Smad2);circRNA_3280|Chr19:60370736_60429996_+(Pard3);circRNA_3512|Chr2:113739689_113745181_+(Pld1);circRNA_3515|Chr2:113747182_113764892_+(Pld1);circRNA_3872|Chr20:3232306_3273815_+(RT1-T24-3);circRNA_4426|Chr3:150692740_150696569_+(Itch);circRNA_4430|Chr3:150717267_150734719_+(Itch);circRNA_4466|Chr3:163586028_163595055_+(Arfgef2);circRNA_4467|Chr3:163592872_163595055_+(Arfgef2);circRNA_5406|Chr5:155702728_155709264_-(Cdc42);circRNA_6293|Chr8:22509215_22513080_+(Dnm2);circRNA_6642|Chr8:117106575_117109692_+(Rhoa);circRNA_6643|Chr8:117109572_117114039_+(Rhoa);circRNA_6988|Chr9:96746440_96775060_+(Agap1);circRNA_6989|Chr9:96769379_96775060_+(Agap1);circRNA_7118|ChrX:37958484_37984798_-(Sh3kbp1);</t>
  </si>
  <si>
    <t>circRNA_0878|Chr10:16769713_16774652_-(Atp6v0e1);circRNA_3872|Chr20:3232306_3273815_+(RT1-T24-3);circRNA_4147|Chr3:46525736_46528994_-(Pla2r1);circRNA_6920|Chr9:71920586_71960153_+(Pikfyve);</t>
  </si>
  <si>
    <t>circRNA_0645|Chr1:251455609_251463748_+(Pten);circRNA_1236|Chr10:96264760_96266403_-(Prkca);circRNA_1857|Chr13:95120752_95128782_-(Akt3);circRNA_1858|Chr13:95167819_95196402_-(Akt3);circRNA_1859|Chr13:95167819_95208329_-(Akt3);circRNA_1861|Chr13:95193009_95208329_-(Akt3);circRNA_3379|Chr2:31816052_31816763_-(Pik3r1);circRNA_4518|Chr4:6866069_6869642_+(Rheb);circRNA_4917|Chr4:168213382_168221653_-(Lrp6);circRNA_4921|Chr4:168260038_168267184_-(Lrp6);circRNA_5722|Chr6:91933750_91961861_-(Sos2);circRNA_5724|Chr6:91938501_91961861_-(Sos2);circRNA_6125|Chr7:94895697_94898194_+(Deptor);circRNA_6642|Chr8:117106575_117109692_+(Rhoa);circRNA_6643|Chr8:117109572_117114039_+(Rhoa);</t>
  </si>
  <si>
    <t>circRNA_0451|Chr1:200671013_200672411_-(Fgfr2);circRNA_0645|Chr1:251455609_251463748_+(Pten);circRNA_1155|Chr10:82756914_82757163_+(Col1a1);circRNA_1236|Chr10:96264760_96266403_-(Prkca);circRNA_1857|Chr13:95120752_95128782_-(Akt3);circRNA_1858|Chr13:95167819_95196402_-(Akt3);circRNA_1859|Chr13:95167819_95208329_-(Akt3);circRNA_1861|Chr13:95193009_95208329_-(Akt3);circRNA_2158|Chr14:100058305_100066787_+(Egfr);circRNA_3379|Chr2:31816052_31816763_-(Pik3r1);circRNA_3817|Chr2:240822115_240867796_-(Nfkb1);circRNA_4518|Chr4:6866069_6869642_+(Rheb);circRNA_5722|Chr6:91933750_91961861_-(Sos2);circRNA_5724|Chr6:91938501_91961861_-(Sos2);circRNA_6150|Chr7:114466514_114468769_-(Ptk2);circRNA_6155|Chr7:114555889_114562987_-(Ptk2);circRNA_6680|Chr8:127289436_127301219_+(Itga9);</t>
  </si>
  <si>
    <t>circRNA_1857|Chr13:95120752_95128782_-(Akt3);circRNA_1858|Chr13:95167819_95196402_-(Akt3);circRNA_1859|Chr13:95167819_95208329_-(Akt3);circRNA_1861|Chr13:95193009_95208329_-(Akt3);circRNA_2062|Chr14:45683767_45691895_-(Tbc1d1);circRNA_3379|Chr2:31816052_31816763_-(Pik3r1);circRNA_4518|Chr4:6866069_6869642_+(Rheb);circRNA_4845|Chr4:147295666_147361944_+(Pparg);circRNA_5249|Chr5:120609027_120616745_+(Lepr);</t>
  </si>
  <si>
    <t>circRNA_1857|Chr13:95120752_95128782_-(Akt3);circRNA_1858|Chr13:95167819_95196402_-(Akt3);circRNA_1859|Chr13:95167819_95208329_-(Akt3);circRNA_1861|Chr13:95193009_95208329_-(Akt3);circRNA_3379|Chr2:31816052_31816763_-(Pik3r1);circRNA_3817|Chr2:240822115_240867796_-(Nfkb1);circRNA_4090|Chr3:15042229_15042609_+(Dab2ip);circRNA_6271|Chr8:6014617_6023899_-(Birc2);</t>
  </si>
  <si>
    <t>circRNA_1397|Chr11:68722906_68725314_-(Adcy5);circRNA_1398|Chr11:68722906_68730129_-(Adcy5);circRNA_1399|Chr11:68745884_68750272_-(Adcy5)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2441|Chr16:2578902_2581762_-(Appl1);circRNA_3379|Chr2:31816052_31816763_-(Pik3r1);circRNA_3817|Chr2:240822115_240867796_-(Nfkb1);circRNA_4518|Chr4:6866069_6869642_+(Rheb);circRNA_4845|Chr4:147295666_147361944_+(Pparg);</t>
  </si>
  <si>
    <t>circRNA_1397|Chr11:68722906_68725314_-(Adcy5);circRNA_1398|Chr11:68722906_68730129_-(Adcy5);circRNA_1399|Chr11:68745884_68750272_-(Adcy5)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3379|Chr2:31816052_31816763_-(Pik3r1);</t>
  </si>
  <si>
    <t>circRNA_1284|Chr11:2672491_2678232_-(Chmp2b);circRNA_2271|Chr15:34277381_34277914_+(Rnf31);circRNA_5292|Chr5:129448885_129457884_+(Faf1);circRNA_6271|Chr8:6014617_6023899_-(Birc2);</t>
  </si>
  <si>
    <t>circRNA_0645|Chr1:251455609_251463748_+(Pten);circRNA_1644|Chr12:39719713_39721351_+(Rad9b);circRNA_1857|Chr13:95120752_95128782_-(Akt3);circRNA_1858|Chr13:95167819_95196402_-(Akt3);circRNA_1859|Chr13:95167819_95208329_-(Akt3);circRNA_1861|Chr13:95193009_95208329_-(Akt3);circRNA_2337|Chr15:51925689_51954838_-(Ppp3cc);circRNA_2352|Chr15:55151603_55154467_-(Rb1);circRNA_3059|Chr18:72593000_72611211_+(Smad2);circRNA_3204|Chr19:38057557_38091369_+(Nfatc3);circRNA_3379|Chr2:31816052_31816763_-(Pik3r1);circRNA_3817|Chr2:240822115_240867796_-(Nfkb1);circRNA_3872|Chr20:3232306_3273815_+(RT1-T24-3);circRNA_4518|Chr4:6866069_6869642_+(Rheb);circRNA_5774|Chr6:108248261_108249918_+(Lin52);circRNA_6215|Chr7:130113212_130116591_-(Mapk12);</t>
  </si>
  <si>
    <t>circRNA_1740|Chr13:52671461_52673721_+(Tnnt2);circRNA_4864|Chr4:151118221_151124504_-(Cacna1c);circRNA_5502|Chr6:4259110_4315062_-(Slc8a1);circRNA_5503|Chr6:4278307_4315062_-(Slc8a1);circRNA_5504|Chr6:4298605_4315062_-(Slc8a1);circRNA_6491|Chr8:72823430_72828397_-(Tpm1);circRNA_6597|Chr8:104192886_104202285_-(Atp1b3);circRNA_7250|ChrX:159023994_159035906_+(Slc9a6);</t>
  </si>
  <si>
    <t>circRNA_1236|Chr10:96264760_96266403_-(Prkca);circRNA_1397|Chr11:68722906_68725314_-(Adcy5);circRNA_1398|Chr11:68722906_68730129_-(Adcy5);circRNA_1399|Chr11:68745884_68750272_-(Adcy5);circRNA_1725|Chr13:50150091_50150276_-(Atp2b4);circRNA_1740|Chr13:52671461_52673721_+(Tnnt2)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4864|Chr4:151118221_151124504_-(Cacna1c);circRNA_5502|Chr6:4259110_4315062_-(Slc8a1);circRNA_5503|Chr6:4278307_4315062_-(Slc8a1);circRNA_5504|Chr6:4298605_4315062_-(Slc8a1);circRNA_5802|Chr6:124596541_124629605_-(Rps6ka5);circRNA_5807|Chr6:124651885_124652103_-(Rps6ka5);circRNA_5808|Chr6:124651885_124677509_-(Rps6ka5);circRNA_6215|Chr7:130113212_130116591_-(Mapk12);circRNA_6491|Chr8:72823430_72828397_-(Tpm1);circRNA_6597|Chr8:104192886_104202285_-(Atp1b3);</t>
  </si>
  <si>
    <t>circRNA_0650|Chr1:252537894_252539495_+(Acta2);circRNA_0793|Chr10:776697_822670_+(Myh11);circRNA_0797|Chr10:800444_802135_+(Myh11);circRNA_0799|Chr10:805713_819703_+(Myh11);circRNA_1236|Chr10:96264760_96266403_-(Prkca);circRNA_1397|Chr11:68722906_68725314_-(Adcy5);circRNA_1398|Chr11:68722906_68730129_-(Adcy5);circRNA_1399|Chr11:68745884_68750272_-(Adcy5);circRNA_1405|Chr11:69064518_69068514_-(Mylk);circRNA_2141|Chr14:87328008_87331877_+(Adcy1);circRNA_2142|Chr14:87328008_87357732_+(Adcy1);circRNA_2143|Chr14:87328008_87377952_+(Adcy1);circRNA_2144|Chr14:87331763_87357732_+(Adcy1);circRNA_2145|Chr14:87350088_87357732_+(Adcy1);circRNA_2212|Chr15:907065_977590_+(Kcnma1);circRNA_3633|Chr2:187048486_187051162_+(Arhgef11);circRNA_4864|Chr4:151118221_151124504_-(Cacna1c);circRNA_5737|Chr6:96487054_96541680_+(Prkch);circRNA_5998|Chr7:51410270_51416139_-(Ppp1r12a);circRNA_6002|Chr7:51433839_51444422_-(Ppp1r12a);circRNA_6642|Chr8:117106575_117109692_+(Rhoa);circRNA_6643|Chr8:117109572_117114039_+(Rhoa);</t>
  </si>
  <si>
    <t>circRNA_1236|Chr10:96264760_96266403_-(Prkca);circRNA_2337|Chr15:51925689_51954838_-(Ppp3cc);circRNA_3031|Chr18:69634006_69647714_-(Smad4);circRNA_3037|Chr18:69654505_69657373_-(Smad4);circRNA_3204|Chr19:38057557_38091369_+(Nfatc3);circRNA_4917|Chr4:168213382_168221653_-(Lrp6);circRNA_4921|Chr4:168260038_168267184_-(Lrp6);circRNA_6642|Chr8:117106575_117109692_+(Rhoa);circRNA_6643|Chr8:117109572_117114039_+(Rhoa);</t>
  </si>
  <si>
    <t>circRNA_3569|Chr2:141024600_141026192_-(Maml3);circRNA_3701|Chr2:200243345_200253557_+(Notch2);</t>
  </si>
  <si>
    <t>circRNA_2605|Chr17:1057871_1065593_-(Ptch1);circRNA_2720|Chr17:52477332_52555114_-(Gli3);</t>
  </si>
  <si>
    <t>circRNA_3031|Chr18:69634006_69647714_-(Smad4);circRNA_3037|Chr18:69654505_69657373_-(Smad4);circRNA_3059|Chr18:72593000_72611211_+(Smad2);circRNA_4137|Chr3:44500847_44522988_-(Acvr1);circRNA_6642|Chr8:117106575_117109692_+(Rhoa);circRNA_6643|Chr8:117109572_117114039_+(Rhoa);</t>
  </si>
  <si>
    <t>circRNA_1236|Chr10:96264760_96266403_-(Prkca);circRNA_1875|Chr13:100300002_100353039_-(Enah);circRNA_2337|Chr15:51925689_51954838_-(Ppp3cc);circRNA_2605|Chr17:1057871_1065593_-(Ptch1);circRNA_3204|Chr19:38057557_38091369_+(Nfatc3);circRNA_3280|Chr19:60370736_60429996_+(Pard3);circRNA_3379|Chr2:31816052_31816763_-(Pik3r1);circRNA_3751|Chr2:212852209_212852849_-(Ntng1);circRNA_4560|Chr4:18311528_18331379_-(Sema3a);circRNA_5406|Chr5:155702728_155709264_-(Cdc42);circRNA_6150|Chr7:114466514_114468769_-(Ptk2);circRNA_6155|Chr7:114555889_114562987_-(Ptk2);circRNA_6642|Chr8:117106575_117109692_+(Rhoa);circRNA_6643|Chr8:117109572_117114039_+(Rhoa);</t>
  </si>
  <si>
    <t>circRNA_1236|Chr10:96264760_96266403_-(Prkca);circRNA_1857|Chr13:95120752_95128782_-(Akt3);circRNA_1858|Chr13:95167819_95196402_-(Akt3);circRNA_1859|Chr13:95167819_95208329_-(Akt3);circRNA_1861|Chr13:95193009_95208329_-(Akt3);circRNA_2337|Chr15:51925689_51954838_-(Ppp3cc);circRNA_3379|Chr2:31816052_31816763_-(Pik3r1);circRNA_5406|Chr5:155702728_155709264_-(Cdc42);circRNA_6150|Chr7:114466514_114468769_-(Ptk2);circRNA_6155|Chr7:114555889_114562987_-(Ptk2);circRNA_6215|Chr7:130113212_130116591_-(Mapk12);</t>
  </si>
  <si>
    <t>circRNA_0380|Chr1:184008119_184017761_+(Pde3b);circRNA_0384|Chr1:184041764_184055555_+(Pde3b);circRNA_0650|Chr1:252537894_252539495_+(Acta2);circRNA_1397|Chr11:68722906_68725314_-(Adcy5);circRNA_1398|Chr11:68722906_68730129_-(Adcy5);circRNA_1399|Chr11:68745884_68750272_-(Adcy5);circRNA_1405|Chr11:69064518_69068514_-(Mylk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3031|Chr18:69634006_69647714_-(Smad4);circRNA_3037|Chr18:69654505_69657373_-(Smad4);circRNA_3059|Chr18:72593000_72611211_+(Smad2);circRNA_3635|Chr2:187525295_187532740_+(Mef2d);circRNA_4270|Chr3:104125824_104126822_-(Ryr3);circRNA_4272|Chr3:104155193_104159664_-(Ryr3);circRNA_4281|Chr3:104375097_104394775_-(Ryr3);circRNA_4282|Chr3:104385141_104430368_-(Ryr3);circRNA_4283|Chr3:104422849_104430368_-(Ryr3);circRNA_4633|Chr4:57387152_57396104_+(Nrf1);circRNA_5502|Chr6:4259110_4315062_-(Slc8a1);circRNA_5503|Chr6:4278307_4315062_-(Slc8a1);circRNA_5504|Chr6:4298605_4315062_-(Slc8a1);</t>
  </si>
  <si>
    <t>circRNA_1857|Chr13:95120752_95128782_-(Akt3);circRNA_1858|Chr13:95167819_95196402_-(Akt3);circRNA_1859|Chr13:95167819_95208329_-(Akt3);circRNA_1861|Chr13:95193009_95208329_-(Akt3);circRNA_2337|Chr15:51925689_51954838_-(Ppp3cc);circRNA_3379|Chr2:31816052_31816763_-(Pik3r1);circRNA_3817|Chr2:240822115_240867796_-(Nfkb1);circRNA_4845|Chr4:147295666_147361944_+(Pparg);circRNA_6215|Chr7:130113212_130116591_-(Mapk12);</t>
  </si>
  <si>
    <t>circRNA_0373|Chr1:177521072_177569872_+(Tead1);circRNA_3031|Chr18:69634006_69647714_-(Smad4);circRNA_3037|Chr18:69654505_69657373_-(Smad4);circRNA_3059|Chr18:72593000_72611211_+(Smad2);circRNA_3280|Chr19:60370736_60429996_+(Pard3);circRNA_6075|Chr7:73684650_73748233_-(Stk3);circRNA_6077|Chr7:73808151_73848871_-(Stk3);circRNA_6079|Chr7:73834044_73848871_-(Stk3);circRNA_6271|Chr8:6014617_6023899_-(Birc2);circRNA_6272|Chr8:6135492_6161740_-(Yap1);</t>
  </si>
  <si>
    <t>circRNA_0373|Chr1:177521072_177569872_+(Tead1);circRNA_6075|Chr7:73684650_73748233_-(Stk3);circRNA_6077|Chr7:73808151_73848871_-(Stk3);circRNA_6079|Chr7:73834044_73848871_-(Stk3);circRNA_6272|Chr8:6135492_6161740_-(Yap1);</t>
  </si>
  <si>
    <t>circRNA_0370|Chr1:177389638_177397572_+(Parva);circRNA_0645|Chr1:251455609_251463748_+(Pten);circRNA_1155|Chr10:82756914_82757163_+(Col1a1);circRNA_1236|Chr10:96264760_96266403_-(Prkca);circRNA_1405|Chr11:69064518_69068514_-(Mylk);circRNA_1857|Chr13:95120752_95128782_-(Akt3);circRNA_1858|Chr13:95167819_95196402_-(Akt3);circRNA_1859|Chr13:95167819_95208329_-(Akt3);circRNA_1861|Chr13:95193009_95208329_-(Akt3);circRNA_2158|Chr14:100058305_100066787_+(Egfr);circRNA_3379|Chr2:31816052_31816763_-(Pik3r1);circRNA_5406|Chr5:155702728_155709264_-(Cdc42);circRNA_5677|Chr6:73357940_73385888_+(Arhgap5);circRNA_5722|Chr6:91933750_91961861_-(Sos2);circRNA_5724|Chr6:91938501_91961861_-(Sos2);circRNA_5754|Chr6:103389817_103393554_-(Actn1);circRNA_5998|Chr7:51410270_51416139_-(Ppp1r12a);circRNA_6002|Chr7:51433839_51444422_-(Ppp1r12a);circRNA_6150|Chr7:114466514_114468769_-(Ptk2);circRNA_6155|Chr7:114555889_114562987_-(Ptk2);circRNA_6271|Chr8:6014617_6023899_-(Birc2);circRNA_6492|Chr8:73183720_73192779_-(Tln2);circRNA_6642|Chr8:117106575_117109692_+(Rhoa);circRNA_6643|Chr8:117109572_117114039_+(Rhoa);circRNA_6680|Chr8:127289436_127301219_+(Itga9);circRNA_7233|ChrX:156468826_156469166_+(Flna);</t>
  </si>
  <si>
    <t>circRNA_1155|Chr10:82756914_82757163_+(Col1a1);circRNA_6680|Chr8:127289436_127301219_+(Itga9);</t>
  </si>
  <si>
    <t>circRNA_1838|Chr13:83815852_83819669_-(Mpzl1);circRNA_3751|Chr2:212852209_212852849_-(Ntng1);circRNA_3872|Chr20:3232306_3273815_+(RT1-T24-3);circRNA_6399|Chr8:63332376_63335340_-(Cd276);circRNA_6680|Chr8:127289436_127301219_+(Itga9);</t>
  </si>
  <si>
    <t>circRNA_0271|Chr1:142556681_142565170_-(Iqgap1);circRNA_0696|Chr1:259412482_259459540_-(Sorbs1);circRNA_0697|Chr1:259421033_259437470_-(Sorbs1);circRNA_0703|Chr1:259434763_259479455_-(Sorbs1);circRNA_0715|Chr1:259479327_259488326_-(Sorbs1);circRNA_2158|Chr14:100058305_100066787_+(Egfr);circRNA_3031|Chr18:69634006_69647714_-(Smad4);circRNA_3037|Chr18:69654505_69657373_-(Smad4);circRNA_3059|Chr18:72593000_72611211_+(Smad2);circRNA_3280|Chr19:60370736_60429996_+(Pard3);circRNA_5406|Chr5:155702728_155709264_-(Cdc42);circRNA_5754|Chr6:103389817_103393554_-(Actn1);circRNA_6642|Chr8:117106575_117109692_+(Rhoa);circRNA_6643|Chr8:117109572_117114039_+(Rhoa);circRNA_7060|Chr9:121831708_121862897_+(Yes1);</t>
  </si>
  <si>
    <t>circRNA_0793|Chr10:776697_822670_+(Myh11);circRNA_0797|Chr10:800444_802135_+(Myh11);circRNA_0799|Chr10:805713_819703_+(Myh11);circRNA_3007|Chr18:60691028_60702777_+(Nedd4l);circRNA_3280|Chr19:60370736_60429996_+(Pard3);circRNA_4014|Chr20:50444171_50448905_+(Bves);circRNA_4814|Chr4:125762257_125789911_-(Magi1);circRNA_5406|Chr5:155702728_155709264_-(Cdc42);circRNA_5754|Chr6:103389817_103393554_-(Actn1);circRNA_6642|Chr8:117106575_117109692_+(Rhoa);circRNA_6643|Chr8:117109572_117114039_+(Rhoa);</t>
  </si>
  <si>
    <t>circRNA_1236|Chr10:96264760_96266403_-(Prkca);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5722|Chr6:91933750_91961861_-(Sos2);circRNA_5724|Chr6:91938501_91961861_-(Sos2);circRNA_6438|Chr8:68089178_68154119_-(Map2k5);</t>
  </si>
  <si>
    <t>circRNA_0451|Chr1:200671013_200672411_-(Fgfr2);circRNA_1857|Chr13:95120752_95128782_-(Akt3);circRNA_1858|Chr13:95167819_95196402_-(Akt3);circRNA_1859|Chr13:95167819_95208329_-(Akt3);circRNA_1861|Chr13:95193009_95208329_-(Akt3);circRNA_3031|Chr18:69634006_69647714_-(Smad4);circRNA_3037|Chr18:69654505_69657373_-(Smad4);circRNA_3059|Chr18:72593000_72611211_+(Smad2);circRNA_3379|Chr2:31816052_31816763_-(Pik3r1);circRNA_3450|Chr2:56451097_56456188_+(Lifr);circRNA_4137|Chr3:44500847_44522988_-(Acvr1);circRNA_6215|Chr7:130113212_130116591_-(Mapk12);</t>
  </si>
  <si>
    <t>circRNA_2686|Chr17:28580286_28608641_+(F13a1);</t>
  </si>
  <si>
    <t>circRNA_1155|Chr10:82756914_82757163_+(Col1a1);circRNA_1397|Chr11:68722906_68725314_-(Adcy5);circRNA_1398|Chr11:68722906_68730129_-(Adcy5);circRNA_1399|Chr11:68745884_68750272_-(Adcy5);circRNA_1405|Chr11:69064518_69068514_-(Mylk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3379|Chr2:31816052_31816763_-(Pik3r1);circRNA_5998|Chr7:51410270_51416139_-(Ppp1r12a);circRNA_6002|Chr7:51433839_51444422_-(Ppp1r12a);circRNA_6215|Chr7:130113212_130116591_-(Mapk12);circRNA_6492|Chr8:73183720_73192779_-(Tln2);circRNA_6642|Chr8:117106575_117109692_+(Rhoa);circRNA_6643|Chr8:117109572_117114039_+(Rhoa);</t>
  </si>
  <si>
    <t>circRNA_1857|Chr13:95120752_95128782_-(Akt3);circRNA_1858|Chr13:95167819_95196402_-(Akt3);circRNA_1859|Chr13:95167819_95208329_-(Akt3);circRNA_1861|Chr13:95193009_95208329_-(Akt3);circRNA_3379|Chr2:31816052_31816763_-(Pik3r1);circRNA_3817|Chr2:240822115_240867796_-(Nfkb1);circRNA_6215|Chr7:130113212_130116591_-(Mapk12);</t>
  </si>
  <si>
    <t>circRNA_0993|Chr10:57627261_57634588_-(Dhx33);circRNA_0994|Chr10:57634023_57634588_-(Dhx33);circRNA_2271|Chr15:34277381_34277914_+(Rnf31);circRNA_3384|Chr2:33933956_33937260_-(Erbin);circRNA_3817|Chr2:240822115_240867796_-(Nfkb1);circRNA_6215|Chr7:130113212_130116591_-(Mapk12);circRNA_6271|Chr8:6014617_6023899_-(Birc2);circRNA_6642|Chr8:117106575_117109692_+(Rhoa);circRNA_6643|Chr8:117109572_117114039_+(Rhoa);circRNA_7137|ChrX:54037977_54102885_+(Tab3);</t>
  </si>
  <si>
    <t>circRNA_3817|Chr2:240822115_240867796_-(Nfkb1);circRNA_6215|Chr7:130113212_130116591_-(Mapk12);</t>
  </si>
  <si>
    <t>circRNA_1368|Chr11:51049296_51068978_-(Cblb);circRNA_1369|Chr11:51057506_51068978_-(Cblb);circRNA_1857|Chr13:95120752_95128782_-(Akt3);circRNA_1858|Chr13:95167819_95196402_-(Akt3);circRNA_1859|Chr13:95167819_95208329_-(Akt3);circRNA_1861|Chr13:95193009_95208329_-(Akt3);circRNA_2337|Chr15:51925689_51954838_-(Ppp3cc);circRNA_3204|Chr19:38057557_38091369_+(Nfatc3);circRNA_3379|Chr2:31816052_31816763_-(Pik3r1);circRNA_3817|Chr2:240822115_240867796_-(Nfkb1);circRNA_6215|Chr7:130113212_130116591_-(Mapk12);circRNA_6642|Chr8:117106575_117109692_+(Rhoa);circRNA_6643|Chr8:117109572_117114039_+(Rhoa);</t>
  </si>
  <si>
    <t>circRNA_1168|Chr10:85313576_85314836_+(Socs7);circRNA_1857|Chr13:95120752_95128782_-(Akt3);circRNA_1858|Chr13:95167819_95196402_-(Akt3);circRNA_1859|Chr13:95167819_95208329_-(Akt3);circRNA_1861|Chr13:95193009_95208329_-(Akt3);circRNA_2158|Chr14:100058305_100066787_+(Egfr);circRNA_3379|Chr2:31816052_31816763_-(Pik3r1);circRNA_3450|Chr2:56451097_56456188_+(Lifr);circRNA_5249|Chr5:120609027_120616745_+(Lepr);circRNA_5722|Chr6:91933750_91961861_-(Sos2);circRNA_5724|Chr6:91938501_91961861_-(Sos2);circRNA_6433|Chr8:67801800_67812158_-(Pias1);</t>
  </si>
  <si>
    <t>circRNA_1236|Chr10:96264760_96266403_-(Prkca);circRNA_2337|Chr15:51925689_51954838_-(Ppp3cc);circRNA_3379|Chr2:31816052_31816763_-(Pik3r1);circRNA_3872|Chr20:3232306_3273815_+(RT1-T24-3);circRNA_5722|Chr6:91933750_91961861_-(Sos2);circRNA_5724|Chr6:91938501_91961861_-(Sos2);</t>
  </si>
  <si>
    <t>circRNA_1119|Chr10:75337353_75340473_+(Srsf1);circRNA_3817|Chr2:240822115_240867796_-(Nfkb1);circRNA_6215|Chr7:130113212_130116591_-(Mapk12);circRNA_7137|ChrX:54037977_54102885_+(Tab3);</t>
  </si>
  <si>
    <t>circRNA_2337|Chr15:51925689_51954838_-(Ppp3cc);circRNA_3204|Chr19:38057557_38091369_+(Nfatc3);circRNA_3569|Chr2:141024600_141026192_-(Maml3);circRNA_3701|Chr2:200243345_200253557_+(Notch2);circRNA_3817|Chr2:240822115_240867796_-(Nfkb1);circRNA_6215|Chr7:130113212_130116591_-(Mapk12);</t>
  </si>
  <si>
    <t>circRNA_2337|Chr15:51925689_51954838_-(Ppp3cc);circRNA_3031|Chr18:69634006_69647714_-(Smad4);circRNA_3037|Chr18:69654505_69657373_-(Smad4);circRNA_3059|Chr18:72593000_72611211_+(Smad2);circRNA_3204|Chr19:38057557_38091369_+(Nfatc3);circRNA_3817|Chr2:240822115_240867796_-(Nfkb1);circRNA_6215|Chr7:130113212_130116591_-(Mapk12);</t>
  </si>
  <si>
    <t>circRNA_1368|Chr11:51049296_51068978_-(Cblb);circRNA_1369|Chr11:51057506_51068978_-(Cblb);circRNA_1857|Chr13:95120752_95128782_-(Akt3);circRNA_1858|Chr13:95167819_95196402_-(Akt3);circRNA_1859|Chr13:95167819_95208329_-(Akt3);circRNA_1861|Chr13:95193009_95208329_-(Akt3);circRNA_2337|Chr15:51925689_51954838_-(Ppp3cc);circRNA_3204|Chr19:38057557_38091369_+(Nfatc3);circRNA_3379|Chr2:31816052_31816763_-(Pik3r1);circRNA_3817|Chr2:240822115_240867796_-(Nfkb1);circRNA_5406|Chr5:155702728_155709264_-(Cdc42);circRNA_5722|Chr6:91933750_91961861_-(Sos2);circRNA_5724|Chr6:91938501_91961861_-(Sos2);circRNA_6215|Chr7:130113212_130116591_-(Mapk12);circRNA_6642|Chr8:117106575_117109692_+(Rhoa);circRNA_6643|Chr8:117109572_117114039_+(Rhoa);</t>
  </si>
  <si>
    <t>circRNA_1857|Chr13:95120752_95128782_-(Akt3);circRNA_1858|Chr13:95167819_95196402_-(Akt3);circRNA_1859|Chr13:95167819_95208329_-(Akt3);circRNA_1861|Chr13:95193009_95208329_-(Akt3);circRNA_2337|Chr15:51925689_51954838_-(Ppp3cc);circRNA_3204|Chr19:38057557_38091369_+(Nfatc3);circRNA_3379|Chr2:31816052_31816763_-(Pik3r1);circRNA_3817|Chr2:240822115_240867796_-(Nfkb1);circRNA_5722|Chr6:91933750_91961861_-(Sos2);circRNA_5724|Chr6:91938501_91961861_-(Sos2);</t>
  </si>
  <si>
    <t>circRNA_1236|Chr10:96264760_96266403_-(Prkca);circRNA_1857|Chr13:95120752_95128782_-(Akt3);circRNA_1858|Chr13:95167819_95196402_-(Akt3);circRNA_1859|Chr13:95167819_95208329_-(Akt3);circRNA_1861|Chr13:95193009_95208329_-(Akt3);circRNA_3379|Chr2:31816052_31816763_-(Pik3r1);circRNA_5722|Chr6:91933750_91961861_-(Sos2);circRNA_5724|Chr6:91938501_91961861_-(Sos2);circRNA_6215|Chr7:130113212_130116591_-(Mapk12);</t>
  </si>
  <si>
    <t>circRNA_1236|Chr10:96264760_96266403_-(Prkca);circRNA_1857|Chr13:95120752_95128782_-(Akt3);circRNA_1858|Chr13:95167819_95196402_-(Akt3);circRNA_1859|Chr13:95167819_95208329_-(Akt3);circRNA_1861|Chr13:95193009_95208329_-(Akt3);circRNA_3379|Chr2:31816052_31816763_-(Pik3r1);circRNA_3512|Chr2:113739689_113745181_+(Pld1);circRNA_3515|Chr2:113747182_113764892_+(Pld1);circRNA_5406|Chr5:155702728_155709264_-(Cdc42);circRNA_6293|Chr8:22509215_22513080_+(Dnm2);</t>
  </si>
  <si>
    <t>circRNA_1857|Chr13:95120752_95128782_-(Akt3);circRNA_1858|Chr13:95167819_95196402_-(Akt3);circRNA_1859|Chr13:95167819_95208329_-(Akt3);circRNA_1861|Chr13:95193009_95208329_-(Akt3);circRNA_3379|Chr2:31816052_31816763_-(Pik3r1);circRNA_3817|Chr2:240822115_240867796_-(Nfkb1);circRNA_4090|Chr3:15042229_15042609_+(Dab2ip);circRNA_4426|Chr3:150692740_150696569_+(Itch);circRNA_4430|Chr3:150717267_150734719_+(Itch);circRNA_5802|Chr6:124596541_124629605_-(Rps6ka5);circRNA_5807|Chr6:124651885_124652103_-(Rps6ka5);circRNA_5808|Chr6:124651885_124677509_-(Rps6ka5);circRNA_6215|Chr7:130113212_130116591_-(Mapk12);circRNA_6271|Chr8:6014617_6023899_-(Birc2);circRNA_7137|ChrX:54037977_54102885_+(Tab3);</t>
  </si>
  <si>
    <t>circRNA_1236|Chr10:96264760_96266403_-(Prkca);circRNA_3379|Chr2:31816052_31816763_-(Pik3r1);circRNA_5406|Chr5:155702728_155709264_-(Cdc42);circRNA_5677|Chr6:73357940_73385888_+(Arhgap5);circRNA_5754|Chr6:103389817_103393554_-(Actn1);circRNA_6150|Chr7:114466514_114468769_-(Ptk2);circRNA_6155|Chr7:114555889_114562987_-(Ptk2);circRNA_6215|Chr7:130113212_130116591_-(Mapk12);circRNA_6642|Chr8:117106575_117109692_+(Rhoa);circRNA_6643|Chr8:117109572_117114039_+(Rhoa);</t>
  </si>
  <si>
    <t>circRNA_0839|Chr10:5930383_5930975_+(Grin2a);circRNA_1236|Chr10:96264760_96266403_-(Prkca);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4270|Chr3:104125824_104126822_-(Ryr3);circRNA_4272|Chr3:104155193_104159664_-(Ryr3);circRNA_4281|Chr3:104375097_104394775_-(Ryr3);circRNA_4282|Chr3:104385141_104430368_-(Ryr3);circRNA_4283|Chr3:104422849_104430368_-(Ryr3);circRNA_4864|Chr4:151118221_151124504_-(Cacna1c);circRNA_5802|Chr6:124596541_124629605_-(Rps6ka5);circRNA_5807|Chr6:124651885_124652103_-(Rps6ka5);circRNA_5808|Chr6:124651885_124677509_-(Rps6ka5);</t>
  </si>
  <si>
    <t>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4518|Chr4:6866069_6869642_+(Rheb);circRNA_4845|Chr4:147295666_147361944_+(Pparg);circRNA_5722|Chr6:91933750_91961861_-(Sos2);circRNA_5724|Chr6:91938501_91961861_-(Sos2);circRNA_6215|Chr7:130113212_130116591_-(Mapk12);</t>
  </si>
  <si>
    <t>circRNA_0839|Chr10:5930383_5930975_+(Grin2a);circRNA_1236|Chr10:96264760_96266403_-(Prkca);circRNA_2141|Chr14:87328008_87331877_+(Adcy1);circRNA_2142|Chr14:87328008_87357732_+(Adcy1);circRNA_2143|Chr14:87328008_87377952_+(Adcy1);circRNA_2144|Chr14:87331763_87357732_+(Adcy1);circRNA_2145|Chr14:87350088_87357732_+(Adcy1);circRNA_2337|Chr15:51925689_51954838_-(Ppp3cc);circRNA_4864|Chr4:151118221_151124504_-(Cacna1c);</t>
  </si>
  <si>
    <t>circRNA_0503|Chr1:214562895_214581660_+(Ap2a2);circRNA_0878|Chr10:16769713_16774652_-(Atp6v0e1);circRNA_3140|Chr19:25721379_25722171_+(Cacna1a);circRNA_6293|Chr8:22509215_22513080_+(Dnm2);</t>
  </si>
  <si>
    <t>circRNA_0259|Chr1:139943398_139956356_-(Ntrk3);circRNA_1212|Chr10:94292693_94314584_+(Map3k3);circRNA_1857|Chr13:95120752_95128782_-(Akt3);circRNA_1858|Chr13:95167819_95196402_-(Akt3);circRNA_1859|Chr13:95167819_95208329_-(Akt3);circRNA_1861|Chr13:95193009_95208329_-(Akt3);circRNA_3149|Chr19:30869716_30870010_+(Gab1);circRNA_3150|Chr19:30869716_30883569_+(Gab1);circRNA_3379|Chr2:31816052_31816763_-(Pik3r1);circRNA_3817|Chr2:240822115_240867796_-(Nfkb1);circRNA_5406|Chr5:155702728_155709264_-(Cdc42);circRNA_5722|Chr6:91933750_91961861_-(Sos2);circRNA_5724|Chr6:91938501_91961861_-(Sos2);circRNA_5802|Chr6:124596541_124629605_-(Rps6ka5);circRNA_5807|Chr6:124651885_124652103_-(Rps6ka5);circRNA_5808|Chr6:124651885_124677509_-(Rps6ka5);circRNA_6050|Chr7:64953167_64961215_-(Irak3);circRNA_6215|Chr7:130113212_130116591_-(Mapk12);circRNA_6438|Chr8:68089178_68154119_-(Map2k5);circRNA_6642|Chr8:117106575_117109692_+(Rhoa);circRNA_6643|Chr8:117109572_117114039_+(Rhoa);</t>
  </si>
  <si>
    <t>circRNA_1236|Chr10:96264760_96266403_-(Prkca);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3140|Chr19:25721379_25722171_+(Cacna1a);circRNA_4864|Chr4:151118221_151124504_-(Cacna1c);circRNA_6215|Chr7:130113212_130116591_-(Mapk12);</t>
  </si>
  <si>
    <t>circRNA_0839|Chr10:5930383_5930975_+(Grin2a);circRNA_1236|Chr10:96264760_96266403_-(Prkca);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2337|Chr15:51925689_51954838_-(Ppp3cc);circRNA_3140|Chr19:25721379_25722171_+(Cacna1a);circRNA_3512|Chr2:113739689_113745181_+(Pld1);circRNA_3515|Chr2:113747182_113764892_+(Pld1);circRNA_4864|Chr4:151118221_151124504_-(Cacna1c);circRNA_6236|Chr7:138002505_138021168_-(Slc38a1);circRNA_6847|Chr9:54232163_54248877_+(Gls);</t>
  </si>
  <si>
    <t>circRNA_1236|Chr10:96264760_96266403_-(Prkca);circRNA_1397|Chr11:68722906_68725314_-(Adcy5);circRNA_1398|Chr11:68722906_68730129_-(Adcy5);circRNA_1399|Chr11:68745884_68750272_-(Adcy5)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3140|Chr19:25721379_25722171_+(Cacna1a);circRNA_3379|Chr2:31816052_31816763_-(Pik3r1);circRNA_4864|Chr4:151118221_151124504_-(Cacna1c);</t>
  </si>
  <si>
    <t>circRNA_1236|Chr10:96264760_96266403_-(Prkca);circRNA_1299|Chr11:24479964_24512332_-(App);circRNA_1301|Chr11:24527899_24550752_-(App);circRNA_1302|Chr11:24547990_24550752_-(App);circRNA_1397|Chr11:68722906_68725314_-(Adcy5);circRNA_1398|Chr11:68722906_68730129_-(Adcy5);circRNA_1399|Chr11:68745884_68750272_-(Adcy5);circRNA_3140|Chr19:25721379_25722171_+(Cacna1a);circRNA_4864|Chr4:151118221_151124504_-(Cacna1c);</t>
  </si>
  <si>
    <t>circRNA_1236|Chr10:96264760_96266403_-(Prkca);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3140|Chr19:25721379_25722171_+(Cacna1a);circRNA_4864|Chr4:151118221_151124504_-(Cacna1c);circRNA_6236|Chr7:138002505_138021168_-(Slc38a1);circRNA_6847|Chr9:54232163_54248877_+(Gls);</t>
  </si>
  <si>
    <t>circRNA_0839|Chr10:5930383_5930975_+(Grin2a);circRNA_1236|Chr10:96264760_96266403_-(Prkca);circRNA_1397|Chr11:68722906_68725314_-(Adcy5);circRNA_1398|Chr11:68722906_68730129_-(Adcy5);circRNA_1399|Chr11:68745884_68750272_-(Adcy5);circRNA_1857|Chr13:95120752_95128782_-(Akt3);circRNA_1858|Chr13:95167819_95196402_-(Akt3);circRNA_1859|Chr13:95167819_95208329_-(Akt3);circRNA_1861|Chr13:95193009_95208329_-(Akt3);circRNA_2337|Chr15:51925689_51954838_-(Ppp3cc);circRNA_3140|Chr19:25721379_25722171_+(Cacna1a);circRNA_4864|Chr4:151118221_151124504_-(Cacna1c);circRNA_6215|Chr7:130113212_130116591_-(Mapk12);</t>
  </si>
  <si>
    <t>circRNA_1236|Chr10:96264760_96266403_-(Prkca);circRNA_3140|Chr19:25721379_25722171_+(Cacna1a);</t>
  </si>
  <si>
    <t>circRNA_5502|Chr6:4259110_4315062_-(Slc8a1);circRNA_5503|Chr6:4278307_4315062_-(Slc8a1);circRNA_5504|Chr6:4298605_4315062_-(Slc8a1);circRNA_6105|Chr7:76229137_76229533_-(Ncald);</t>
  </si>
  <si>
    <t>circRNA_3140|Chr19:25721379_25722171_+(Cacna1a);circRNA_4864|Chr4:151118221_151124504_-(Cacna1c);</t>
  </si>
  <si>
    <t>circRNA_1236|Chr10:96264760_96266403_-(Prkca);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3379|Chr2:31816052_31816763_-(Pik3r1);circRNA_5737|Chr6:96487054_96541680_+(Prkch);circRNA_6215|Chr7:130113212_130116591_-(Mapk12);</t>
  </si>
  <si>
    <t>circRNA_0271|Chr1:142556681_142565170_-(Iqgap1);circRNA_0451|Chr1:200671013_200672411_-(Fgfr2);circRNA_1405|Chr11:69064518_69068514_-(Mylk);circRNA_1875|Chr13:100300002_100353039_-(Enah);circRNA_2158|Chr14:100058305_100066787_+(Egfr);circRNA_3379|Chr2:31816052_31816763_-(Pik3r1);circRNA_5406|Chr5:155702728_155709264_-(Cdc42);circRNA_5722|Chr6:91933750_91961861_-(Sos2);circRNA_5724|Chr6:91938501_91961861_-(Sos2);circRNA_5754|Chr6:103389817_103393554_-(Actn1);circRNA_5998|Chr7:51410270_51416139_-(Ppp1r12a);circRNA_6002|Chr7:51433839_51444422_-(Ppp1r12a);circRNA_6150|Chr7:114466514_114468769_-(Ptk2);circRNA_6155|Chr7:114555889_114562987_-(Ptk2);circRNA_6642|Chr8:117106575_117109692_+(Rhoa);circRNA_6643|Chr8:117109572_117114039_+(Rhoa);circRNA_6680|Chr8:127289436_127301219_+(Itga9);circRNA_6895|Chr9:67242046_67282025_+(Abi2);circRNA_6920|Chr9:71920586_71960153_+(Pikfyve);circRNA_7169|ChrX:99888053_99900275_+(Diaph2);</t>
  </si>
  <si>
    <t>circRNA_0380|Chr1:184008119_184017761_+(Pde3b);circRNA_0384|Chr1:184041764_184055555_+(Pde3b);circRNA_0696|Chr1:259412482_259459540_-(Sorbs1);circRNA_0697|Chr1:259421033_259437470_-(Sorbs1);circRNA_0703|Chr1:259434763_259479455_-(Sorbs1);circRNA_0715|Chr1:259479327_259488326_-(Sorbs1);circRNA_1368|Chr11:51049296_51068978_-(Cblb);circRNA_1369|Chr11:51057506_51068978_-(Cblb);circRNA_1857|Chr13:95120752_95128782_-(Akt3);circRNA_1858|Chr13:95167819_95196402_-(Akt3);circRNA_1859|Chr13:95167819_95208329_-(Akt3);circRNA_1861|Chr13:95193009_95208329_-(Akt3);circRNA_3126|Chr19:22113525_22128599_-(Phkb);circRNA_3379|Chr2:31816052_31816763_-(Pik3r1);circRNA_4518|Chr4:6866069_6869642_+(Rheb);circRNA_5722|Chr6:91933750_91961861_-(Sos2);circRNA_5724|Chr6:91938501_91961861_-(Sos2);</t>
  </si>
  <si>
    <t>circRNA_1236|Chr10:96264760_96266403_-(Prkca);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2212|Chr15:907065_977590_+(Kcnma1);circRNA_4864|Chr4:151118221_151124504_-(Cacna1c);circRNA_6597|Chr8:104192886_104202285_-(Atp1b3);</t>
  </si>
  <si>
    <t>circRNA_1212|Chr10:94292693_94314584_+(Map3k3);circRNA_1236|Chr10:96264760_96266403_-(Prkca);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3512|Chr2:113739689_113745181_+(Pld1);circRNA_3515|Chr2:113747182_113764892_+(Pld1);circRNA_4864|Chr4:151118221_151124504_-(Cacna1c);circRNA_5406|Chr5:155702728_155709264_-(Cdc42);circRNA_5722|Chr6:91933750_91961861_-(Sos2);circRNA_5724|Chr6:91938501_91961861_-(Sos2);circRNA_6215|Chr7:130113212_130116591_-(Mapk12);</t>
  </si>
  <si>
    <t>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</t>
  </si>
  <si>
    <t>circRNA_0380|Chr1:184008119_184017761_+(Pde3b);circRNA_0384|Chr1:184041764_184055555_+(Pde3b);circRNA_0661|Chr1:255685048_255694514_-(Cpeb3);circRNA_0663|Chr1:255727112_255764689_-(Cpeb3);circRNA_1397|Chr11:68722906_68725314_-(Adcy5);circRNA_1398|Chr11:68722906_68730129_-(Adcy5);circRNA_1399|Chr11:68745884_68750272_-(Adcy5);circRNA_1643|Chr12:39627016_39635912_-(Anapc7)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3379|Chr2:31816052_31816763_-(Pik3r1);circRNA_6215|Chr7:130113212_130116591_-(Mapk12);</t>
  </si>
  <si>
    <t>circRNA_1397|Chr11:68722906_68725314_-(Adcy5);circRNA_1398|Chr11:68722906_68730129_-(Adcy5);circRNA_1399|Chr11:68745884_68750272_-(Adcy5)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3379|Chr2:31816052_31816763_-(Pik3r1);circRNA_5722|Chr6:91933750_91961861_-(Sos2);circRNA_5724|Chr6:91938501_91961861_-(Sos2);</t>
  </si>
  <si>
    <t>circRNA_1236|Chr10:96264760_96266403_-(Prkca);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</t>
  </si>
  <si>
    <t>circRNA_1168|Chr10:85313576_85314836_+(Socs7);circRNA_1857|Chr13:95120752_95128782_-(Akt3);circRNA_1858|Chr13:95167819_95196402_-(Akt3);circRNA_1859|Chr13:95167819_95208329_-(Akt3);circRNA_1861|Chr13:95193009_95208329_-(Akt3);circRNA_3379|Chr2:31816052_31816763_-(Pik3r1);circRNA_3817|Chr2:240822115_240867796_-(Nfkb1);circRNA_5722|Chr6:91933750_91961861_-(Sos2);circRNA_5724|Chr6:91938501_91961861_-(Sos2);circRNA_6215|Chr7:130113212_130116591_-(Mapk12);</t>
  </si>
  <si>
    <t>circRNA_1236|Chr10:96264760_96266403_-(Prkca);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2559|Chr16:62222412_62226174_-(Gsr);circRNA_6597|Chr8:104192886_104202285_-(Atp1b3);</t>
  </si>
  <si>
    <t>circRNA_1236|Chr10:96264760_96266403_-(Prkca);circRNA_1857|Chr13:95120752_95128782_-(Akt3);circRNA_1858|Chr13:95167819_95196402_-(Akt3);circRNA_1859|Chr13:95167819_95208329_-(Akt3);circRNA_1861|Chr13:95193009_95208329_-(Akt3);circRNA_3379|Chr2:31816052_31816763_-(Pik3r1);circRNA_3701|Chr2:200243345_200253557_+(Notch2);circRNA_3998|Chr20:45189472_45193661_-(Slc16a10);circRNA_4518|Chr4:6866069_6869642_+(Rheb);circRNA_6597|Chr8:104192886_104202285_-(Atp1b3);</t>
  </si>
  <si>
    <t>circRNA_1857|Chr13:95120752_95128782_-(Akt3);circRNA_1858|Chr13:95167819_95196402_-(Akt3);circRNA_1859|Chr13:95167819_95208329_-(Akt3);circRNA_1861|Chr13:95193009_95208329_-(Akt3);circRNA_3817|Chr2:240822115_240867796_-(Nfkb1);circRNA_5249|Chr5:120609027_120616745_+(Lepr);</t>
  </si>
  <si>
    <t>circRNA_1236|Chr10:96264760_96266403_-(Prkca);circRNA_1397|Chr11:68722906_68725314_-(Adcy5);circRNA_1398|Chr11:68722906_68730129_-(Adcy5);circRNA_1399|Chr11:68745884_68750272_-(Adcy5);circRNA_1405|Chr11:69064518_69068514_-(Mylk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2337|Chr15:51925689_51954838_-(Ppp3cc);circRNA_3204|Chr19:38057557_38091369_+(Nfatc3);circRNA_4270|Chr3:104125824_104126822_-(Ryr3);circRNA_4272|Chr3:104155193_104159664_-(Ryr3);circRNA_4281|Chr3:104375097_104394775_-(Ryr3);circRNA_4282|Chr3:104385141_104430368_-(Ryr3);circRNA_4283|Chr3:104422849_104430368_-(Ryr3);circRNA_4864|Chr4:151118221_151124504_-(Cacna1c);circRNA_5998|Chr7:51410270_51416139_-(Ppp1r12a);circRNA_6002|Chr7:51433839_51444422_-(Ppp1r12a);circRNA_6438|Chr8:68089178_68154119_-(Map2k5);circRNA_6642|Chr8:117106575_117109692_+(Rhoa);circRNA_6643|Chr8:117109572_117114039_+(Rhoa);</t>
  </si>
  <si>
    <t>circRNA_0380|Chr1:184008119_184017761_+(Pde3b);circRNA_0384|Chr1:184041764_184055555_+(Pde3b);circRNA_1857|Chr13:95120752_95128782_-(Akt3);circRNA_1858|Chr13:95167819_95196402_-(Akt3);circRNA_1859|Chr13:95167819_95208329_-(Akt3);circRNA_1861|Chr13:95193009_95208329_-(Akt3);circRNA_2337|Chr15:51925689_51954838_-(Ppp3cc);circRNA_3126|Chr19:22113525_22128599_-(Phkb);</t>
  </si>
  <si>
    <t>circRNA_0380|Chr1:184008119_184017761_+(Pde3b);circRNA_0384|Chr1:184041764_184055555_+(Pde3b);circRNA_1397|Chr11:68722906_68725314_-(Adcy5);circRNA_1398|Chr11:68722906_68730129_-(Adcy5);circRNA_1399|Chr11:68745884_68750272_-(Adcy5)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3379|Chr2:31816052_31816763_-(Pik3r1);</t>
  </si>
  <si>
    <t>circRNA_0380|Chr1:184008119_184017761_+(Pde3b);circRNA_0384|Chr1:184041764_184055555_+(Pde3b);circRNA_1397|Chr11:68722906_68725314_-(Adcy5);circRNA_1398|Chr11:68722906_68730129_-(Adcy5);circRNA_1399|Chr11:68745884_68750272_-(Adcy5);circRNA_2212|Chr15:907065_977590_+(Kcnma1);circRNA_2337|Chr15:51925689_51954838_-(Ppp3cc);circRNA_4864|Chr4:151118221_151124504_-(Cacna1c);</t>
  </si>
  <si>
    <t>circRNA_1236|Chr10:96264760_96266403_-(Prkca);circRNA_1397|Chr11:68722906_68725314_-(Adcy5);circRNA_1398|Chr11:68722906_68730129_-(Adcy5);circRNA_1399|Chr11:68745884_68750272_-(Adcy5);circRNA_1725|Chr13:50150091_50150276_-(Atp2b4);circRNA_2141|Chr14:87328008_87331877_+(Adcy1);circRNA_2142|Chr14:87328008_87357732_+(Adcy1);circRNA_2143|Chr14:87328008_87377952_+(Adcy1);circRNA_2144|Chr14:87331763_87357732_+(Adcy1);circRNA_2145|Chr14:87350088_87357732_+(Adcy1);circRNA_4864|Chr4:151118221_151124504_-(Cacna1c);circRNA_5664|Chr6:71078256_71089829_-(Prkd1);circRNA_6597|Chr8:104192886_104202285_-(Atp1b3);</t>
  </si>
  <si>
    <t>circRNA_0650|Chr1:252537894_252539495_+(Acta2);circRNA_1155|Chr10:82756914_82757163_+(Col1a1);circRNA_1236|Chr10:96264760_96266403_-(Prkca);circRNA_1397|Chr11:68722906_68725314_-(Adcy5);circRNA_1398|Chr11:68722906_68730129_-(Adcy5);circRNA_1399|Chr11:68745884_68750272_-(Adcy5)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3059|Chr18:72593000_72611211_+(Smad2);circRNA_3379|Chr2:31816052_31816763_-(Pik3r1);circRNA_3817|Chr2:240822115_240867796_-(Nfkb1);circRNA_5722|Chr6:91933750_91961861_-(Sos2);circRNA_5724|Chr6:91938501_91961861_-(Sos2);circRNA_6215|Chr7:130113212_130116591_-(Mapk12);</t>
  </si>
  <si>
    <t>circRNA_0277|Chr1:143107055_143109260_+(Pde8a);circRNA_0279|Chr1:143143055_143143524_+(Pde8a);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4864|Chr4:151118221_151124504_-(Cacna1c);</t>
  </si>
  <si>
    <t>circRNA_3140|Chr19:25721379_25722171_+(Cacna1a);circRNA_3379|Chr2:31816052_31816763_-(Pik3r1);circRNA_4864|Chr4:151118221_151124504_-(Cacna1c);</t>
  </si>
  <si>
    <t>circRNA_0645|Chr1:251455609_251463748_+(Pten);circRNA_1857|Chr13:95120752_95128782_-(Akt3);circRNA_1858|Chr13:95167819_95196402_-(Akt3);circRNA_1859|Chr13:95167819_95208329_-(Akt3);circRNA_1861|Chr13:95193009_95208329_-(Akt3);circRNA_3379|Chr2:31816052_31816763_-(Pik3r1);circRNA_3817|Chr2:240822115_240867796_-(Nfkb1);</t>
  </si>
  <si>
    <t>circRNA_1857|Chr13:95120752_95128782_-(Akt3);circRNA_1858|Chr13:95167819_95196402_-(Akt3);circRNA_1859|Chr13:95167819_95208329_-(Akt3);circRNA_1861|Chr13:95193009_95208329_-(Akt3);circRNA_3379|Chr2:31816052_31816763_-(Pik3r1);circRNA_3817|Chr2:240822115_240867796_-(Nfkb1);circRNA_4426|Chr3:150692740_150696569_+(Itch);circRNA_4430|Chr3:150717267_150734719_+(Itch);circRNA_5249|Chr5:120609027_120616745_+(Lepr);circRNA_5406|Chr5:155702728_155709264_-(Cdc42);</t>
  </si>
  <si>
    <t>circRNA_1155|Chr10:82756914_82757163_+(Col1a1);circRNA_1236|Chr10:96264760_96266403_-(Prkca);circRNA_1857|Chr13:95120752_95128782_-(Akt3);circRNA_1858|Chr13:95167819_95196402_-(Akt3);circRNA_1859|Chr13:95167819_95208329_-(Akt3);circRNA_1861|Chr13:95193009_95208329_-(Akt3);circRNA_3031|Chr18:69634006_69647714_-(Smad4);circRNA_3037|Chr18:69654505_69657373_-(Smad4);circRNA_3059|Chr18:72593000_72611211_+(Smad2);circRNA_3379|Chr2:31816052_31816763_-(Pik3r1);circRNA_3817|Chr2:240822115_240867796_-(Nfkb1);circRNA_5406|Chr5:155702728_155709264_-(Cdc42);circRNA_6215|Chr7:130113212_130116591_-(Mapk12);</t>
  </si>
  <si>
    <t>circRNA_0277|Chr1:143107055_143109260_+(Pde8a);circRNA_0279|Chr1:143143055_143143524_+(Pde8a);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2352|Chr15:55151603_55154467_-(Rb1);circRNA_4864|Chr4:151118221_151124504_-(Cacna1c);circRNA_6349|Chr8:49140247_49141428_-(Kmt2a);</t>
  </si>
  <si>
    <t>circRNA_1236|Chr10:96264760_96266403_-(Prkca);circRNA_3007|Chr18:60691028_60702777_+(Nedd4l);circRNA_3379|Chr2:31816052_31816763_-(Pik3r1);circRNA_6597|Chr8:104192886_104202285_-(Atp1b3);</t>
  </si>
  <si>
    <t>circRNA_0503|Chr1:214562895_214581660_+(Ap2a2);circRNA_1236|Chr10:96264760_96266403_-(Prkca);circRNA_5502|Chr6:4259110_4315062_-(Slc8a1);circRNA_5503|Chr6:4278307_4315062_-(Slc8a1);circRNA_5504|Chr6:4298605_4315062_-(Slc8a1);circRNA_6293|Chr8:22509215_22513080_+(Dnm2);circRNA_6597|Chr8:104192886_104202285_-(Atp1b3);</t>
  </si>
  <si>
    <t>circRNA_6597|Chr8:104192886_104202285_-(Atp1b3);circRNA_6847|Chr9:54232163_54248877_+(Gls);</t>
  </si>
  <si>
    <t>circRNA_1236|Chr10:96264760_96266403_-(Prkca);circRNA_1397|Chr11:68722906_68725314_-(Adcy5);circRNA_1398|Chr11:68722906_68730129_-(Adcy5);circRNA_1399|Chr11:68745884_68750272_-(Adcy5);circRNA_1725|Chr13:50150091_50150276_-(Atp2b4);circRNA_2141|Chr14:87328008_87331877_+(Adcy1);circRNA_2142|Chr14:87328008_87357732_+(Adcy1);circRNA_2143|Chr14:87328008_87377952_+(Adcy1);circRNA_2144|Chr14:87331763_87357732_+(Adcy1);circRNA_2145|Chr14:87350088_87357732_+(Adcy1);circRNA_2212|Chr15:907065_977590_+(Kcnma1);circRNA_4270|Chr3:104125824_104126822_-(Ryr3);circRNA_4272|Chr3:104155193_104159664_-(Ryr3);circRNA_4281|Chr3:104375097_104394775_-(Ryr3);circRNA_4282|Chr3:104385141_104430368_-(Ryr3);circRNA_4283|Chr3:104422849_104430368_-(Ryr3);circRNA_6597|Chr8:104192886_104202285_-(Atp1b3);</t>
  </si>
  <si>
    <t>circRNA_1236|Chr10:96264760_96266403_-(Prkca);circRNA_1397|Chr11:68722906_68725314_-(Adcy5);circRNA_1398|Chr11:68722906_68730129_-(Adcy5);circRNA_1399|Chr11:68745884_68750272_-(Adcy5);circRNA_1405|Chr11:69064518_69068514_-(Mylk);circRNA_2141|Chr14:87328008_87331877_+(Adcy1);circRNA_2142|Chr14:87328008_87357732_+(Adcy1);circRNA_2143|Chr14:87328008_87377952_+(Adcy1);circRNA_2144|Chr14:87331763_87357732_+(Adcy1);circRNA_2145|Chr14:87350088_87357732_+(Adcy1);circRNA_6597|Chr8:104192886_104202285_-(Atp1b3);</t>
  </si>
  <si>
    <t>circRNA_1236|Chr10:96264760_96266403_-(Prkca);circRNA_1397|Chr11:68722906_68725314_-(Adcy5);circRNA_1398|Chr11:68722906_68730129_-(Adcy5);circRNA_1399|Chr11:68745884_68750272_-(Adcy5);circRNA_1725|Chr13:50150091_50150276_-(Atp2b4);circRNA_2141|Chr14:87328008_87331877_+(Adcy1);circRNA_2142|Chr14:87328008_87357732_+(Adcy1);circRNA_2143|Chr14:87328008_87377952_+(Adcy1);circRNA_2144|Chr14:87331763_87357732_+(Adcy1);circRNA_2145|Chr14:87350088_87357732_+(Adcy1);circRNA_2212|Chr15:907065_977590_+(Kcnma1);circRNA_6597|Chr8:104192886_104202285_-(Atp1b3);circRNA_6642|Chr8:117106575_117109692_+(Rhoa);circRNA_6643|Chr8:117109572_117114039_+(Rhoa);</t>
  </si>
  <si>
    <t>circRNA_1857|Chr13:95120752_95128782_-(Akt3);circRNA_1858|Chr13:95167819_95196402_-(Akt3);circRNA_1859|Chr13:95167819_95208329_-(Akt3);circRNA_1861|Chr13:95193009_95208329_-(Akt3);circRNA_3379|Chr2:31816052_31816763_-(Pik3r1);circRNA_6597|Chr8:104192886_104202285_-(Atp1b3);</t>
  </si>
  <si>
    <t>circRNA_1155|Chr10:82756914_82757163_+(Col1a1);circRNA_2270|Chr15:33015618_33017521_-(Slc7a7);circRNA_3998|Chr20:45189472_45193661_-(Slc16a10);circRNA_5502|Chr6:4259110_4315062_-(Slc8a1);circRNA_5503|Chr6:4278307_4315062_-(Slc8a1);circRNA_5504|Chr6:4298605_4315062_-(Slc8a1);circRNA_6597|Chr8:104192886_104202285_-(Atp1b3);</t>
  </si>
  <si>
    <t>circRNA_1397|Chr11:68722906_68725314_-(Adcy5);circRNA_1398|Chr11:68722906_68730129_-(Adcy5);circRNA_1399|Chr11:68745884_68750272_-(Adcy5);circRNA_2141|Chr14:87328008_87331877_+(Adcy1);circRNA_2142|Chr14:87328008_87357732_+(Adcy1);circRNA_2143|Chr14:87328008_87377952_+(Adcy1);circRNA_2144|Chr14:87331763_87357732_+(Adcy1);circRNA_2145|Chr14:87350088_87357732_+(Adcy1);circRNA_6597|Chr8:104192886_104202285_-(Atp1b3);</t>
  </si>
  <si>
    <t>circRNA_5502|Chr6:4259110_4315062_-(Slc8a1);circRNA_5503|Chr6:4278307_4315062_-(Slc8a1);circRNA_5504|Chr6:4298605_4315062_-(Slc8a1);circRNA_6597|Chr8:104192886_104202285_-(Atp1b3);</t>
  </si>
  <si>
    <t>circRNA_0666|Chr1:255931357_255935277_-(Ide);circRNA_0671|Chr1:255970949_255976428_-(Ide);circRNA_0839|Chr10:5930383_5930975_+(Grin2a);circRNA_1299|Chr11:24479964_24512332_-(App);circRNA_1301|Chr11:24527899_24550752_-(App);circRNA_1302|Chr11:24547990_24550752_-(App);circRNA_2337|Chr15:51925689_51954838_-(Ppp3cc);circRNA_4270|Chr3:104125824_104126822_-(Ryr3);circRNA_4272|Chr3:104155193_104159664_-(Ryr3);circRNA_4281|Chr3:104375097_104394775_-(Ryr3);circRNA_4282|Chr3:104385141_104430368_-(Ryr3);circRNA_4283|Chr3:104422849_104430368_-(Ryr3);circRNA_4864|Chr4:151118221_151124504_-(Cacna1c);</t>
  </si>
  <si>
    <t>circRNA_0999|Chr10:59192184_59239990_+(Ube2g1);circRNA_1397|Chr11:68722906_68725314_-(Adcy5);circRNA_1398|Chr11:68722906_68730129_-(Adcy5);circRNA_1399|Chr11:68745884_68750272_-(Adcy5);circRNA_6222|Chr7:132867046_132873732_+(Lrrk2);circRNA_7064|ChrX:1729687_1730287_-(Uba1);</t>
  </si>
  <si>
    <t>circRNA_0839|Chr10:5930383_5930975_+(Grin2a);circRNA_2337|Chr15:51925689_51954838_-(Ppp3cc);circRNA_6215|Chr7:130113212_130116591_-(Mapk12);</t>
  </si>
  <si>
    <t>circRNA_0503|Chr1:214562895_214581660_+(Ap2a2);circRNA_2866|Chr18:6218154_6233603_+(Taf4b);circRNA_2869|Chr18:6249297_6279570_+(Taf4b);circRNA_4633|Chr4:57387152_57396104_+(Nrf1);circRNA_4768|Chr4:114879427_114880228_+(Dctn1);circRNA_4845|Chr4:147295666_147361944_+(Pparg);circRNA_5771|Chr6:107620059_107621884_+(Dnal1);circRNA_5881|Chr6:135533315_135544421_+(Rcor1);</t>
  </si>
  <si>
    <t>circRNA_0839|Chr10:5930383_5930975_+(Grin2a);circRNA_1397|Chr11:68722906_68725314_-(Adcy5);circRNA_1398|Chr11:68722906_68730129_-(Adcy5);circRNA_1399|Chr11:68745884_68750272_-(Adcy5);circRNA_3817|Chr2:240822115_240867796_-(Nfkb1);</t>
  </si>
  <si>
    <t>circRNA_0839|Chr10:5930383_5930975_+(Grin2a);circRNA_1236|Chr10:96264760_96266403_-(Prkca);circRNA_1397|Chr11:68722906_68725314_-(Adcy5);circRNA_1398|Chr11:68722906_68730129_-(Adcy5);circRNA_1399|Chr11:68745884_68750272_-(Adcy5);circRNA_2337|Chr15:51925689_51954838_-(Ppp3cc);circRNA_4864|Chr4:151118221_151124504_-(Cacna1c);</t>
  </si>
  <si>
    <t>circRNA_0277|Chr1:143107055_143109260_+(Pde8a);circRNA_0279|Chr1:143143055_143143524_+(Pde8a);circRNA_0380|Chr1:184008119_184017761_+(Pde3b);circRNA_0384|Chr1:184041764_184055555_+(Pde3b);circRNA_1236|Chr10:96264760_96266403_-(Prkca);circRNA_1397|Chr11:68722906_68725314_-(Adcy5);circRNA_1398|Chr11:68722906_68730129_-(Adcy5);circRNA_1399|Chr11:68745884_68750272_-(Adcy5);circRNA_2096|Chr14:81267948_81280976_-(Grk4);circRNA_2097|Chr14:81278563_81280976_-(Grk4);circRNA_2141|Chr14:87328008_87331877_+(Adcy1);circRNA_2142|Chr14:87328008_87357732_+(Adcy1);circRNA_2143|Chr14:87328008_87377952_+(Adcy1);circRNA_2144|Chr14:87331763_87357732_+(Adcy1);circRNA_2145|Chr14:87350088_87357732_+(Adcy1);circRNA_3140|Chr19:25721379_25722171_+(Cacna1a);</t>
  </si>
  <si>
    <t>circRNA_0839|Chr10:5930383_5930975_+(Grin2a);circRNA_1397|Chr11:68722906_68725314_-(Adcy5);circRNA_1398|Chr11:68722906_68730129_-(Adcy5);circRNA_1399|Chr11:68745884_68750272_-(Adcy5);circRNA_5722|Chr6:91933750_91961861_-(Sos2);circRNA_5724|Chr6:91938501_91961861_-(Sos2);</t>
  </si>
  <si>
    <t>circRNA_3149|Chr19:30869716_30870010_+(Gab1);circRNA_3150|Chr19:30869716_30883569_+(Gab1);circRNA_3172|Chr19:34207716_34207946_+(Arhgap10);circRNA_3177|Chr19:34239430_34241861_+(Arhgap10);circRNA_3179|Chr19:34249087_34272145_+(Arhgap10);circRNA_3180|Chr19:34249087_34272192_+(Arhgap10);circRNA_3182|Chr19:34266719_34272192_+(Arhgap10);circRNA_3183|Chr19:34270069_34298610_+(Arhgap10);circRNA_3187|Chr19:34292209_34312530_+(Arhgap10);circRNA_3379|Chr2:31816052_31816763_-(Pik3r1);circRNA_5406|Chr5:155702728_155709264_-(Cdc42);circRNA_6150|Chr7:114466514_114468769_-(Ptk2);circRNA_6155|Chr7:114555889_114562987_-(Ptk2);circRNA_6293|Chr8:22509215_22513080_+(Dnm2);circRNA_6642|Chr8:117106575_117109692_+(Rhoa);circRNA_6643|Chr8:117109572_117114039_+(Rhoa);circRNA_6757|Chr9:20817077_20839897_+(Cd2ap);circRNA_6758|Chr9:20817077_20849380_+(Cd2ap);circRNA_6760|Chr9:20826561_20849380_+(Cd2ap);</t>
  </si>
  <si>
    <t>circRNA_3817|Chr2:240822115_240867796_-(Nfkb1);circRNA_5406|Chr5:155702728_155709264_-(Cdc42);circRNA_5896|Chr6:136348651_136358127_+(Klc1);circRNA_6215|Chr7:130113212_130116591_-(Mapk12);circRNA_7233|ChrX:156468826_156469166_+(Flna);</t>
  </si>
  <si>
    <t>circRNA_3817|Chr2:240822115_240867796_-(Nfkb1);circRNA_6215|Chr7:130113212_130116591_-(Mapk12);circRNA_6642|Chr8:117106575_117109692_+(Rhoa);circRNA_6643|Chr8:117109572_117114039_+(Rhoa);</t>
  </si>
  <si>
    <t>circRNA_0041|Chr1:16859047_16879498_+(Hbs1l);circRNA_3817|Chr2:240822115_240867796_-(Nfkb1);</t>
  </si>
  <si>
    <t>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3059|Chr18:72593000_72611211_+(Smad2);circRNA_3379|Chr2:31816052_31816763_-(Pik3r1);circRNA_3817|Chr2:240822115_240867796_-(Nfkb1);circRNA_6215|Chr7:130113212_130116591_-(Mapk12);</t>
  </si>
  <si>
    <t>circRNA_0869|Chr10:15577563_15603016_-(Hba-a1);circRNA_1236|Chr10:96264760_96266403_-(Prkca);</t>
  </si>
  <si>
    <t>circRNA_0869|Chr10:15577563_15603016_-(Hba-a1);</t>
  </si>
  <si>
    <t>circRNA_1857|Chr13:95120752_95128782_-(Akt3);circRNA_1858|Chr13:95167819_95196402_-(Akt3);circRNA_1859|Chr13:95167819_95208329_-(Akt3);circRNA_1861|Chr13:95193009_95208329_-(Akt3);circRNA_3817|Chr2:240822115_240867796_-(Nfkb1);circRNA_6215|Chr7:130113212_130116591_-(Mapk12);circRNA_6271|Chr8:6014617_6023899_-(Birc2);</t>
  </si>
  <si>
    <t>circRNA_1155|Chr10:82756914_82757163_+(Col1a1);circRNA_1236|Chr10:96264760_96266403_-(Prkca);circRNA_2141|Chr14:87328008_87331877_+(Adcy1);circRNA_2142|Chr14:87328008_87357732_+(Adcy1);circRNA_2143|Chr14:87328008_87377952_+(Adcy1);circRNA_2144|Chr14:87331763_87357732_+(Adcy1);circRNA_2145|Chr14:87350088_87357732_+(Adcy1);circRNA_3379|Chr2:31816052_31816763_-(Pik3r1);circRNA_3817|Chr2:240822115_240867796_-(Nfkb1);circRNA_5754|Chr6:103389817_103393554_-(Actn1);circRNA_6150|Chr7:114466514_114468769_-(Ptk2);circRNA_6155|Chr7:114555889_114562987_-(Ptk2);</t>
  </si>
  <si>
    <t>circRNA_1857|Chr13:95120752_95128782_-(Akt3);circRNA_1858|Chr13:95167819_95196402_-(Akt3);circRNA_1859|Chr13:95167819_95208329_-(Akt3);circRNA_1861|Chr13:95193009_95208329_-(Akt3);circRNA_2337|Chr15:51925689_51954838_-(Ppp3cc);circRNA_3817|Chr2:240822115_240867796_-(Nfkb1);circRNA_4147|Chr3:46525736_46528994_-(Pla2r1);circRNA_6215|Chr7:130113212_130116591_-(Mapk12);circRNA_6642|Chr8:117106575_117109692_+(Rhoa);circRNA_6643|Chr8:117109572_117114039_+(Rhoa);</t>
  </si>
  <si>
    <t>circRNA_1857|Chr13:95120752_95128782_-(Akt3);circRNA_1858|Chr13:95167819_95196402_-(Akt3);circRNA_1859|Chr13:95167819_95208329_-(Akt3);circRNA_1861|Chr13:95193009_95208329_-(Akt3);circRNA_2158|Chr14:100058305_100066787_+(Egfr);circRNA_3379|Chr2:31816052_31816763_-(Pik3r1);circRNA_3817|Chr2:240822115_240867796_-(Nfkb1);circRNA_5722|Chr6:91933750_91961861_-(Sos2);circRNA_5724|Chr6:91938501_91961861_-(Sos2);circRNA_6215|Chr7:130113212_130116591_-(Mapk12);circRNA_6433|Chr8:67801800_67812158_-(Pias1);</t>
  </si>
  <si>
    <t>circRNA_0645|Chr1:251455609_251463748_+(Pten);circRNA_1236|Chr10:96264760_96266403_-(Prkca);circRNA_1857|Chr13:95120752_95128782_-(Akt3);circRNA_1858|Chr13:95167819_95196402_-(Akt3);circRNA_1859|Chr13:95167819_95208329_-(Akt3);circRNA_1861|Chr13:95193009_95208329_-(Akt3);circRNA_2352|Chr15:55151603_55154467_-(Rb1);circRNA_3031|Chr18:69634006_69647714_-(Smad4);circRNA_3037|Chr18:69654505_69657373_-(Smad4);circRNA_3204|Chr19:38057557_38091369_+(Nfatc3);circRNA_3379|Chr2:31816052_31816763_-(Pik3r1);circRNA_3817|Chr2:240822115_240867796_-(Nfkb1);</t>
  </si>
  <si>
    <t>circRNA_1368|Chr11:51049296_51068978_-(Cblb);circRNA_1369|Chr11:51057506_51068978_-(Cblb);circRNA_1857|Chr13:95120752_95128782_-(Akt3);circRNA_1858|Chr13:95167819_95196402_-(Akt3);circRNA_1859|Chr13:95167819_95208329_-(Akt3);circRNA_1861|Chr13:95193009_95208329_-(Akt3);circRNA_3379|Chr2:31816052_31816763_-(Pik3r1);circRNA_3817|Chr2:240822115_240867796_-(Nfkb1);</t>
  </si>
  <si>
    <t>circRNA_1236|Chr10:96264760_96266403_-(Prkca);circRNA_1857|Chr13:95120752_95128782_-(Akt3);circRNA_1858|Chr13:95167819_95196402_-(Akt3);circRNA_1859|Chr13:95167819_95208329_-(Akt3);circRNA_1861|Chr13:95193009_95208329_-(Akt3);circRNA_3379|Chr2:31816052_31816763_-(Pik3r1);circRNA_3817|Chr2:240822115_240867796_-(Nfkb1);circRNA_6215|Chr7:130113212_130116591_-(Mapk12);</t>
  </si>
  <si>
    <t>circRNA_0216|Chr1:116643750_116660509_+(Ube3a);circRNA_0645|Chr1:251455609_251463748_+(Pten);circRNA_1155|Chr10:82756914_82757163_+(Col1a1);circRNA_1857|Chr13:95120752_95128782_-(Akt3);circRNA_1858|Chr13:95167819_95196402_-(Akt3);circRNA_1859|Chr13:95167819_95208329_-(Akt3);circRNA_1861|Chr13:95193009_95208329_-(Akt3);circRNA_2158|Chr14:100058305_100066787_+(Egfr);circRNA_2352|Chr15:55151603_55154467_-(Rb1);circRNA_3280|Chr19:60370736_60429996_+(Pard3);circRNA_3379|Chr2:31816052_31816763_-(Pik3r1);circRNA_3569|Chr2:141024600_141026192_-(Maml3);circRNA_3701|Chr2:200243345_200253557_+(Notch2);circRNA_3817|Chr2:240822115_240867796_-(Nfkb1);circRNA_3872|Chr20:3232306_3273815_+(RT1-T24-3);circRNA_4518|Chr4:6866069_6869642_+(Rheb);circRNA_4814|Chr4:125762257_125789911_-(Magi1);circRNA_5406|Chr5:155702728_155709264_-(Cdc42);circRNA_5722|Chr6:91933750_91961861_-(Sos2);circRNA_5724|Chr6:91938501_91961861_-(Sos2);circRNA_6150|Chr7:114466514_114468769_-(Ptk2);circRNA_6155|Chr7:114555889_114562987_-(Ptk2);circRNA_6680|Chr8:127289436_127301219_+(Itga9);</t>
  </si>
  <si>
    <t>circRNA_1212|Chr10:94292693_94314584_+(Map3k3);circRNA_1397|Chr11:68722906_68725314_-(Adcy5);circRNA_1398|Chr11:68722906_68730129_-(Adcy5);circRNA_1399|Chr11:68745884_68750272_-(Adcy5);circRNA_1643|Chr12:39627016_39635912_-(Anapc7)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2337|Chr15:51925689_51954838_-(Ppp3cc);circRNA_2352|Chr15:55151603_55154467_-(Rb1);circRNA_3031|Chr18:69634006_69647714_-(Smad4);circRNA_3037|Chr18:69654505_69657373_-(Smad4);circRNA_3059|Chr18:72593000_72611211_+(Smad2);circRNA_3204|Chr19:38057557_38091369_+(Nfatc3);circRNA_3379|Chr2:31816052_31816763_-(Pik3r1);circRNA_3817|Chr2:240822115_240867796_-(Nfkb1);circRNA_3872|Chr20:3232306_3273815_+(RT1-T24-3);circRNA_6492|Chr8:73183720_73192779_-(Tln2);circRNA_6721|Chr9:10347615_10349027_-(Ranbp3);</t>
  </si>
  <si>
    <t>circRNA_1857|Chr13:95120752_95128782_-(Akt3);circRNA_1858|Chr13:95167819_95196402_-(Akt3);circRNA_1859|Chr13:95167819_95208329_-(Akt3);circRNA_1861|Chr13:95193009_95208329_-(Akt3);circRNA_2337|Chr15:51925689_51954838_-(Ppp3cc);circRNA_2352|Chr15:55151603_55154467_-(Rb1);circRNA_3204|Chr19:38057557_38091369_+(Nfatc3);circRNA_3379|Chr2:31816052_31816763_-(Pik3r1);circRNA_3817|Chr2:240822115_240867796_-(Nfkb1);circRNA_3872|Chr20:3232306_3273815_+(RT1-T24-3);circRNA_6215|Chr7:130113212_130116591_-(Mapk12);</t>
  </si>
  <si>
    <t>circRNA_1119|Chr10:75337353_75340473_+(Srsf1);circRNA_1593|Chr12:25431710_25435591_+(Gtf2i);circRNA_1594|Chr12:25442325_25447480_+(Gtf2i);circRNA_1596|Chr12:25442325_25454041_+(Gtf2i);circRNA_2866|Chr18:6218154_6233603_+(Taf4b);circRNA_2869|Chr18:6249297_6279570_+(Taf4b);circRNA_3817|Chr2:240822115_240867796_-(Nfkb1);circRNA_3872|Chr20:3232306_3273815_+(RT1-T24-3);</t>
  </si>
  <si>
    <t>circRNA_1857|Chr13:95120752_95128782_-(Akt3);circRNA_1858|Chr13:95167819_95196402_-(Akt3);circRNA_1859|Chr13:95167819_95208329_-(Akt3);circRNA_1861|Chr13:95193009_95208329_-(Akt3);circRNA_2352|Chr15:55151603_55154467_-(Rb1);circRNA_3379|Chr2:31816052_31816763_-(Pik3r1);circRNA_3817|Chr2:240822115_240867796_-(Nfkb1);circRNA_3872|Chr20:3232306_3273815_+(RT1-T24-3);circRNA_6215|Chr7:130113212_130116591_-(Mapk12);</t>
  </si>
  <si>
    <t>circRNA_0451|Chr1:200671013_200672411_-(Fgfr2);circRNA_0645|Chr1:251455609_251463748_+(Pten);circRNA_1236|Chr10:96264760_96266403_-(Prkca);circRNA_1397|Chr11:68722906_68725314_-(Adcy5);circRNA_1398|Chr11:68722906_68730129_-(Adcy5);circRNA_1399|Chr11:68745884_68750272_-(Adcy5);circRNA_1857|Chr13:95120752_95128782_-(Akt3);circRNA_1858|Chr13:95167819_95196402_-(Akt3);circRNA_1859|Chr13:95167819_95208329_-(Akt3);circRNA_1861|Chr13:95193009_95208329_-(Akt3);circRNA_2141|Chr14:87328008_87331877_+(Adcy1);circRNA_2142|Chr14:87328008_87357732_+(Adcy1);circRNA_2143|Chr14:87328008_87377952_+(Adcy1);circRNA_2144|Chr14:87331763_87357732_+(Adcy1);circRNA_2145|Chr14:87350088_87357732_+(Adcy1);circRNA_2158|Chr14:100058305_100066787_+(Egfr);circRNA_2352|Chr15:55151603_55154467_-(Rb1);circRNA_2441|Chr16:2578902_2581762_-(Appl1);circRNA_2605|Chr17:1057871_1065593_-(Ptch1);circRNA_2720|Chr17:52477332_52555114_-(Gli3);circRNA_3031|Chr18:69634006_69647714_-(Smad4);circRNA_3037|Chr18:69654505_69657373_-(Smad4);circRNA_3059|Chr18:72593000_72611211_+(Smad2);circRNA_3379|Chr2:31816052_31816763_-(Pik3r1);circRNA_3633|Chr2:187048486_187051162_+(Arhgef11);circRNA_3701|Chr2:200243345_200253557_+(Notch2);circRNA_3817|Chr2:240822115_240867796_-(Nfkb1);circRNA_4845|Chr4:147295666_147361944_+(Pparg);circRNA_4917|Chr4:168213382_168221653_-(Lrp6);circRNA_4921|Chr4:168260038_168267184_-(Lrp6);circRNA_5406|Chr5:155702728_155709264_-(Cdc42);circRNA_5508|Chr6:6627343_6668794_+(Eml4);circRNA_5722|Chr6:91933750_91961861_-(Sos2);circRNA_5724|Chr6:91938501_91961861_-(Sos2);circRNA_5802|Chr6:124596541_124629605_-(Rps6ka5);circRNA_5807|Chr6:124651885_124652103_-(Rps6ka5);circRNA_5808|Chr6:124651885_124677509_-(Rps6ka5);circRNA_6150|Chr7:114466514_114468769_-(Ptk2);circRNA_6155|Chr7:114555889_114562987_-(Ptk2);circRNA_6271|Chr8:6014617_6023899_-(Birc2);circRNA_6642|Chr8:117106575_117109692_+(Rhoa);circRNA_6643|Chr8:117109572_117114039_+(Rhoa);</t>
  </si>
  <si>
    <t>circRNA_1969|Chr14:14174786_14192047_-(Bmp2k);circRNA_3817|Chr2:240822115_240867796_-(Nfkb1);circRNA_4845|Chr4:147295666_147361944_+(Pparg);circRNA_4977|Chr5:4408215_4469629_+(Eya1);circRNA_4979|Chr5:4424816_4449569_+(Eya1);circRNA_4980|Chr5:4424816_4469629_+(Eya1);circRNA_5747|Chr6:100396828_100397255_+(Fut8);circRNA_6150|Chr7:114466514_114468769_-(Ptk2);circRNA_6155|Chr7:114555889_114562987_-(Ptk2);circRNA_6349|Chr8:49140247_49141428_-(Kmt2a);circRNA_6751|Chr9:18319246_18334707_-(Supt3h);circRNA_7067|ChrX:4856245_4898806_-(NEWGENE_1565481);circRNA_7069|ChrX:4876505_4898806_-(NEWGENE_1565481);circRNA_7070|ChrX:4885740_4898806_-(NEWGENE_1565481);circRNA_7074|ChrX:13262784_13279026_-(Tspan7);</t>
  </si>
  <si>
    <t>circRNA_0216|Chr1:116643750_116660509_+(Ube3a);circRNA_2352|Chr15:55151603_55154467_-(Rb1);circRNA_3379|Chr2:31816052_31816763_-(Pik3r1);circRNA_3817|Chr2:240822115_240867796_-(Nfkb1);circRNA_3872|Chr20:3232306_3273815_+(RT1-T24-3);circRNA_5406|Chr5:155702728_155709264_-(Cdc42);circRNA_5754|Chr6:103389817_103393554_-(Actn1);circRNA_6642|Chr8:117106575_117109692_+(Rhoa);circRNA_6643|Chr8:117109572_117114039_+(Rhoa);</t>
  </si>
  <si>
    <t>circRNA_0271|Chr1:142556681_142565170_-(Iqgap1);circRNA_0725|Chr1:262151915_262176067_-(Hpse2);circRNA_0726|Chr1:262786087_262811422_-(Hpse2);circRNA_0758|Chr1:274628955_274647456_+(Pdcd4);circRNA_1236|Chr10:96264760_96266403_-(Prkca);circRNA_1857|Chr13:95120752_95128782_-(Akt3);circRNA_1858|Chr13:95167819_95196402_-(Akt3);circRNA_1859|Chr13:95167819_95208329_-(Akt3);circRNA_1861|Chr13:95193009_95208329_-(Akt3);circRNA_2158|Chr14:100058305_100066787_+(Egfr);circRNA_2605|Chr17:1057871_1065593_-(Ptch1);circRNA_3059|Chr18:72593000_72611211_+(Smad2);circRNA_3149|Chr19:30869716_30870010_+(Gab1);circRNA_3150|Chr19:30869716_30883569_+(Gab1);circRNA_3379|Chr2:31816052_31816763_-(Pik3r1);circRNA_3797|Chr2:231383147_231409493_-(Ank2);circRNA_5406|Chr5:155702728_155709264_-(Cdc42);circRNA_5722|Chr6:91933750_91961861_-(Sos2);circRNA_5724|Chr6:91938501_91961861_-(Sos2);circRNA_5998|Chr7:51410270_51416139_-(Ppp1r12a);circRNA_6002|Chr7:51433839_51444422_-(Ppp1r12a);circRNA_6150|Chr7:114466514_114468769_-(Ptk2);circRNA_6155|Chr7:114555889_114562987_-(Ptk2);circRNA_6215|Chr7:130113212_130116591_-(Mapk12);circRNA_6642|Chr8:117106575_117109692_+(Rhoa);circRNA_6643|Chr8:117109572_117114039_+(Rhoa);circRNA_7233|ChrX:156468826_156469166_+(Flna);</t>
  </si>
  <si>
    <t>circRNA_0645|Chr1:251455609_251463748_+(Pten);circRNA_0758|Chr1:274628955_274647456_+(Pdcd4);circRNA_1236|Chr10:96264760_96266403_-(Prkca);circRNA_2158|Chr14:100058305_100066787_+(Egfr);circRNA_3701|Chr2:200243345_200253557_+(Notch2);circRNA_3817|Chr2:240822115_240867796_-(Nfkb1);circRNA_5043|Chr5:31700609_31739695_+(Mmp16);circRNA_5595|Chr6:28272106_28272697_+(Dnmt3a);circRNA_5722|Chr6:91933750_91961861_-(Sos2);circRNA_5724|Chr6:91938501_91961861_-(Sos2);circRNA_5802|Chr6:124596541_124629605_-(Rps6ka5);circRNA_5807|Chr6:124651885_124652103_-(Rps6ka5);circRNA_5808|Chr6:124651885_124677509_-(Rps6ka5);circRNA_6491|Chr8:72823430_72828397_-(Tpm1);circRNA_6642|Chr8:117106575_117109692_+(Rhoa);circRNA_6643|Chr8:117109572_117114039_+(Rhoa);circRNA_6847|Chr9:54232163_54248877_+(Gls);</t>
  </si>
  <si>
    <t>circRNA_1857|Chr13:95120752_95128782_-(Akt3);circRNA_1858|Chr13:95167819_95196402_-(Akt3);circRNA_1859|Chr13:95167819_95208329_-(Akt3);circRNA_1861|Chr13:95193009_95208329_-(Akt3);circRNA_2158|Chr14:100058305_100066787_+(Egfr);circRNA_2441|Chr16:2578902_2581762_-(Appl1);circRNA_3031|Chr18:69634006_69647714_-(Smad4);circRNA_3037|Chr18:69654505_69657373_-(Smad4);circRNA_3059|Chr18:72593000_72611211_+(Smad2);circRNA_3379|Chr2:31816052_31816763_-(Pik3r1);circRNA_5722|Chr6:91933750_91961861_-(Sos2);circRNA_5724|Chr6:91938501_91961861_-(Sos2);circRNA_6642|Chr8:117106575_117109692_+(Rhoa);circRNA_6643|Chr8:117109572_117114039_+(Rhoa);</t>
  </si>
  <si>
    <t>circRNA_1857|Chr13:95120752_95128782_-(Akt3);circRNA_1858|Chr13:95167819_95196402_-(Akt3);circRNA_1859|Chr13:95167819_95208329_-(Akt3);circRNA_1861|Chr13:95193009_95208329_-(Akt3);circRNA_3149|Chr19:30869716_30870010_+(Gab1);circRNA_3150|Chr19:30869716_30883569_+(Gab1);circRNA_3379|Chr2:31816052_31816763_-(Pik3r1);circRNA_5406|Chr5:155702728_155709264_-(Cdc42);circRNA_5722|Chr6:91933750_91961861_-(Sos2);circRNA_5724|Chr6:91938501_91961861_-(Sos2);</t>
  </si>
  <si>
    <t>circRNA_1857|Chr13:95120752_95128782_-(Akt3);circRNA_1858|Chr13:95167819_95196402_-(Akt3);circRNA_1859|Chr13:95167819_95208329_-(Akt3);circRNA_1861|Chr13:95193009_95208329_-(Akt3);circRNA_2158|Chr14:100058305_100066787_+(Egfr);circRNA_2352|Chr15:55151603_55154467_-(Rb1);circRNA_3031|Chr18:69634006_69647714_-(Smad4);circRNA_3037|Chr18:69654505_69657373_-(Smad4);circRNA_3059|Chr18:72593000_72611211_+(Smad2);circRNA_3379|Chr2:31816052_31816763_-(Pik3r1);circRNA_3512|Chr2:113739689_113745181_+(Pld1);circRNA_3515|Chr2:113747182_113764892_+(Pld1);circRNA_3817|Chr2:240822115_240867796_-(Nfkb1);circRNA_5406|Chr5:155702728_155709264_-(Cdc42);</t>
  </si>
  <si>
    <t>circRNA_0645|Chr1:251455609_251463748_+(Pten);circRNA_1857|Chr13:95120752_95128782_-(Akt3);circRNA_1858|Chr13:95167819_95196402_-(Akt3);circRNA_1859|Chr13:95167819_95208329_-(Akt3);circRNA_1861|Chr13:95193009_95208329_-(Akt3);circRNA_2158|Chr14:100058305_100066787_+(Egfr);circRNA_3379|Chr2:31816052_31816763_-(Pik3r1);circRNA_5722|Chr6:91933750_91961861_-(Sos2);circRNA_5724|Chr6:91938501_91961861_-(Sos2);</t>
  </si>
  <si>
    <t>circRNA_0645|Chr1:251455609_251463748_+(Pten);circRNA_1236|Chr10:96264760_96266403_-(Prkca);circRNA_1857|Chr13:95120752_95128782_-(Akt3);circRNA_1858|Chr13:95167819_95196402_-(Akt3);circRNA_1859|Chr13:95167819_95208329_-(Akt3);circRNA_1861|Chr13:95193009_95208329_-(Akt3);circRNA_2158|Chr14:100058305_100066787_+(Egfr);circRNA_2352|Chr15:55151603_55154467_-(Rb1);circRNA_3379|Chr2:31816052_31816763_-(Pik3r1);circRNA_5722|Chr6:91933750_91961861_-(Sos2);circRNA_5724|Chr6:91938501_91961861_-(Sos2);</t>
  </si>
  <si>
    <t>circRNA_0451|Chr1:200671013_200672411_-(Fgfr2);circRNA_0645|Chr1:251455609_251463748_+(Pten);circRNA_1857|Chr13:95120752_95128782_-(Akt3);circRNA_1858|Chr13:95167819_95196402_-(Akt3);circRNA_1859|Chr13:95167819_95208329_-(Akt3);circRNA_1861|Chr13:95193009_95208329_-(Akt3);circRNA_2158|Chr14:100058305_100066787_+(Egfr);circRNA_2352|Chr15:55151603_55154467_-(Rb1);circRNA_3379|Chr2:31816052_31816763_-(Pik3r1);circRNA_3817|Chr2:240822115_240867796_-(Nfkb1);circRNA_5722|Chr6:91933750_91961861_-(Sos2);circRNA_5724|Chr6:91938501_91961861_-(Sos2);</t>
  </si>
  <si>
    <t>circRNA_4845|Chr4:147295666_147361944_+(Pparg);</t>
  </si>
  <si>
    <t>circRNA_0645|Chr1:251455609_251463748_+(Pten);circRNA_1857|Chr13:95120752_95128782_-(Akt3);circRNA_1858|Chr13:95167819_95196402_-(Akt3);circRNA_1859|Chr13:95167819_95208329_-(Akt3);circRNA_1861|Chr13:95193009_95208329_-(Akt3);circRNA_2158|Chr14:100058305_100066787_+(Egfr);circRNA_2352|Chr15:55151603_55154467_-(Rb1);circRNA_3379|Chr2:31816052_31816763_-(Pik3r1);</t>
  </si>
  <si>
    <t>circRNA_2158|Chr14:100058305_100066787_+(Egfr);circRNA_2352|Chr15:55151603_55154467_-(Rb1);circRNA_5802|Chr6:124596541_124629605_-(Rps6ka5);circRNA_5807|Chr6:124651885_124652103_-(Rps6ka5);circRNA_5808|Chr6:124651885_124677509_-(Rps6ka5);</t>
  </si>
  <si>
    <t>circRNA_1857|Chr13:95120752_95128782_-(Akt3);circRNA_1858|Chr13:95167819_95196402_-(Akt3);circRNA_1859|Chr13:95167819_95208329_-(Akt3);circRNA_1861|Chr13:95193009_95208329_-(Akt3);circRNA_2352|Chr15:55151603_55154467_-(Rb1);circRNA_3031|Chr18:69634006_69647714_-(Smad4);circRNA_3037|Chr18:69654505_69657373_-(Smad4);circRNA_3379|Chr2:31816052_31816763_-(Pik3r1);circRNA_3817|Chr2:240822115_240867796_-(Nfkb1);circRNA_5722|Chr6:91933750_91961861_-(Sos2);circRNA_5724|Chr6:91938501_91961861_-(Sos2);</t>
  </si>
  <si>
    <t>circRNA_1857|Chr13:95120752_95128782_-(Akt3);circRNA_1858|Chr13:95167819_95196402_-(Akt3);circRNA_1859|Chr13:95167819_95208329_-(Akt3);circRNA_1861|Chr13:95193009_95208329_-(Akt3);circRNA_3379|Chr2:31816052_31816763_-(Pik3r1);circRNA_3817|Chr2:240822115_240867796_-(Nfkb1);circRNA_5722|Chr6:91933750_91961861_-(Sos2);circRNA_5724|Chr6:91938501_91961861_-(Sos2);</t>
  </si>
  <si>
    <t>circRNA_0645|Chr1:251455609_251463748_+(Pten);circRNA_1857|Chr13:95120752_95128782_-(Akt3);circRNA_1858|Chr13:95167819_95196402_-(Akt3);circRNA_1859|Chr13:95167819_95208329_-(Akt3);circRNA_1861|Chr13:95193009_95208329_-(Akt3);circRNA_2352|Chr15:55151603_55154467_-(Rb1);circRNA_3379|Chr2:31816052_31816763_-(Pik3r1);circRNA_3817|Chr2:240822115_240867796_-(Nfkb1);circRNA_6150|Chr7:114466514_114468769_-(Ptk2);circRNA_6155|Chr7:114555889_114562987_-(Ptk2);circRNA_6271|Chr8:6014617_6023899_-(Birc2);</t>
  </si>
  <si>
    <t>circRNA_1236|Chr10:96264760_96266403_-(Prkca);circRNA_1857|Chr13:95120752_95128782_-(Akt3);circRNA_1858|Chr13:95167819_95196402_-(Akt3);circRNA_1859|Chr13:95167819_95208329_-(Akt3);circRNA_1861|Chr13:95193009_95208329_-(Akt3);circRNA_2158|Chr14:100058305_100066787_+(Egfr);circRNA_2352|Chr15:55151603_55154467_-(Rb1);circRNA_3379|Chr2:31816052_31816763_-(Pik3r1);circRNA_5508|Chr6:6627343_6668794_+(Eml4);circRNA_5722|Chr6:91933750_91961861_-(Sos2);circRNA_5724|Chr6:91938501_91961861_-(Sos2);</t>
  </si>
  <si>
    <t>circRNA_0645|Chr1:251455609_251463748_+(Pten);circRNA_1857|Chr13:95120752_95128782_-(Akt3);circRNA_1858|Chr13:95167819_95196402_-(Akt3);circRNA_1859|Chr13:95167819_95208329_-(Akt3);circRNA_1861|Chr13:95193009_95208329_-(Akt3);circRNA_2158|Chr14:100058305_100066787_+(Egfr);circRNA_2352|Chr15:55151603_55154467_-(Rb1);circRNA_3379|Chr2:31816052_31816763_-(Pik3r1);circRNA_3701|Chr2:200243345_200253557_+(Notch2);circRNA_4917|Chr4:168213382_168221653_-(Lrp6);circRNA_4921|Chr4:168260038_168267184_-(Lrp6);circRNA_5722|Chr6:91933750_91961861_-(Sos2);circRNA_5724|Chr6:91938501_91961861_-(Sos2);</t>
  </si>
  <si>
    <t>circRNA_0645|Chr1:251455609_251463748_+(Pten);circRNA_1236|Chr10:96264760_96266403_-(Prkca);circRNA_1857|Chr13:95120752_95128782_-(Akt3);circRNA_1858|Chr13:95167819_95196402_-(Akt3);circRNA_1859|Chr13:95167819_95208329_-(Akt3);circRNA_1861|Chr13:95193009_95208329_-(Akt3);circRNA_2158|Chr14:100058305_100066787_+(Egfr);circRNA_2352|Chr15:55151603_55154467_-(Rb1);circRNA_3031|Chr18:69634006_69647714_-(Smad4);circRNA_3037|Chr18:69654505_69657373_-(Smad4);circRNA_3059|Chr18:72593000_72611211_+(Smad2);circRNA_3149|Chr19:30869716_30870010_+(Gab1);circRNA_3150|Chr19:30869716_30883569_+(Gab1);circRNA_3379|Chr2:31816052_31816763_-(Pik3r1);circRNA_4917|Chr4:168213382_168221653_-(Lrp6);circRNA_4921|Chr4:168260038_168267184_-(Lrp6);circRNA_5722|Chr6:91933750_91961861_-(Sos2);circRNA_5724|Chr6:91938501_91961861_-(Sos2);</t>
  </si>
  <si>
    <t>circRNA_0451|Chr1:200671013_200672411_-(Fgfr2);circRNA_1857|Chr13:95120752_95128782_-(Akt3);circRNA_1858|Chr13:95167819_95196402_-(Akt3);circRNA_1859|Chr13:95167819_95208329_-(Akt3);circRNA_1861|Chr13:95193009_95208329_-(Akt3);circRNA_2158|Chr14:100058305_100066787_+(Egfr);circRNA_2352|Chr15:55151603_55154467_-(Rb1);circRNA_3031|Chr18:69634006_69647714_-(Smad4);circRNA_3037|Chr18:69654505_69657373_-(Smad4);circRNA_3059|Chr18:72593000_72611211_+(Smad2);circRNA_3149|Chr19:30869716_30870010_+(Gab1);circRNA_3150|Chr19:30869716_30883569_+(Gab1);circRNA_3379|Chr2:31816052_31816763_-(Pik3r1);circRNA_4917|Chr4:168213382_168221653_-(Lrp6);circRNA_4921|Chr4:168260038_168267184_-(Lrp6);circRNA_5722|Chr6:91933750_91961861_-(Sos2);circRNA_5724|Chr6:91938501_91961861_-(Sos2);</t>
  </si>
  <si>
    <t>circRNA_0259|Chr1:139943398_139956356_-(Ntrk3);circRNA_0451|Chr1:200671013_200672411_-(Fgfr2);circRNA_0645|Chr1:251455609_251463748_+(Pten);circRNA_1857|Chr13:95120752_95128782_-(Akt3);circRNA_1858|Chr13:95167819_95196402_-(Akt3);circRNA_1859|Chr13:95167819_95208329_-(Akt3);circRNA_1861|Chr13:95193009_95208329_-(Akt3);circRNA_2158|Chr14:100058305_100066787_+(Egfr);circRNA_3379|Chr2:31816052_31816763_-(Pik3r1);circRNA_6847|Chr9:54232163_54248877_+(Gls);</t>
  </si>
  <si>
    <t>circRNA_1236|Chr10:96264760_96266403_-(Prkca);circRNA_1857|Chr13:95120752_95128782_-(Akt3);circRNA_1858|Chr13:95167819_95196402_-(Akt3);circRNA_1859|Chr13:95167819_95208329_-(Akt3);circRNA_1861|Chr13:95193009_95208329_-(Akt3);circRNA_2158|Chr14:100058305_100066787_+(Egfr);circRNA_2364|Chr15:60816746_60821766_-(Dgkh);circRNA_3379|Chr2:31816052_31816763_-(Pik3r1);circRNA_3512|Chr2:113739689_113745181_+(Pld1);circRNA_3515|Chr2:113747182_113764892_+(Pld1);circRNA_4518|Chr4:6866069_6869642_+(Rheb);circRNA_4663|Chr4:64431354_64474930_-(Dgki);circRNA_4664|Chr4:64451679_64474930_-(Dgki);circRNA_5722|Chr6:91933750_91961861_-(Sos2);circRNA_5724|Chr6:91938501_91961861_-(Sos2);</t>
  </si>
  <si>
    <t>circRNA_3059|Chr18:72593000_72611211_+(Smad2);circRNA_3817|Chr2:240822115_240867796_-(Nfkb1);</t>
  </si>
  <si>
    <t>circRNA_0839|Chr10:5930383_5930975_+(Grin2a);circRNA_5754|Chr6:103389817_103393554_-(Actn1);</t>
  </si>
  <si>
    <t>circRNA_1740|Chr13:52671461_52673721_+(Tnnt2);circRNA_4864|Chr4:151118221_151124504_-(Cacna1c);circRNA_5502|Chr6:4259110_4315062_-(Slc8a1);circRNA_5503|Chr6:4278307_4315062_-(Slc8a1);circRNA_5504|Chr6:4298605_4315062_-(Slc8a1);circRNA_6491|Chr8:72823430_72828397_-(Tpm1);circRNA_6680|Chr8:127289436_127301219_+(Itga9);circRNA_6952|Chr9:82557123_82558587_+(Des);</t>
  </si>
  <si>
    <t>circRNA_4864|Chr4:151118221_151124504_-(Cacna1c);circRNA_5502|Chr6:4259110_4315062_-(Slc8a1);circRNA_5503|Chr6:4278307_4315062_-(Slc8a1);circRNA_5504|Chr6:4298605_4315062_-(Slc8a1);circRNA_6680|Chr8:127289436_127301219_+(Itga9);circRNA_6952|Chr9:82557123_82558587_+(Des);</t>
  </si>
  <si>
    <t>circRNA_1397|Chr11:68722906_68725314_-(Adcy5);circRNA_1398|Chr11:68722906_68730129_-(Adcy5);circRNA_1399|Chr11:68745884_68750272_-(Adcy5);circRNA_1740|Chr13:52671461_52673721_+(Tnnt2);circRNA_2141|Chr14:87328008_87331877_+(Adcy1);circRNA_2142|Chr14:87328008_87357732_+(Adcy1);circRNA_2143|Chr14:87328008_87377952_+(Adcy1);circRNA_2144|Chr14:87331763_87357732_+(Adcy1);circRNA_2145|Chr14:87350088_87357732_+(Adcy1);circRNA_4864|Chr4:151118221_151124504_-(Cacna1c);circRNA_5502|Chr6:4259110_4315062_-(Slc8a1);circRNA_5503|Chr6:4278307_4315062_-(Slc8a1);circRNA_5504|Chr6:4298605_4315062_-(Slc8a1);circRNA_6491|Chr8:72823430_72828397_-(Tpm1);circRNA_6680|Chr8:127289436_127301219_+(Itga9);circRNA_6952|Chr9:82557123_82558587_+(Des);</t>
  </si>
  <si>
    <t>circRNA_1857|Chr13:95120752_95128782_-(Akt3);circRNA_1858|Chr13:95167819_95196402_-(Akt3);circRNA_1859|Chr13:95167819_95208329_-(Akt3);circRNA_1861|Chr13:95193009_95208329_-(Akt3);circRNA_3379|Chr2:31816052_31816763_-(Pik3r1);circRNA_3817|Chr2:240822115_240867796_-(Nfkb1);circRNA_4137|Chr3:44500847_44522988_-(Acvr1);circRNA_6150|Chr7:114466514_114468769_-(Ptk2);circRNA_6155|Chr7:114555889_114562987_-(Ptk2);circRNA_6215|Chr7:130113212_130116591_-(Mapk12);circRNA_6438|Chr8:68089178_68154119_-(Map2k5);circRNA_6642|Chr8:117106575_117109692_+(Rhoa);circRNA_6643|Chr8:117109572_117114039_+(Rhoa);</t>
  </si>
  <si>
    <t>circRNA_0267|Chr1:141877382_141880461_-(Idh2);</t>
  </si>
  <si>
    <t>circRNA_1397|Chr11:68722906_68725314_-(Adcy5);circRNA_1399|Chr11:68745884_68750272_-(Adcy5);circRNA_2143|Chr14:87328008_87377952_+(Adcy1);circRNA_2144|Chr14:87331763_87357732_+(Adcy1);circRNA_2145|Chr14:87350088_87357732_+(Adcy1);circRNA_3781|Chr2:226925637_226926225_+(Pde5a);circRNA_3782|Chr2:226925637_226942478_+(Pde5a);circRNA_4774|Chr4:115191293_115197150_-(Dguok);circRNA_6793|Chr9:38582634_38584696_+(Prim2);</t>
  </si>
  <si>
    <t>circRNA_4726|Chr4:82682367_82685493_-(Hibadh);circRNA_5578|Chr6:27575763_27582987_-(Hadhb);circRNA_6373|Chr8:58182482_58182849_-(Acat1);circRNA_6838|Chr9:53459782_53462727_-(Hibch);circRNA_6841|Chr9:53492939_53508890_-(Hibch);</t>
  </si>
  <si>
    <t>circRNA_2975|Chr18:48443339_48443646_+(Prdm6);circRNA_2978|Chr18:48443339_48521166_+(Prdm6);circRNA_2979|Chr18:48443339_48531023_+(Prdm6);circRNA_3651|Chr2:188269009_188330330_+(Ash1l);circRNA_3655|Chr2:188285366_188285503_-(Ash1l);circRNA_3659|Chr2:188298849_188330330_+(Ash1l);circRNA_3661|Chr2:188301023_188330330_+(Ash1l);circRNA_3663|Chr2:188308301_188309036_+(Ash1l);circRNA_3665|Chr2:188337238_188387007_+(Ash1l);circRNA_6349|Chr8:49140247_49141428_-(Kmt2a);circRNA_6373|Chr8:58182482_58182849_-(Acat1);</t>
  </si>
  <si>
    <t>circRNA_6838|Chr9:53459782_53462727_-(Hibch);circRNA_6841|Chr9:53492939_53508890_-(Hibch);</t>
  </si>
  <si>
    <t>circRNA_6731|Chr9:11187797_11219449_-(Uxs1);</t>
  </si>
  <si>
    <t>circRNA_0110|Chr1:48792572_48797638_-(Agpat4);circRNA_2364|Chr15:60816746_60821766_-(Dgkh);circRNA_4663|Chr4:64431354_64474930_-(Dgki);circRNA_4664|Chr4:64451679_64474930_-(Dgki);</t>
  </si>
  <si>
    <t>circRNA_0389|Chr1:185252579_185264972_+(Pik3c2a);circRNA_0391|Chr1:185261106_185267832_+(Pik3c2a);circRNA_0394|Chr1:185263914_185297636_+(Pik3c2a);circRNA_0445|Chr1:200102205_200105174_+(Inpp5f);circRNA_2072|Chr14:60573253_60586776_-(Pi4k2b);circRNA_6804|Chr9:43968846_43977575_+(Inpp4a);circRNA_6920|Chr9:71920586_71960153_+(Pikfyve);</t>
  </si>
  <si>
    <t>circRNA_0110|Chr1:48792572_48797638_-(Agpat4);circRNA_1762|Chr13:67141798_67143114_-(Pla2g4a);circRNA_2364|Chr15:60816746_60821766_-(Dgkh);circRNA_3515|Chr2:113747182_113764892_+(Pld1);circRNA_4663|Chr4:64431354_64474930_-(Dgki);circRNA_4664|Chr4:64451679_64474930_-(Dgki);</t>
  </si>
  <si>
    <t>circRNA_1762|Chr13:67141798_67143114_-(Pla2g4a);circRNA_3515|Chr2:113747182_113764892_+(Pld1);</t>
  </si>
  <si>
    <t>circRNA_1498|Chr12:4448685_4450137_-(Cers4);</t>
  </si>
  <si>
    <t>circRNA_6373|Chr8:58182482_58182849_-(Acat1);circRNA_6838|Chr9:53459782_53462727_-(Hibch);circRNA_6841|Chr9:53492939_53508890_-(Hibch);</t>
  </si>
  <si>
    <t>circRNA_4363|Chr3:123819852_123833222_+(Pank2);</t>
  </si>
  <si>
    <t>circRNA_0301|Chr1:161988635_162006381_+(Nars2);</t>
  </si>
  <si>
    <t>circRNA_0419|Chr1:192379875_192409606_+(Prkcb);circRNA_0451|Chr1:200671013_200672411_-(Fgfr2);circRNA_1059|Chr10:66891013_66900528_+(Nf1);circRNA_1236|Chr10:96264760_96266403_-(Prkca);circRNA_1858|Chr13:95167819_95196402_-(Akt3);circRNA_1859|Chr13:95167819_95208329_-(Akt3);circRNA_2158|Chr14:100058305_100066787_+(Egfr);circRNA_3150|Chr19:30869716_30883569_+(Gab1);circRNA_4700|Chr4:67399951_67412670_-(Braf);circRNA_5722|Chr6:91933750_91961861_-(Sos2);</t>
  </si>
  <si>
    <t>circRNA_1397|Chr11:68722906_68725314_-(Adcy5);circRNA_1399|Chr11:68745884_68750272_-(Adcy5);circRNA_1858|Chr13:95167819_95196402_-(Akt3);circRNA_1859|Chr13:95167819_95208329_-(Akt3);circRNA_2143|Chr14:87328008_87377952_+(Adcy1);circRNA_2144|Chr14:87331763_87357732_+(Adcy1);circRNA_2145|Chr14:87350088_87357732_+(Adcy1);circRNA_2158|Chr14:100058305_100066787_+(Egfr);circRNA_4700|Chr4:67399951_67412670_-(Braf);circRNA_5722|Chr6:91933750_91961861_-(Sos2);circRNA_6150|Chr7:114466514_114468769_-(Ptk2);circRNA_6155|Chr7:114555889_114562987_-(Ptk2);circRNA_6215|Chr7:130113212_130116591_-(Mapk12);circRNA_6297|Chr8:22600830_22606721_+(Carm1);</t>
  </si>
  <si>
    <t>circRNA_2408|Chr15:103872241_103886205_-(Abcc4);circRNA_3818|Chr2:240854068_240861760_-(Nfkb1);</t>
  </si>
  <si>
    <t>circRNA_1858|Chr13:95167819_95196402_-(Akt3);circRNA_1859|Chr13:95167819_95208329_-(Akt3);circRNA_2232|Chr15:10296336_10303515_-(Top2b);circRNA_3313|Chr2:21915465_21921128_-(Msh3);circRNA_6271|Chr8:6014617_6023899_-(Birc2);circRNA_6748|Chr9:17166589_17167490_+(Polh);</t>
  </si>
  <si>
    <t>circRNA_2408|Chr15:103872241_103886205_-(Abcc4);circRNA_4940|Chr4:176868013_176879489_-(Abcc9);</t>
  </si>
  <si>
    <t>circRNA_3600|Chr2:166406958_166423542_+(Nmd3);</t>
  </si>
  <si>
    <t>circRNA_0305|Chr1:162684057_162691242_+(Clns1a);circRNA_0306|Chr1:162684057_162696070_+(Clns1a);circRNA_3600|Chr2:166406958_166423542_+(Nmd3);circRNA_3969|Chr20:28067776_28072115_+(Ranbp2);circRNA_4063|Chr3:8906803_8907042_+(Nup188);circRNA_7211|ChrX:128202172_128205259_-(Thoc2);</t>
  </si>
  <si>
    <t>circRNA_0041|Chr1:16859047_16879498_+(Hbs1l);circRNA_0299|Chr1:157470071_157490006_-(Pcf11);circRNA_2905|Chr18:24611733_24620738_+(Wdr33);circRNA_2925|Chr18:27704440_27708817_-(Etf1);circRNA_5562|Chr6:23554728_23563843_-(Ppp1cb);circRNA_6028|Chr7:60390972_60408823_-(Cpsf6);</t>
  </si>
  <si>
    <t>circRNA_1515|Chr12:9233368_9240810_-(Pan3);</t>
  </si>
  <si>
    <t>circRNA_2312|Chr15:45437783_45445017_+(Rnaseh2b);circRNA_6793|Chr9:38582634_38584696_+(Prim2);</t>
  </si>
  <si>
    <t>circRNA_0893|Chr10:29038498_29040713_+(Slu7);circRNA_2638|Chr17:9503324_9503470_-(Ddx46);circRNA_4493|Chr3:177131326_177132323_+(Prpf6);circRNA_7211|ChrX:128202172_128205259_-(Thoc2);</t>
  </si>
  <si>
    <t>circRNA_4483|Chr3:175422379_175423144_-(Psma7);</t>
  </si>
  <si>
    <t>circRNA_0696|Chr1:259412482_259459540_-(Sorbs1);circRNA_0715|Chr1:259479327_259488326_-(Sorbs1);</t>
  </si>
  <si>
    <t>circRNA_5568|Chr6:25903936_25912817_-(Bre);</t>
  </si>
  <si>
    <t>circRNA_6748|Chr9:17166589_17167490_+(Polh);</t>
  </si>
  <si>
    <t>circRNA_0419|Chr1:192379875_192409606_+(Prkcb);circRNA_0451|Chr1:200671013_200672411_-(Fgfr2);circRNA_1059|Chr10:66891013_66900528_+(Nf1);circRNA_1212|Chr10:94292693_94314584_+(Map3k3);circRNA_1236|Chr10:96264760_96266403_-(Prkca);circRNA_1652|Chr12:40521512_40523581_+(Mapkapk5);circRNA_1762|Chr13:67141798_67143114_-(Pla2g4a);circRNA_1858|Chr13:95167819_95196402_-(Akt3);circRNA_1859|Chr13:95167819_95208329_-(Akt3);circRNA_2158|Chr14:100058305_100066787_+(Egfr);circRNA_2334|Chr15:51896716_51944899_-(Ppp3cc);circRNA_2337|Chr15:51925689_51954838_-(Ppp3cc);circRNA_3140|Chr19:25721379_25722171_+(Cacna1a);circRNA_3818|Chr2:240854068_240861760_-(Nfkb1);circRNA_4700|Chr4:67399951_67412670_-(Braf);circRNA_4864|Chr4:151118221_151124504_-(Cacna1c);circRNA_5519|Chr6:8257474_8261060_+(Ppm1b);circRNA_5722|Chr6:91933750_91961861_-(Sos2);circRNA_5802|Chr6:124596541_124629605_-(Rps6ka5);circRNA_5807|Chr6:124651885_124652103_-(Rps6ka5);circRNA_6075|Chr7:73684650_73748233_-(Stk3);circRNA_6215|Chr7:130113212_130116591_-(Mapk12);circRNA_7233|ChrX:156468826_156469166_+(Flna);</t>
  </si>
  <si>
    <t>circRNA_0419|Chr1:192379875_192409606_+(Prkcb);circRNA_1236|Chr10:96264760_96266403_-(Prkca);circRNA_1368|Chr11:51049296_51068978_-(Cblb);circRNA_1858|Chr13:95167819_95196402_-(Akt3);circRNA_1859|Chr13:95167819_95208329_-(Akt3);circRNA_2158|Chr14:100058305_100066787_+(Egfr);circRNA_3150|Chr19:30869716_30883569_+(Gab1);circRNA_4700|Chr4:67399951_67412670_-(Braf);circRNA_5722|Chr6:91933750_91961861_-(Sos2);circRNA_6150|Chr7:114466514_114468769_-(Ptk2);circRNA_6155|Chr7:114555889_114562987_-(Ptk2);circRNA_6814|Chr9:50313687_50336038_+(Nck2);</t>
  </si>
  <si>
    <t>circRNA_0419|Chr1:192379875_192409606_+(Prkcb);circRNA_0451|Chr1:200671013_200672411_-(Fgfr2);circRNA_0839|Chr10:5930383_5930975_+(Grin2a);circRNA_1059|Chr10:66891013_66900528_+(Nf1);circRNA_1236|Chr10:96264760_96266403_-(Prkca);circRNA_1762|Chr13:67141798_67143114_-(Pla2g4a);circRNA_1780|Chr13:69936554_69944404_-(Rgl1);circRNA_1858|Chr13:95167819_95196402_-(Akt3);circRNA_1859|Chr13:95167819_95208329_-(Akt3);circRNA_2158|Chr14:100058305_100066787_+(Egfr);circRNA_3150|Chr19:30869716_30883569_+(Gab1);circRNA_3515|Chr2:113747182_113764892_+(Pld1);circRNA_3818|Chr2:240854068_240861760_-(Nfkb1);circRNA_5722|Chr6:91933750_91961861_-(Sos2);</t>
  </si>
  <si>
    <t>circRNA_0419|Chr1:192379875_192409606_+(Prkcb);circRNA_0451|Chr1:200671013_200672411_-(Fgfr2);circRNA_0839|Chr10:5930383_5930975_+(Grin2a);circRNA_1236|Chr10:96264760_96266403_-(Prkca);circRNA_1397|Chr11:68722906_68725314_-(Adcy5);circRNA_1399|Chr11:68745884_68750272_-(Adcy5);circRNA_1858|Chr13:95167819_95196402_-(Akt3);circRNA_1859|Chr13:95167819_95208329_-(Akt3);circRNA_2143|Chr14:87328008_87377952_+(Adcy1);circRNA_2144|Chr14:87331763_87357732_+(Adcy1);circRNA_2145|Chr14:87350088_87357732_+(Adcy1);circRNA_2158|Chr14:100058305_100066787_+(Egfr);circRNA_3719|Chr2:206549585_206567195_-(Magi3);circRNA_4700|Chr4:67399951_67412670_-(Braf);circRNA_4812|Chr4:125734597_125789911_-(Magi1);circRNA_5662|Chr6:60609626_60618957_+(Dock4);circRNA_5664|Chr6:71078256_71089829_-(Prkd1);circRNA_6215|Chr7:130113212_130116591_-(Mapk12);</t>
  </si>
  <si>
    <t>circRNA_0419|Chr1:192379875_192409606_+(Prkcb);circRNA_0839|Chr10:5930383_5930975_+(Grin2a);circRNA_1236|Chr10:96264760_96266403_-(Prkca);circRNA_1725|Chr13:50150091_50150276_-(Atp2b4);circRNA_2143|Chr14:87328008_87377952_+(Adcy1);circRNA_2144|Chr14:87331763_87357732_+(Adcy1);circRNA_2145|Chr14:87350088_87357732_+(Adcy1);circRNA_2158|Chr14:100058305_100066787_+(Egfr);circRNA_2334|Chr15:51896716_51944899_-(Ppp3cc);circRNA_2337|Chr15:51925689_51954838_-(Ppp3cc);circRNA_3133|Chr19:22177001_22179584_-(Phkb);circRNA_3140|Chr19:25721379_25722171_+(Cacna1a);circRNA_3978|Chr20:31900597_31901729_+(Tacr2);circRNA_4281|Chr3:104375097_104394775_-(Ryr3);circRNA_4283|Chr3:104422849_104430368_-(Ryr3);circRNA_4864|Chr4:151118221_151124504_-(Cacna1c);circRNA_5502|Chr6:4259110_4315062_-(Slc8a1);circRNA_5503|Chr6:4278307_4315062_-(Slc8a1);circRNA_5504|Chr6:4298605_4315062_-(Slc8a1);</t>
  </si>
  <si>
    <t>circRNA_1397|Chr11:68722906_68725314_-(Adcy5);circRNA_1399|Chr11:68745884_68750272_-(Adcy5);circRNA_1593|Chr12:25431710_25435591_+(Gtf2i);circRNA_1594|Chr12:25442325_25447480_+(Gtf2i);circRNA_1725|Chr13:50150091_50150276_-(Atp2b4);circRNA_1858|Chr13:95167819_95196402_-(Akt3);circRNA_1859|Chr13:95167819_95208329_-(Akt3);circRNA_2143|Chr14:87328008_87377952_+(Adcy1);circRNA_2144|Chr14:87331763_87357732_+(Adcy1);circRNA_2145|Chr14:87350088_87357732_+(Adcy1);circRNA_2334|Chr15:51896716_51944899_-(Ppp3cc);circRNA_2337|Chr15:51925689_51954838_-(Ppp3cc);circRNA_3635|Chr2:187525295_187532740_+(Mef2d);circRNA_3781|Chr2:226925637_226926225_+(Pde5a);circRNA_3782|Chr2:226925637_226942478_+(Pde5a);circRNA_4864|Chr4:151118221_151124504_-(Cacna1c);circRNA_5502|Chr6:4259110_4315062_-(Slc8a1);circRNA_5503|Chr6:4278307_4315062_-(Slc8a1);circRNA_5504|Chr6:4298605_4315062_-(Slc8a1);circRNA_5562|Chr6:23554728_23563843_-(Ppp1cb);circRNA_6002|Chr7:51433839_51444422_-(Ppp1r12a);circRNA_6597|Chr8:104192886_104202285_-(Atp1b3);</t>
  </si>
  <si>
    <t>circRNA_0839|Chr10:5930383_5930975_+(Grin2a);circRNA_1397|Chr11:68722906_68725314_-(Adcy5);circRNA_1399|Chr11:68745884_68750272_-(Adcy5);circRNA_1725|Chr13:50150091_50150276_-(Atp2b4);circRNA_1858|Chr13:95167819_95196402_-(Akt3);circRNA_1859|Chr13:95167819_95208329_-(Akt3);circRNA_2143|Chr14:87328008_87377952_+(Adcy1);circRNA_2144|Chr14:87331763_87357732_+(Adcy1);circRNA_2145|Chr14:87350088_87357732_+(Adcy1);circRNA_2408|Chr15:103872241_103886205_-(Abcc4);circRNA_3515|Chr2:113747182_113764892_+(Pld1);circRNA_3818|Chr2:240854068_240861760_-(Nfkb1);circRNA_4700|Chr4:67399951_67412670_-(Braf);circRNA_4864|Chr4:151118221_151124504_-(Cacna1c);circRNA_5562|Chr6:23554728_23563843_-(Ppp1cb);circRNA_6002|Chr7:51433839_51444422_-(Ppp1r12a);circRNA_6597|Chr8:104192886_104202285_-(Atp1b3);</t>
  </si>
  <si>
    <t>circRNA_2158|Chr14:100058305_100066787_+(Egfr);circRNA_5249|Chr5:120609027_120616745_+(Lepr);</t>
  </si>
  <si>
    <t>circRNA_0419|Chr1:192379875_192409606_+(Prkcb);circRNA_1397|Chr11:68722906_68725314_-(Adcy5);circRNA_1399|Chr11:68745884_68750272_-(Adcy5);circRNA_1858|Chr13:95167819_95196402_-(Akt3);circRNA_1859|Chr13:95167819_95208329_-(Akt3);circRNA_2143|Chr14:87328008_87377952_+(Adcy1);circRNA_2144|Chr14:87331763_87357732_+(Adcy1);circRNA_2145|Chr14:87350088_87357732_+(Adcy1);circRNA_3818|Chr2:240854068_240861760_-(Nfkb1);circRNA_4700|Chr4:67399951_67412670_-(Braf);circRNA_5722|Chr6:91933750_91961861_-(Sos2);circRNA_6150|Chr7:114466514_114468769_-(Ptk2);circRNA_6155|Chr7:114555889_114562987_-(Ptk2);</t>
  </si>
  <si>
    <t>circRNA_0419|Chr1:192379875_192409606_+(Prkcb);circRNA_3818|Chr2:240854068_240861760_-(Nfkb1);circRNA_4873|Chr4:152282030_152355930_-(Erc1);circRNA_5882|Chr6:135672583_135696475_+(Traf3);circRNA_6271|Chr8:6014617_6023899_-(Birc2);</t>
  </si>
  <si>
    <t>circRNA_0419|Chr1:192379875_192409606_+(Prkcb);circRNA_1236|Chr10:96264760_96266403_-(Prkca);circRNA_1858|Chr13:95167819_95196402_-(Akt3);circRNA_1859|Chr13:95167819_95208329_-(Akt3);circRNA_2158|Chr14:100058305_100066787_+(Egfr);circRNA_3818|Chr2:240854068_240861760_-(Nfkb1);</t>
  </si>
  <si>
    <t>circRNA_1858|Chr13:95167819_95196402_-(Akt3);circRNA_1859|Chr13:95167819_95208329_-(Akt3);circRNA_2158|Chr14:100058305_100066787_+(Egfr);circRNA_3031|Chr18:69634006_69647714_-(Smad4);circRNA_3059|Chr18:72593000_72611211_+(Smad2);circRNA_4700|Chr4:67399951_67412670_-(Braf);circRNA_5722|Chr6:91933750_91961861_-(Sos2);circRNA_6215|Chr7:130113212_130116591_-(Mapk12);</t>
  </si>
  <si>
    <t>circRNA_0389|Chr1:185252579_185264972_+(Pik3c2a);circRNA_0391|Chr1:185261106_185267832_+(Pik3c2a);circRNA_0394|Chr1:185263914_185297636_+(Pik3c2a);circRNA_0419|Chr1:192379875_192409606_+(Prkcb);circRNA_0445|Chr1:200102205_200105174_+(Inpp5f);circRNA_1236|Chr10:96264760_96266403_-(Prkca);circRNA_2072|Chr14:60573253_60586776_-(Pi4k2b);circRNA_2364|Chr15:60816746_60821766_-(Dgkh);circRNA_4663|Chr4:64431354_64474930_-(Dgki);circRNA_4664|Chr4:64451679_64474930_-(Dgki);circRNA_6804|Chr9:43968846_43977575_+(Inpp4a);circRNA_6920|Chr9:71920586_71960153_+(Pikfyve);</t>
  </si>
  <si>
    <t>circRNA_0419|Chr1:192379875_192409606_+(Prkcb);circRNA_1236|Chr10:96264760_96266403_-(Prkca);circRNA_1498|Chr12:4448685_4450137_-(Cers4);circRNA_1858|Chr13:95167819_95196402_-(Akt3);circRNA_1859|Chr13:95167819_95208329_-(Akt3);circRNA_3515|Chr2:113747182_113764892_+(Pld1);circRNA_3818|Chr2:240854068_240861760_-(Nfkb1);circRNA_6215|Chr7:130113212_130116591_-(Mapk12);</t>
  </si>
  <si>
    <t>circRNA_0110|Chr1:48792572_48797638_-(Agpat4);circRNA_1236|Chr10:96264760_96266403_-(Prkca);circRNA_1397|Chr11:68722906_68725314_-(Adcy5);circRNA_1399|Chr11:68745884_68750272_-(Adcy5);circRNA_1762|Chr13:67141798_67143114_-(Pla2g4a);circRNA_1858|Chr13:95167819_95196402_-(Akt3);circRNA_1859|Chr13:95167819_95208329_-(Akt3);circRNA_2143|Chr14:87328008_87377952_+(Adcy1);circRNA_2144|Chr14:87331763_87357732_+(Adcy1);circRNA_2145|Chr14:87350088_87357732_+(Adcy1);circRNA_2158|Chr14:100058305_100066787_+(Egfr);circRNA_2364|Chr15:60816746_60821766_-(Dgkh);circRNA_3150|Chr19:30869716_30883569_+(Gab1);circRNA_3515|Chr2:113747182_113764892_+(Pld1);circRNA_4518|Chr4:6866069_6869642_+(Rheb);circRNA_4663|Chr4:64431354_64474930_-(Dgki);circRNA_4664|Chr4:64451679_64474930_-(Dgki);circRNA_5722|Chr6:91933750_91961861_-(Sos2);</t>
  </si>
  <si>
    <t>circRNA_0839|Chr10:5930383_5930975_+(Grin2a);circRNA_3978|Chr20:31900597_31901729_+(Tacr2);circRNA_5249|Chr5:120609027_120616745_+(Lepr);</t>
  </si>
  <si>
    <t>circRNA_3031|Chr18:69634006_69647714_-(Smad4);circRNA_3059|Chr18:72593000_72611211_+(Smad2);circRNA_6611|Chr8:109243253_109288160_+(Stag1);circRNA_6612|Chr8:109250465_109254764_+(Stag1);circRNA_6862|Chr9:65361368_65364133_-(Orc2);</t>
  </si>
  <si>
    <t>circRNA_0661|Chr1:255685048_255694514_-(Cpeb3);circRNA_0663|Chr1:255727112_255764689_-(Cpeb3);circRNA_1397|Chr11:68722906_68725314_-(Adcy5);circRNA_1399|Chr11:68745884_68750272_-(Adcy5);circRNA_2143|Chr14:87328008_87377952_+(Adcy1);circRNA_2144|Chr14:87331763_87357732_+(Adcy1);circRNA_2145|Chr14:87350088_87357732_+(Adcy1);circRNA_2334|Chr15:51896716_51944899_-(Ppp3cc);circRNA_2337|Chr15:51925689_51954838_-(Ppp3cc);circRNA_5562|Chr6:23554728_23563843_-(Ppp1cb);circRNA_6215|Chr7:130113212_130116591_-(Mapk12);</t>
  </si>
  <si>
    <t>circRNA_0999|Chr10:59192184_59239990_+(Ube2g1);circRNA_1368|Chr11:51049296_51068978_-(Cblb);circRNA_3007|Chr18:60691028_60702777_+(Nedd4l);circRNA_4426|Chr3:150692740_150696569_+(Itch);circRNA_4428|Chr3:150717267_150725392_+(Itch);circRNA_4429|Chr3:150717267_150727954_+(Itch);circRNA_4430|Chr3:150717267_150734719_+(Itch);circRNA_6271|Chr8:6014617_6023899_-(Birc2);circRNA_7064|ChrX:1729687_1730287_-(Uba1);</t>
  </si>
  <si>
    <t>circRNA_1066|Chr10:67579952_67587851_+(Rhot1);</t>
  </si>
  <si>
    <t>circRNA_0316|Chr1:163965001_164064815_-(Uvrag);circRNA_1858|Chr13:95167819_95196402_-(Akt3);circRNA_1859|Chr13:95167819_95208329_-(Akt3);circRNA_4518|Chr4:6866069_6869642_+(Rheb);circRNA_6125|Chr7:94895697_94898194_+(Deptor);</t>
  </si>
  <si>
    <t>circRNA_0914|Chr10:37167400_37172772_-(Sec24a);circRNA_0999|Chr10:59192184_59239990_+(Ube2g1);circRNA_1847|Chr13:89163767_89176307_-(Atf6);circRNA_1880|Chr13:100885656_100893577_-(Capn2);circRNA_2632|Chr17:6857810_6864981_+(Ubqln1);circRNA_3249|Chr19:52169070_52171485_-(Mbtps1);</t>
  </si>
  <si>
    <t>circRNA_5959|Chr7:28987514_28990116_+(Gnptab);</t>
  </si>
  <si>
    <t>circRNA_0193|Chr1:100913425_100914082_-(Ap2a1);circRNA_0451|Chr1:200671013_200672411_-(Fgfr2);circRNA_0503|Chr1:214562895_214581660_+(Ap2a2);circRNA_0989|Chr10:57549452_57549919_+(Rabep1);circRNA_0990|Chr10:57549452_57563686_+(Rabep1);circRNA_1284|Chr11:2672491_2678232_-(Chmp2b);circRNA_1368|Chr11:51049296_51068978_-(Cblb);circRNA_1411|Chr11:70724569_70728535_-(Snx4);circRNA_2158|Chr14:100058305_100066787_+(Egfr);circRNA_2507|Chr16:23555922_23573530_+(Psd3);circRNA_3007|Chr18:60691028_60702777_+(Nedd4l);circRNA_3059|Chr18:72593000_72611211_+(Smad2);circRNA_3515|Chr2:113747182_113764892_+(Pld1);circRNA_3872|Chr20:3232306_3273815_+(RT1-T24-3);circRNA_4426|Chr3:150692740_150696569_+(Itch);circRNA_4428|Chr3:150717267_150725392_+(Itch);circRNA_4429|Chr3:150717267_150727954_+(Itch);circRNA_4430|Chr3:150717267_150734719_+(Itch);circRNA_4466|Chr3:163586028_163595055_+(Arfgef2);circRNA_4467|Chr3:163592872_163595055_+(Arfgef2);circRNA_5287|Chr5:128997614_128998323_+(Eps15);circRNA_6194|Chr7:124180911_124182706_-(Arfgap3);circRNA_7118|ChrX:37958484_37984798_-(Sh3kbp1);</t>
  </si>
  <si>
    <t>circRNA_3872|Chr20:3232306_3273815_+(RT1-T24-3);circRNA_4147|Chr3:46525736_46528994_-(Pla2r1);circRNA_6920|Chr9:71920586_71960153_+(Pikfyve);</t>
  </si>
  <si>
    <t>circRNA_0419|Chr1:192379875_192409606_+(Prkcb);circRNA_1236|Chr10:96264760_96266403_-(Prkca);circRNA_1858|Chr13:95167819_95196402_-(Akt3);circRNA_1859|Chr13:95167819_95208329_-(Akt3);circRNA_4518|Chr4:6866069_6869642_+(Rheb);circRNA_4700|Chr4:67399951_67412670_-(Braf);circRNA_4917|Chr4:168213382_168221653_-(Lrp6);circRNA_5722|Chr6:91933750_91961861_-(Sos2);circRNA_6125|Chr7:94895697_94898194_+(Deptor);</t>
  </si>
  <si>
    <t>circRNA_0451|Chr1:200671013_200672411_-(Fgfr2);circRNA_1151|Chr10:82753666_82754365_+(Col1a1);circRNA_1155|Chr10:82756914_82757163_+(Col1a1);circRNA_1236|Chr10:96264760_96266403_-(Prkca);circRNA_1858|Chr13:95167819_95196402_-(Akt3);circRNA_1859|Chr13:95167819_95208329_-(Akt3);circRNA_2158|Chr14:100058305_100066787_+(Egfr);circRNA_3428|Chr2:47182739_47203913_-(Itga1);circRNA_3818|Chr2:240854068_240861760_-(Nfkb1);circRNA_4518|Chr4:6866069_6869642_+(Rheb);circRNA_5722|Chr6:91933750_91961861_-(Sos2);circRNA_6150|Chr7:114466514_114468769_-(Ptk2);circRNA_6155|Chr7:114555889_114562987_-(Ptk2);circRNA_6680|Chr8:127289436_127301219_+(Itga9);</t>
  </si>
  <si>
    <t>circRNA_1858|Chr13:95167819_95196402_-(Akt3);circRNA_1859|Chr13:95167819_95208329_-(Akt3);circRNA_2062|Chr14:45683767_45691895_-(Tbc1d1);circRNA_4518|Chr4:6866069_6869642_+(Rheb);circRNA_5249|Chr5:120609027_120616745_+(Lepr);</t>
  </si>
  <si>
    <t>circRNA_1858|Chr13:95167819_95196402_-(Akt3);circRNA_1859|Chr13:95167819_95208329_-(Akt3);circRNA_1880|Chr13:100885656_100893577_-(Capn2);circRNA_3818|Chr2:240854068_240861760_-(Nfkb1);circRNA_6271|Chr8:6014617_6023899_-(Birc2);</t>
  </si>
  <si>
    <t>circRNA_1397|Chr11:68722906_68725314_-(Adcy5);circRNA_1399|Chr11:68745884_68750272_-(Adcy5);circRNA_1858|Chr13:95167819_95196402_-(Akt3);circRNA_1859|Chr13:95167819_95208329_-(Akt3);circRNA_2143|Chr14:87328008_87377952_+(Adcy1);circRNA_2144|Chr14:87331763_87357732_+(Adcy1);circRNA_2145|Chr14:87350088_87357732_+(Adcy1);circRNA_3818|Chr2:240854068_240861760_-(Nfkb1);circRNA_4518|Chr4:6866069_6869642_+(Rheb);</t>
  </si>
  <si>
    <t>circRNA_1397|Chr11:68722906_68725314_-(Adcy5);circRNA_1399|Chr11:68745884_68750272_-(Adcy5);circRNA_1858|Chr13:95167819_95196402_-(Akt3);circRNA_1859|Chr13:95167819_95208329_-(Akt3);circRNA_2143|Chr14:87328008_87377952_+(Adcy1);circRNA_2144|Chr14:87331763_87357732_+(Adcy1);circRNA_2145|Chr14:87350088_87357732_+(Adcy1);</t>
  </si>
  <si>
    <t>circRNA_6271|Chr8:6014617_6023899_-(Birc2);</t>
  </si>
  <si>
    <t>circRNA_1284|Chr11:2672491_2678232_-(Chmp2b);circRNA_1762|Chr13:67141798_67143114_-(Pla2g4a);circRNA_1880|Chr13:100885656_100893577_-(Capn2);circRNA_2271|Chr15:34277381_34277914_+(Rnf31);circRNA_6271|Chr8:6014617_6023899_-(Birc2);</t>
  </si>
  <si>
    <t>circRNA_1644|Chr12:39719713_39721351_+(Rad9b);circRNA_1858|Chr13:95167819_95196402_-(Akt3);circRNA_1859|Chr13:95167819_95208329_-(Akt3);circRNA_1880|Chr13:100885656_100893577_-(Capn2);circRNA_2334|Chr15:51896716_51944899_-(Ppp3cc);circRNA_2337|Chr15:51925689_51954838_-(Ppp3cc);circRNA_3059|Chr18:72593000_72611211_+(Smad2);circRNA_3818|Chr2:240854068_240861760_-(Nfkb1);circRNA_3872|Chr20:3232306_3273815_+(RT1-T24-3);circRNA_4518|Chr4:6866069_6869642_+(Rheb);circRNA_5562|Chr6:23554728_23563843_-(Ppp1cb);circRNA_5774|Chr6:108248261_108249918_+(Lin52);circRNA_6215|Chr7:130113212_130116591_-(Mapk12);</t>
  </si>
  <si>
    <t>circRNA_1740|Chr13:52671461_52673721_+(Tnnt2);circRNA_4864|Chr4:151118221_151124504_-(Cacna1c);circRNA_5502|Chr6:4259110_4315062_-(Slc8a1);circRNA_5503|Chr6:4278307_4315062_-(Slc8a1);circRNA_5504|Chr6:4298605_4315062_-(Slc8a1);circRNA_6597|Chr8:104192886_104202285_-(Atp1b3);</t>
  </si>
  <si>
    <t>circRNA_1236|Chr10:96264760_96266403_-(Prkca);circRNA_1397|Chr11:68722906_68725314_-(Adcy5);circRNA_1399|Chr11:68745884_68750272_-(Adcy5);circRNA_1725|Chr13:50150091_50150276_-(Atp2b4);circRNA_1740|Chr13:52671461_52673721_+(Tnnt2);circRNA_1858|Chr13:95167819_95196402_-(Akt3);circRNA_1859|Chr13:95167819_95208329_-(Akt3);circRNA_2143|Chr14:87328008_87377952_+(Adcy1);circRNA_2144|Chr14:87331763_87357732_+(Adcy1);circRNA_2145|Chr14:87350088_87357732_+(Adcy1);circRNA_4864|Chr4:151118221_151124504_-(Cacna1c);circRNA_5502|Chr6:4259110_4315062_-(Slc8a1);circRNA_5503|Chr6:4278307_4315062_-(Slc8a1);circRNA_5504|Chr6:4298605_4315062_-(Slc8a1);circRNA_5562|Chr6:23554728_23563843_-(Ppp1cb);circRNA_5802|Chr6:124596541_124629605_-(Rps6ka5);circRNA_5807|Chr6:124651885_124652103_-(Rps6ka5);circRNA_6215|Chr7:130113212_130116591_-(Mapk12);circRNA_6597|Chr8:104192886_104202285_-(Atp1b3);</t>
  </si>
  <si>
    <t>circRNA_0419|Chr1:192379875_192409606_+(Prkcb);circRNA_0650|Chr1:252537894_252539495_+(Acta2);circRNA_0793|Chr10:776697_822670_+(Myh11);circRNA_0795|Chr10:776884_783703_+(Myh11);circRNA_0799|Chr10:805713_819703_+(Myh11);circRNA_1236|Chr10:96264760_96266403_-(Prkca);circRNA_1397|Chr11:68722906_68725314_-(Adcy5);circRNA_1399|Chr11:68745884_68750272_-(Adcy5);circRNA_1762|Chr13:67141798_67143114_-(Pla2g4a);circRNA_2143|Chr14:87328008_87377952_+(Adcy1);circRNA_2144|Chr14:87331763_87357732_+(Adcy1);circRNA_2145|Chr14:87350088_87357732_+(Adcy1);circRNA_4700|Chr4:67399951_67412670_-(Braf);circRNA_4864|Chr4:151118221_151124504_-(Cacna1c);circRNA_5562|Chr6:23554728_23563843_-(Ppp1cb);circRNA_6002|Chr7:51433839_51444422_-(Ppp1r12a);circRNA_6344|Chr8:47335866_47339341_-(Arhgef12);</t>
  </si>
  <si>
    <t>circRNA_0419|Chr1:192379875_192409606_+(Prkcb);circRNA_1236|Chr10:96264760_96266403_-(Prkca);circRNA_2334|Chr15:51896716_51944899_-(Ppp3cc);circRNA_2337|Chr15:51925689_51954838_-(Ppp3cc);circRNA_3031|Chr18:69634006_69647714_-(Smad4);circRNA_3807|Chr2:237235103_237240502_+(Dkk2);circRNA_4917|Chr4:168213382_168221653_-(Lrp6);</t>
  </si>
  <si>
    <t>circRNA_1620|Chr12:36930749_36931726_+(Ncor2);</t>
  </si>
  <si>
    <t>circRNA_1383|Chr11:61121301_61122547_+(Boc);circRNA_6332|Chr8:36673405_36682424_+(Cdon);</t>
  </si>
  <si>
    <t>circRNA_3031|Chr18:69634006_69647714_-(Smad4);circRNA_3059|Chr18:72593000_72611211_+(Smad2);circRNA_5536|Chr6:21334766_21354603_-(Ltbp1);</t>
  </si>
  <si>
    <t>circRNA_1236|Chr10:96264760_96266403_-(Prkca);circRNA_1383|Chr11:61121301_61122547_+(Boc);circRNA_2334|Chr15:51896716_51944899_-(Ppp3cc);circRNA_2337|Chr15:51925689_51954838_-(Ppp3cc);circRNA_4560|Chr4:18311528_18331379_-(Sema3a);circRNA_6150|Chr7:114466514_114468769_-(Ptk2);circRNA_6155|Chr7:114555889_114562987_-(Ptk2);circRNA_6344|Chr8:47335866_47339341_-(Arhgef12);circRNA_6814|Chr9:50313687_50336038_+(Nck2);</t>
  </si>
  <si>
    <t>circRNA_0419|Chr1:192379875_192409606_+(Prkcb);circRNA_1236|Chr10:96264760_96266403_-(Prkca);circRNA_1762|Chr13:67141798_67143114_-(Pla2g4a);circRNA_1858|Chr13:95167819_95196402_-(Akt3);circRNA_1859|Chr13:95167819_95208329_-(Akt3);circRNA_2334|Chr15:51896716_51944899_-(Ppp3cc);circRNA_2337|Chr15:51925689_51954838_-(Ppp3cc);circRNA_6150|Chr7:114466514_114468769_-(Ptk2);circRNA_6155|Chr7:114555889_114562987_-(Ptk2);circRNA_6215|Chr7:130113212_130116591_-(Mapk12);</t>
  </si>
  <si>
    <t>circRNA_0650|Chr1:252537894_252539495_+(Acta2);circRNA_1397|Chr11:68722906_68725314_-(Adcy5);circRNA_1399|Chr11:68745884_68750272_-(Adcy5);circRNA_1858|Chr13:95167819_95196402_-(Akt3);circRNA_1859|Chr13:95167819_95208329_-(Akt3);circRNA_2143|Chr14:87328008_87377952_+(Adcy1);circRNA_2144|Chr14:87331763_87357732_+(Adcy1);circRNA_2145|Chr14:87350088_87357732_+(Adcy1);circRNA_3031|Chr18:69634006_69647714_-(Smad4);circRNA_3059|Chr18:72593000_72611211_+(Smad2);circRNA_3635|Chr2:187525295_187532740_+(Mef2d);circRNA_4281|Chr3:104375097_104394775_-(Ryr3);circRNA_4283|Chr3:104422849_104430368_-(Ryr3);circRNA_5502|Chr6:4259110_4315062_-(Slc8a1);circRNA_5503|Chr6:4278307_4315062_-(Slc8a1);circRNA_5504|Chr6:4298605_4315062_-(Slc8a1);</t>
  </si>
  <si>
    <t>circRNA_1858|Chr13:95167819_95196402_-(Akt3);circRNA_1859|Chr13:95167819_95208329_-(Akt3);circRNA_2334|Chr15:51896716_51944899_-(Ppp3cc);circRNA_2337|Chr15:51925689_51954838_-(Ppp3cc);circRNA_3818|Chr2:240854068_240861760_-(Nfkb1);circRNA_6215|Chr7:130113212_130116591_-(Mapk12);</t>
  </si>
  <si>
    <t>circRNA_2136|Chr14:85057352_85061960_-(Nf2);circRNA_3031|Chr18:69634006_69647714_-(Smad4);circRNA_3059|Chr18:72593000_72611211_+(Smad2);circRNA_5562|Chr6:23554728_23563843_-(Ppp1cb);circRNA_6075|Chr7:73684650_73748233_-(Stk3);circRNA_6271|Chr8:6014617_6023899_-(Birc2);</t>
  </si>
  <si>
    <t>circRNA_2136|Chr14:85057352_85061960_-(Nf2);circRNA_6075|Chr7:73684650_73748233_-(Stk3);</t>
  </si>
  <si>
    <t>circRNA_0419|Chr1:192379875_192409606_+(Prkcb);circRNA_1151|Chr10:82753666_82754365_+(Col1a1);circRNA_1155|Chr10:82756914_82757163_+(Col1a1);circRNA_1236|Chr10:96264760_96266403_-(Prkca);circRNA_1858|Chr13:95167819_95196402_-(Akt3);circRNA_1859|Chr13:95167819_95208329_-(Akt3);circRNA_1880|Chr13:100885656_100893577_-(Capn2);circRNA_2158|Chr14:100058305_100066787_+(Egfr);circRNA_3428|Chr2:47182739_47203913_-(Itga1);circRNA_4700|Chr4:67399951_67412670_-(Braf);circRNA_5562|Chr6:23554728_23563843_-(Ppp1cb);circRNA_5722|Chr6:91933750_91961861_-(Sos2);circRNA_5754|Chr6:103389817_103393554_-(Actn1);circRNA_6002|Chr7:51433839_51444422_-(Ppp1r12a);circRNA_6150|Chr7:114466514_114468769_-(Ptk2);circRNA_6155|Chr7:114555889_114562987_-(Ptk2);circRNA_6271|Chr8:6014617_6023899_-(Birc2);circRNA_6680|Chr8:127289436_127301219_+(Itga9);circRNA_7233|ChrX:156468826_156469166_+(Flna);</t>
  </si>
  <si>
    <t>circRNA_1151|Chr10:82753666_82754365_+(Col1a1);circRNA_1155|Chr10:82756914_82757163_+(Col1a1);circRNA_3428|Chr2:47182739_47203913_-(Itga1);circRNA_6680|Chr8:127289436_127301219_+(Itga9);</t>
  </si>
  <si>
    <t>circRNA_3872|Chr20:3232306_3273815_+(RT1-T24-3);circRNA_6399|Chr8:63332376_63335340_-(Cd276);circRNA_6680|Chr8:127289436_127301219_+(Itga9);</t>
  </si>
  <si>
    <t>circRNA_0271|Chr1:142556681_142565170_-(Iqgap1);circRNA_0696|Chr1:259412482_259459540_-(Sorbs1);circRNA_0715|Chr1:259479327_259488326_-(Sorbs1);circRNA_2158|Chr14:100058305_100066787_+(Egfr);circRNA_3031|Chr18:69634006_69647714_-(Smad4);circRNA_3059|Chr18:72593000_72611211_+(Smad2);circRNA_5754|Chr6:103389817_103393554_-(Actn1);</t>
  </si>
  <si>
    <t>circRNA_0793|Chr10:776697_822670_+(Myh11);circRNA_0795|Chr10:776884_783703_+(Myh11);circRNA_0799|Chr10:805713_819703_+(Myh11);circRNA_2136|Chr14:85057352_85061960_-(Nf2);circRNA_3007|Chr18:60691028_60702777_+(Nedd4l);circRNA_4014|Chr20:50444171_50448905_+(Bves);circRNA_4812|Chr4:125734597_125789911_-(Magi1);circRNA_5754|Chr6:103389817_103393554_-(Actn1);</t>
  </si>
  <si>
    <t>circRNA_0419|Chr1:192379875_192409606_+(Prkcb);circRNA_1236|Chr10:96264760_96266403_-(Prkca);circRNA_1397|Chr11:68722906_68725314_-(Adcy5);circRNA_1399|Chr11:68745884_68750272_-(Adcy5);circRNA_2143|Chr14:87328008_87377952_+(Adcy1);circRNA_2144|Chr14:87331763_87357732_+(Adcy1);circRNA_2145|Chr14:87350088_87357732_+(Adcy1);circRNA_2158|Chr14:100058305_100066787_+(Egfr);circRNA_5722|Chr6:91933750_91961861_-(Sos2);</t>
  </si>
  <si>
    <t>circRNA_0451|Chr1:200671013_200672411_-(Fgfr2);circRNA_1858|Chr13:95167819_95196402_-(Akt3);circRNA_1859|Chr13:95167819_95208329_-(Akt3);circRNA_3031|Chr18:69634006_69647714_-(Smad4);circRNA_3059|Chr18:72593000_72611211_+(Smad2);circRNA_6215|Chr7:130113212_130116591_-(Mapk12);</t>
  </si>
  <si>
    <t>circRNA_1151|Chr10:82753666_82754365_+(Col1a1);circRNA_1155|Chr10:82756914_82757163_+(Col1a1);circRNA_1397|Chr11:68722906_68725314_-(Adcy5);circRNA_1399|Chr11:68745884_68750272_-(Adcy5);circRNA_1762|Chr13:67141798_67143114_-(Pla2g4a);circRNA_1858|Chr13:95167819_95196402_-(Akt3);circRNA_1859|Chr13:95167819_95208329_-(Akt3);circRNA_2143|Chr14:87328008_87377952_+(Adcy1);circRNA_2144|Chr14:87331763_87357732_+(Adcy1);circRNA_2145|Chr14:87350088_87357732_+(Adcy1);circRNA_5562|Chr6:23554728_23563843_-(Ppp1cb);circRNA_6002|Chr7:51433839_51444422_-(Ppp1r12a);circRNA_6215|Chr7:130113212_130116591_-(Mapk12);circRNA_6344|Chr8:47335866_47339341_-(Arhgef12);</t>
  </si>
  <si>
    <t>circRNA_1858|Chr13:95167819_95196402_-(Akt3);circRNA_1859|Chr13:95167819_95208329_-(Akt3);circRNA_3818|Chr2:240854068_240861760_-(Nfkb1);circRNA_5882|Chr6:135672583_135696475_+(Traf3);circRNA_6215|Chr7:130113212_130116591_-(Mapk12);</t>
  </si>
  <si>
    <t>circRNA_0993|Chr10:57627261_57634588_-(Dhx33);circRNA_2271|Chr15:34277381_34277914_+(Rnf31);circRNA_3818|Chr2:240854068_240861760_-(Nfkb1);circRNA_5882|Chr6:135672583_135696475_+(Traf3);circRNA_6215|Chr7:130113212_130116591_-(Mapk12);circRNA_6271|Chr8:6014617_6023899_-(Birc2);</t>
  </si>
  <si>
    <t>circRNA_3818|Chr2:240854068_240861760_-(Nfkb1);circRNA_5882|Chr6:135672583_135696475_+(Traf3);circRNA_6215|Chr7:130113212_130116591_-(Mapk12);</t>
  </si>
  <si>
    <t>circRNA_1368|Chr11:51049296_51068978_-(Cblb);circRNA_1858|Chr13:95167819_95196402_-(Akt3);circRNA_1859|Chr13:95167819_95208329_-(Akt3);circRNA_2334|Chr15:51896716_51944899_-(Ppp3cc);circRNA_2337|Chr15:51925689_51954838_-(Ppp3cc);circRNA_3818|Chr2:240854068_240861760_-(Nfkb1);circRNA_6215|Chr7:130113212_130116591_-(Mapk12);circRNA_6344|Chr8:47335866_47339341_-(Arhgef12);</t>
  </si>
  <si>
    <t>circRNA_1168|Chr10:85313576_85314836_+(Socs7);circRNA_1858|Chr13:95167819_95196402_-(Akt3);circRNA_1859|Chr13:95167819_95208329_-(Akt3);circRNA_2158|Chr14:100058305_100066787_+(Egfr);circRNA_5249|Chr5:120609027_120616745_+(Lepr);circRNA_5722|Chr6:91933750_91961861_-(Sos2);</t>
  </si>
  <si>
    <t>circRNA_0419|Chr1:192379875_192409606_+(Prkcb);circRNA_1236|Chr10:96264760_96266403_-(Prkca);circRNA_2334|Chr15:51896716_51944899_-(Ppp3cc);circRNA_2337|Chr15:51925689_51954838_-(Ppp3cc);circRNA_3872|Chr20:3232306_3273815_+(RT1-T24-3);circRNA_4700|Chr4:67399951_67412670_-(Braf);circRNA_5722|Chr6:91933750_91961861_-(Sos2);</t>
  </si>
  <si>
    <t>circRNA_2334|Chr15:51896716_51944899_-(Ppp3cc);circRNA_2337|Chr15:51925689_51954838_-(Ppp3cc);circRNA_3818|Chr2:240854068_240861760_-(Nfkb1);circRNA_6215|Chr7:130113212_130116591_-(Mapk12);</t>
  </si>
  <si>
    <t>circRNA_2334|Chr15:51896716_51944899_-(Ppp3cc);circRNA_2337|Chr15:51925689_51954838_-(Ppp3cc);circRNA_3031|Chr18:69634006_69647714_-(Smad4);circRNA_3059|Chr18:72593000_72611211_+(Smad2);circRNA_3818|Chr2:240854068_240861760_-(Nfkb1);circRNA_6215|Chr7:130113212_130116591_-(Mapk12);</t>
  </si>
  <si>
    <t>circRNA_1368|Chr11:51049296_51068978_-(Cblb);circRNA_1858|Chr13:95167819_95196402_-(Akt3);circRNA_1859|Chr13:95167819_95208329_-(Akt3);circRNA_2334|Chr15:51896716_51944899_-(Ppp3cc);circRNA_2337|Chr15:51925689_51954838_-(Ppp3cc);circRNA_3818|Chr2:240854068_240861760_-(Nfkb1);circRNA_5722|Chr6:91933750_91961861_-(Sos2);circRNA_6215|Chr7:130113212_130116591_-(Mapk12);circRNA_6814|Chr9:50313687_50336038_+(Nck2);</t>
  </si>
  <si>
    <t>circRNA_0419|Chr1:192379875_192409606_+(Prkcb);circRNA_1858|Chr13:95167819_95196402_-(Akt3);circRNA_1859|Chr13:95167819_95208329_-(Akt3);circRNA_2334|Chr15:51896716_51944899_-(Ppp3cc);circRNA_2337|Chr15:51925689_51954838_-(Ppp3cc);circRNA_3818|Chr2:240854068_240861760_-(Nfkb1);circRNA_5722|Chr6:91933750_91961861_-(Sos2);</t>
  </si>
  <si>
    <t>circRNA_1236|Chr10:96264760_96266403_-(Prkca);circRNA_1762|Chr13:67141798_67143114_-(Pla2g4a);circRNA_1858|Chr13:95167819_95196402_-(Akt3);circRNA_1859|Chr13:95167819_95208329_-(Akt3);circRNA_5722|Chr6:91933750_91961861_-(Sos2);circRNA_6215|Chr7:130113212_130116591_-(Mapk12);</t>
  </si>
  <si>
    <t>circRNA_0419|Chr1:192379875_192409606_+(Prkcb);circRNA_1236|Chr10:96264760_96266403_-(Prkca);circRNA_1762|Chr13:67141798_67143114_-(Pla2g4a);circRNA_1858|Chr13:95167819_95196402_-(Akt3);circRNA_1859|Chr13:95167819_95208329_-(Akt3);circRNA_3515|Chr2:113747182_113764892_+(Pld1);</t>
  </si>
  <si>
    <t>circRNA_1858|Chr13:95167819_95196402_-(Akt3);circRNA_1859|Chr13:95167819_95208329_-(Akt3);circRNA_3818|Chr2:240854068_240861760_-(Nfkb1);circRNA_4426|Chr3:150692740_150696569_+(Itch);circRNA_4428|Chr3:150717267_150725392_+(Itch);circRNA_4429|Chr3:150717267_150727954_+(Itch);circRNA_4430|Chr3:150717267_150734719_+(Itch);circRNA_5802|Chr6:124596541_124629605_-(Rps6ka5);circRNA_5807|Chr6:124651885_124652103_-(Rps6ka5);circRNA_5882|Chr6:135672583_135696475_+(Traf3);circRNA_6215|Chr7:130113212_130116591_-(Mapk12);circRNA_6271|Chr8:6014617_6023899_-(Birc2);</t>
  </si>
  <si>
    <t>circRNA_0419|Chr1:192379875_192409606_+(Prkcb);circRNA_1236|Chr10:96264760_96266403_-(Prkca);circRNA_5754|Chr6:103389817_103393554_-(Actn1);circRNA_6150|Chr7:114466514_114468769_-(Ptk2);circRNA_6155|Chr7:114555889_114562987_-(Ptk2);circRNA_6215|Chr7:130113212_130116591_-(Mapk12);</t>
  </si>
  <si>
    <t>circRNA_0419|Chr1:192379875_192409606_+(Prkcb);circRNA_0839|Chr10:5930383_5930975_+(Grin2a);circRNA_1236|Chr10:96264760_96266403_-(Prkca);circRNA_1397|Chr11:68722906_68725314_-(Adcy5);circRNA_1399|Chr11:68745884_68750272_-(Adcy5);circRNA_2143|Chr14:87328008_87377952_+(Adcy1);circRNA_2144|Chr14:87331763_87357732_+(Adcy1);circRNA_2145|Chr14:87350088_87357732_+(Adcy1);circRNA_4281|Chr3:104375097_104394775_-(Ryr3);circRNA_4283|Chr3:104422849_104430368_-(Ryr3);circRNA_4864|Chr4:151118221_151124504_-(Cacna1c);circRNA_5802|Chr6:124596541_124629605_-(Rps6ka5);circRNA_5807|Chr6:124651885_124652103_-(Rps6ka5);</t>
  </si>
  <si>
    <t>circRNA_1397|Chr11:68722906_68725314_-(Adcy5);circRNA_1399|Chr11:68745884_68750272_-(Adcy5);circRNA_2143|Chr14:87328008_87377952_+(Adcy1);circRNA_2144|Chr14:87331763_87357732_+(Adcy1);circRNA_2145|Chr14:87350088_87357732_+(Adcy1);circRNA_4518|Chr4:6866069_6869642_+(Rheb);circRNA_5722|Chr6:91933750_91961861_-(Sos2);circRNA_6215|Chr7:130113212_130116591_-(Mapk12);</t>
  </si>
  <si>
    <t>circRNA_0419|Chr1:192379875_192409606_+(Prkcb);circRNA_0839|Chr10:5930383_5930975_+(Grin2a);circRNA_1236|Chr10:96264760_96266403_-(Prkca);circRNA_2143|Chr14:87328008_87377952_+(Adcy1);circRNA_2144|Chr14:87331763_87357732_+(Adcy1);circRNA_2145|Chr14:87350088_87357732_+(Adcy1);circRNA_2334|Chr15:51896716_51944899_-(Ppp3cc);circRNA_2337|Chr15:51925689_51954838_-(Ppp3cc);circRNA_4700|Chr4:67399951_67412670_-(Braf);circRNA_4864|Chr4:151118221_151124504_-(Cacna1c);circRNA_5562|Chr6:23554728_23563843_-(Ppp1cb);</t>
  </si>
  <si>
    <t>circRNA_0193|Chr1:100913425_100914082_-(Ap2a1);circRNA_0503|Chr1:214562895_214581660_+(Ap2a2);circRNA_3140|Chr19:25721379_25722171_+(Cacna1a);</t>
  </si>
  <si>
    <t>circRNA_0259|Chr1:139943398_139956356_-(Ntrk3);circRNA_1212|Chr10:94292693_94314584_+(Map3k3);circRNA_1858|Chr13:95167819_95196402_-(Akt3);circRNA_1859|Chr13:95167819_95208329_-(Akt3);circRNA_3150|Chr19:30869716_30883569_+(Gab1);circRNA_3818|Chr2:240854068_240861760_-(Nfkb1);circRNA_4700|Chr4:67399951_67412670_-(Braf);circRNA_5722|Chr6:91933750_91961861_-(Sos2);circRNA_5802|Chr6:124596541_124629605_-(Rps6ka5);circRNA_5807|Chr6:124651885_124652103_-(Rps6ka5);circRNA_6050|Chr7:64953167_64961215_-(Irak3);circRNA_6215|Chr7:130113212_130116591_-(Mapk12);</t>
  </si>
  <si>
    <t>circRNA_0419|Chr1:192379875_192409606_+(Prkcb);circRNA_1236|Chr10:96264760_96266403_-(Prkca);circRNA_1397|Chr11:68722906_68725314_-(Adcy5);circRNA_1399|Chr11:68745884_68750272_-(Adcy5);circRNA_2143|Chr14:87328008_87377952_+(Adcy1);circRNA_2144|Chr14:87331763_87357732_+(Adcy1);circRNA_2145|Chr14:87350088_87357732_+(Adcy1);circRNA_3140|Chr19:25721379_25722171_+(Cacna1a);circRNA_4864|Chr4:151118221_151124504_-(Cacna1c);circRNA_6215|Chr7:130113212_130116591_-(Mapk12);</t>
  </si>
  <si>
    <t>circRNA_0419|Chr1:192379875_192409606_+(Prkcb);circRNA_0839|Chr10:5930383_5930975_+(Grin2a);circRNA_1236|Chr10:96264760_96266403_-(Prkca);circRNA_1397|Chr11:68722906_68725314_-(Adcy5);circRNA_1399|Chr11:68745884_68750272_-(Adcy5);circRNA_1762|Chr13:67141798_67143114_-(Pla2g4a);circRNA_2143|Chr14:87328008_87377952_+(Adcy1);circRNA_2144|Chr14:87331763_87357732_+(Adcy1);circRNA_2145|Chr14:87350088_87357732_+(Adcy1);circRNA_2334|Chr15:51896716_51944899_-(Ppp3cc);circRNA_2337|Chr15:51925689_51954838_-(Ppp3cc);circRNA_3140|Chr19:25721379_25722171_+(Cacna1a);circRNA_3515|Chr2:113747182_113764892_+(Pld1);circRNA_4864|Chr4:151118221_151124504_-(Cacna1c);</t>
  </si>
  <si>
    <t>circRNA_0419|Chr1:192379875_192409606_+(Prkcb);circRNA_1236|Chr10:96264760_96266403_-(Prkca);circRNA_1397|Chr11:68722906_68725314_-(Adcy5);circRNA_1399|Chr11:68745884_68750272_-(Adcy5);circRNA_1858|Chr13:95167819_95196402_-(Akt3);circRNA_1859|Chr13:95167819_95208329_-(Akt3);circRNA_2143|Chr14:87328008_87377952_+(Adcy1);circRNA_2144|Chr14:87331763_87357732_+(Adcy1);circRNA_2145|Chr14:87350088_87357732_+(Adcy1);circRNA_3140|Chr19:25721379_25722171_+(Cacna1a);circRNA_4864|Chr4:151118221_151124504_-(Cacna1c);</t>
  </si>
  <si>
    <t>circRNA_0419|Chr1:192379875_192409606_+(Prkcb);circRNA_1236|Chr10:96264760_96266403_-(Prkca);circRNA_1299|Chr11:24479964_24512332_-(App);circRNA_1301|Chr11:24527899_24550752_-(App);circRNA_1397|Chr11:68722906_68725314_-(Adcy5);circRNA_1399|Chr11:68745884_68750272_-(Adcy5);circRNA_1762|Chr13:67141798_67143114_-(Pla2g4a);circRNA_3140|Chr19:25721379_25722171_+(Cacna1a);circRNA_4700|Chr4:67399951_67412670_-(Braf);circRNA_4864|Chr4:151118221_151124504_-(Cacna1c);</t>
  </si>
  <si>
    <t>circRNA_0419|Chr1:192379875_192409606_+(Prkcb);circRNA_1236|Chr10:96264760_96266403_-(Prkca);circRNA_1397|Chr11:68722906_68725314_-(Adcy5);circRNA_1399|Chr11:68745884_68750272_-(Adcy5);circRNA_2143|Chr14:87328008_87377952_+(Adcy1);circRNA_2144|Chr14:87331763_87357732_+(Adcy1);circRNA_2145|Chr14:87350088_87357732_+(Adcy1);circRNA_3140|Chr19:25721379_25722171_+(Cacna1a);circRNA_4864|Chr4:151118221_151124504_-(Cacna1c);</t>
  </si>
  <si>
    <t>circRNA_0419|Chr1:192379875_192409606_+(Prkcb);circRNA_0839|Chr10:5930383_5930975_+(Grin2a);circRNA_1236|Chr10:96264760_96266403_-(Prkca);circRNA_1397|Chr11:68722906_68725314_-(Adcy5);circRNA_1399|Chr11:68745884_68750272_-(Adcy5);circRNA_1858|Chr13:95167819_95196402_-(Akt3);circRNA_1859|Chr13:95167819_95208329_-(Akt3);circRNA_2334|Chr15:51896716_51944899_-(Ppp3cc);circRNA_2337|Chr15:51925689_51954838_-(Ppp3cc);circRNA_3140|Chr19:25721379_25722171_+(Cacna1a);circRNA_4864|Chr4:151118221_151124504_-(Cacna1c);circRNA_5562|Chr6:23554728_23563843_-(Ppp1cb);circRNA_6215|Chr7:130113212_130116591_-(Mapk12);</t>
  </si>
  <si>
    <t>circRNA_0419|Chr1:192379875_192409606_+(Prkcb);circRNA_1236|Chr10:96264760_96266403_-(Prkca);circRNA_1762|Chr13:67141798_67143114_-(Pla2g4a);circRNA_3140|Chr19:25721379_25722171_+(Cacna1a);circRNA_4700|Chr4:67399951_67412670_-(Braf);</t>
  </si>
  <si>
    <t>circRNA_0419|Chr1:192379875_192409606_+(Prkcb);circRNA_1236|Chr10:96264760_96266403_-(Prkca);circRNA_1397|Chr11:68722906_68725314_-(Adcy5);circRNA_1399|Chr11:68745884_68750272_-(Adcy5);circRNA_1762|Chr13:67141798_67143114_-(Pla2g4a);circRNA_2143|Chr14:87328008_87377952_+(Adcy1);circRNA_2144|Chr14:87331763_87357732_+(Adcy1);circRNA_2145|Chr14:87350088_87357732_+(Adcy1);circRNA_5562|Chr6:23554728_23563843_-(Ppp1cb);circRNA_6215|Chr7:130113212_130116591_-(Mapk12);</t>
  </si>
  <si>
    <t>circRNA_0271|Chr1:142556681_142565170_-(Iqgap1);circRNA_0451|Chr1:200671013_200672411_-(Fgfr2);circRNA_2158|Chr14:100058305_100066787_+(Egfr);circRNA_2588|Chr16:83050847_83058847_-(Arhgef7);circRNA_3428|Chr2:47182739_47203913_-(Itga1);circRNA_4700|Chr4:67399951_67412670_-(Braf);circRNA_5562|Chr6:23554728_23563843_-(Ppp1cb);circRNA_5722|Chr6:91933750_91961861_-(Sos2);circRNA_5754|Chr6:103389817_103393554_-(Actn1);circRNA_6002|Chr7:51433839_51444422_-(Ppp1r12a);circRNA_6150|Chr7:114466514_114468769_-(Ptk2);circRNA_6155|Chr7:114555889_114562987_-(Ptk2);circRNA_6344|Chr8:47335866_47339341_-(Arhgef12);circRNA_6680|Chr8:127289436_127301219_+(Itga9);circRNA_6920|Chr9:71920586_71960153_+(Pikfyve);circRNA_7167|ChrX:99728011_99758593_+(Diaph2);circRNA_7169|ChrX:99888053_99900275_+(Diaph2);</t>
  </si>
  <si>
    <t>circRNA_0696|Chr1:259412482_259459540_-(Sorbs1);circRNA_0715|Chr1:259479327_259488326_-(Sorbs1);circRNA_1368|Chr11:51049296_51068978_-(Cblb);circRNA_1858|Chr13:95167819_95196402_-(Akt3);circRNA_1859|Chr13:95167819_95208329_-(Akt3);circRNA_3133|Chr19:22177001_22179584_-(Phkb);circRNA_4518|Chr4:6866069_6869642_+(Rheb);circRNA_4700|Chr4:67399951_67412670_-(Braf);circRNA_5562|Chr6:23554728_23563843_-(Ppp1cb);circRNA_5722|Chr6:91933750_91961861_-(Sos2);</t>
  </si>
  <si>
    <t>circRNA_0419|Chr1:192379875_192409606_+(Prkcb);circRNA_1236|Chr10:96264760_96266403_-(Prkca);circRNA_1397|Chr11:68722906_68725314_-(Adcy5);circRNA_1399|Chr11:68745884_68750272_-(Adcy5);circRNA_2143|Chr14:87328008_87377952_+(Adcy1);circRNA_2144|Chr14:87331763_87357732_+(Adcy1);circRNA_2145|Chr14:87350088_87357732_+(Adcy1);circRNA_4864|Chr4:151118221_151124504_-(Cacna1c);circRNA_6597|Chr8:104192886_104202285_-(Atp1b3);</t>
  </si>
  <si>
    <t>circRNA_0419|Chr1:192379875_192409606_+(Prkcb);circRNA_1212|Chr10:94292693_94314584_+(Map3k3);circRNA_1236|Chr10:96264760_96266403_-(Prkca);circRNA_1397|Chr11:68722906_68725314_-(Adcy5);circRNA_1399|Chr11:68745884_68750272_-(Adcy5);circRNA_1762|Chr13:67141798_67143114_-(Pla2g4a);circRNA_2143|Chr14:87328008_87377952_+(Adcy1);circRNA_2144|Chr14:87331763_87357732_+(Adcy1);circRNA_2145|Chr14:87350088_87357732_+(Adcy1);circRNA_2158|Chr14:100058305_100066787_+(Egfr);circRNA_3515|Chr2:113747182_113764892_+(Pld1);circRNA_4864|Chr4:151118221_151124504_-(Cacna1c);circRNA_5722|Chr6:91933750_91961861_-(Sos2);circRNA_6215|Chr7:130113212_130116591_-(Mapk12);</t>
  </si>
  <si>
    <t>circRNA_1397|Chr11:68722906_68725314_-(Adcy5);circRNA_1399|Chr11:68745884_68750272_-(Adcy5);circRNA_1762|Chr13:67141798_67143114_-(Pla2g4a);circRNA_2143|Chr14:87328008_87377952_+(Adcy1);circRNA_2144|Chr14:87331763_87357732_+(Adcy1);circRNA_2145|Chr14:87350088_87357732_+(Adcy1);</t>
  </si>
  <si>
    <t>circRNA_0661|Chr1:255685048_255694514_-(Cpeb3);circRNA_0663|Chr1:255727112_255764689_-(Cpeb3);circRNA_1397|Chr11:68722906_68725314_-(Adcy5);circRNA_1399|Chr11:68745884_68750272_-(Adcy5);circRNA_1858|Chr13:95167819_95196402_-(Akt3);circRNA_1859|Chr13:95167819_95208329_-(Akt3);circRNA_2143|Chr14:87328008_87377952_+(Adcy1);circRNA_2144|Chr14:87331763_87357732_+(Adcy1);circRNA_2145|Chr14:87350088_87357732_+(Adcy1);circRNA_4700|Chr4:67399951_67412670_-(Braf);circRNA_6215|Chr7:130113212_130116591_-(Mapk12);</t>
  </si>
  <si>
    <t>circRNA_1397|Chr11:68722906_68725314_-(Adcy5);circRNA_1399|Chr11:68745884_68750272_-(Adcy5);circRNA_1858|Chr13:95167819_95196402_-(Akt3);circRNA_1859|Chr13:95167819_95208329_-(Akt3);circRNA_2143|Chr14:87328008_87377952_+(Adcy1);circRNA_2144|Chr14:87331763_87357732_+(Adcy1);circRNA_2145|Chr14:87350088_87357732_+(Adcy1);circRNA_2158|Chr14:100058305_100066787_+(Egfr);circRNA_5722|Chr6:91933750_91961861_-(Sos2);</t>
  </si>
  <si>
    <t>circRNA_0419|Chr1:192379875_192409606_+(Prkcb);circRNA_1236|Chr10:96264760_96266403_-(Prkca);circRNA_1397|Chr11:68722906_68725314_-(Adcy5);circRNA_1399|Chr11:68745884_68750272_-(Adcy5);circRNA_2143|Chr14:87328008_87377952_+(Adcy1);circRNA_2144|Chr14:87331763_87357732_+(Adcy1);circRNA_2145|Chr14:87350088_87357732_+(Adcy1);</t>
  </si>
  <si>
    <t>circRNA_1168|Chr10:85313576_85314836_+(Socs7);circRNA_1858|Chr13:95167819_95196402_-(Akt3);circRNA_1859|Chr13:95167819_95208329_-(Akt3);circRNA_3818|Chr2:240854068_240861760_-(Nfkb1);circRNA_5722|Chr6:91933750_91961861_-(Sos2);circRNA_6215|Chr7:130113212_130116591_-(Mapk12);</t>
  </si>
  <si>
    <t>circRNA_0419|Chr1:192379875_192409606_+(Prkcb);circRNA_1236|Chr10:96264760_96266403_-(Prkca);circRNA_1397|Chr11:68722906_68725314_-(Adcy5);circRNA_1399|Chr11:68745884_68750272_-(Adcy5);circRNA_2143|Chr14:87328008_87377952_+(Adcy1);circRNA_2144|Chr14:87331763_87357732_+(Adcy1);circRNA_2145|Chr14:87350088_87357732_+(Adcy1);circRNA_6597|Chr8:104192886_104202285_-(Atp1b3);</t>
  </si>
  <si>
    <t>circRNA_0419|Chr1:192379875_192409606_+(Prkcb);circRNA_1236|Chr10:96264760_96266403_-(Prkca);circRNA_1858|Chr13:95167819_95196402_-(Akt3);circRNA_1859|Chr13:95167819_95208329_-(Akt3);circRNA_4518|Chr4:6866069_6869642_+(Rheb);circRNA_6597|Chr8:104192886_104202285_-(Atp1b3);</t>
  </si>
  <si>
    <t>circRNA_1858|Chr13:95167819_95196402_-(Akt3);circRNA_1859|Chr13:95167819_95208329_-(Akt3);circRNA_3818|Chr2:240854068_240861760_-(Nfkb1);circRNA_5249|Chr5:120609027_120616745_+(Lepr);</t>
  </si>
  <si>
    <t>circRNA_0419|Chr1:192379875_192409606_+(Prkcb);circRNA_1236|Chr10:96264760_96266403_-(Prkca);circRNA_1397|Chr11:68722906_68725314_-(Adcy5);circRNA_1399|Chr11:68745884_68750272_-(Adcy5);circRNA_1762|Chr13:67141798_67143114_-(Pla2g4a);circRNA_2143|Chr14:87328008_87377952_+(Adcy1);circRNA_2144|Chr14:87331763_87357732_+(Adcy1);circRNA_2145|Chr14:87350088_87357732_+(Adcy1);circRNA_2158|Chr14:100058305_100066787_+(Egfr);circRNA_2334|Chr15:51896716_51944899_-(Ppp3cc);circRNA_2337|Chr15:51925689_51954838_-(Ppp3cc);circRNA_4281|Chr3:104375097_104394775_-(Ryr3);circRNA_4283|Chr3:104422849_104430368_-(Ryr3);circRNA_4864|Chr4:151118221_151124504_-(Cacna1c);circRNA_5562|Chr6:23554728_23563843_-(Ppp1cb);circRNA_6002|Chr7:51433839_51444422_-(Ppp1r12a);</t>
  </si>
  <si>
    <t>circRNA_1858|Chr13:95167819_95196402_-(Akt3);circRNA_1859|Chr13:95167819_95208329_-(Akt3);circRNA_2334|Chr15:51896716_51944899_-(Ppp3cc);circRNA_2337|Chr15:51925689_51954838_-(Ppp3cc);circRNA_3133|Chr19:22177001_22179584_-(Phkb);</t>
  </si>
  <si>
    <t>circRNA_1397|Chr11:68722906_68725314_-(Adcy5);circRNA_1399|Chr11:68745884_68750272_-(Adcy5);circRNA_2334|Chr15:51896716_51944899_-(Ppp3cc);circRNA_2337|Chr15:51925689_51954838_-(Ppp3cc);circRNA_4864|Chr4:151118221_151124504_-(Cacna1c);</t>
  </si>
  <si>
    <t>circRNA_0419|Chr1:192379875_192409606_+(Prkcb);circRNA_1236|Chr10:96264760_96266403_-(Prkca);circRNA_1397|Chr11:68722906_68725314_-(Adcy5);circRNA_1399|Chr11:68745884_68750272_-(Adcy5);circRNA_1725|Chr13:50150091_50150276_-(Atp2b4);circRNA_2143|Chr14:87328008_87377952_+(Adcy1);circRNA_2144|Chr14:87331763_87357732_+(Adcy1);circRNA_2145|Chr14:87350088_87357732_+(Adcy1);circRNA_4864|Chr4:151118221_151124504_-(Cacna1c);circRNA_5664|Chr6:71078256_71089829_-(Prkd1);circRNA_6597|Chr8:104192886_104202285_-(Atp1b3);</t>
  </si>
  <si>
    <t>circRNA_0650|Chr1:252537894_252539495_+(Acta2);circRNA_1151|Chr10:82753666_82754365_+(Col1a1);circRNA_1155|Chr10:82756914_82757163_+(Col1a1);circRNA_1236|Chr10:96264760_96266403_-(Prkca);circRNA_1397|Chr11:68722906_68725314_-(Adcy5);circRNA_1399|Chr11:68745884_68750272_-(Adcy5);circRNA_1858|Chr13:95167819_95196402_-(Akt3);circRNA_1859|Chr13:95167819_95208329_-(Akt3);circRNA_2143|Chr14:87328008_87377952_+(Adcy1);circRNA_2144|Chr14:87331763_87357732_+(Adcy1);circRNA_2145|Chr14:87350088_87357732_+(Adcy1);circRNA_2158|Chr14:100058305_100066787_+(Egfr);circRNA_3059|Chr18:72593000_72611211_+(Smad2);circRNA_3818|Chr2:240854068_240861760_-(Nfkb1);circRNA_5722|Chr6:91933750_91961861_-(Sos2);circRNA_6215|Chr7:130113212_130116591_-(Mapk12);</t>
  </si>
  <si>
    <t>circRNA_1397|Chr11:68722906_68725314_-(Adcy5);circRNA_1399|Chr11:68745884_68750272_-(Adcy5);circRNA_1846|Chr13:86444740_86451001_-(Pbx1);circRNA_2143|Chr14:87328008_87377952_+(Adcy1);circRNA_2144|Chr14:87331763_87357732_+(Adcy1);circRNA_2145|Chr14:87350088_87357732_+(Adcy1);circRNA_4864|Chr4:151118221_151124504_-(Cacna1c);</t>
  </si>
  <si>
    <t>circRNA_0419|Chr1:192379875_192409606_+(Prkcb);circRNA_1858|Chr13:95167819_95196402_-(Akt3);circRNA_1859|Chr13:95167819_95208329_-(Akt3);circRNA_3818|Chr2:240854068_240861760_-(Nfkb1);circRNA_5562|Chr6:23554728_23563843_-(Ppp1cb);</t>
  </si>
  <si>
    <t>circRNA_1858|Chr13:95167819_95196402_-(Akt3);circRNA_1859|Chr13:95167819_95208329_-(Akt3);circRNA_3818|Chr2:240854068_240861760_-(Nfkb1);circRNA_4426|Chr3:150692740_150696569_+(Itch);circRNA_4428|Chr3:150717267_150725392_+(Itch);circRNA_4429|Chr3:150717267_150727954_+(Itch);circRNA_4430|Chr3:150717267_150734719_+(Itch);circRNA_5249|Chr5:120609027_120616745_+(Lepr);</t>
  </si>
  <si>
    <t>circRNA_0419|Chr1:192379875_192409606_+(Prkcb);circRNA_1151|Chr10:82753666_82754365_+(Col1a1);circRNA_1155|Chr10:82756914_82757163_+(Col1a1);circRNA_1236|Chr10:96264760_96266403_-(Prkca);circRNA_1858|Chr13:95167819_95196402_-(Akt3);circRNA_1859|Chr13:95167819_95208329_-(Akt3);circRNA_3031|Chr18:69634006_69647714_-(Smad4);circRNA_3059|Chr18:72593000_72611211_+(Smad2);circRNA_3818|Chr2:240854068_240861760_-(Nfkb1);circRNA_6215|Chr7:130113212_130116591_-(Mapk12);</t>
  </si>
  <si>
    <t>circRNA_1397|Chr11:68722906_68725314_-(Adcy5);circRNA_1399|Chr11:68745884_68750272_-(Adcy5);circRNA_1846|Chr13:86444740_86451001_-(Pbx1);circRNA_2143|Chr14:87328008_87377952_+(Adcy1);circRNA_2144|Chr14:87331763_87357732_+(Adcy1);circRNA_2145|Chr14:87350088_87357732_+(Adcy1);circRNA_2158|Chr14:100058305_100066787_+(Egfr);circRNA_4700|Chr4:67399951_67412670_-(Braf);circRNA_4864|Chr4:151118221_151124504_-(Cacna1c);circRNA_6349|Chr8:49140247_49141428_-(Kmt2a);</t>
  </si>
  <si>
    <t>circRNA_0419|Chr1:192379875_192409606_+(Prkcb);circRNA_1236|Chr10:96264760_96266403_-(Prkca);circRNA_3007|Chr18:60691028_60702777_+(Nedd4l);circRNA_6597|Chr8:104192886_104202285_-(Atp1b3);</t>
  </si>
  <si>
    <t>circRNA_0193|Chr1:100913425_100914082_-(Ap2a1);circRNA_0419|Chr1:192379875_192409606_+(Prkcb);circRNA_0503|Chr1:214562895_214581660_+(Ap2a2);circRNA_1236|Chr10:96264760_96266403_-(Prkca);circRNA_5502|Chr6:4259110_4315062_-(Slc8a1);circRNA_5503|Chr6:4278307_4315062_-(Slc8a1);circRNA_5504|Chr6:4298605_4315062_-(Slc8a1);circRNA_6597|Chr8:104192886_104202285_-(Atp1b3);</t>
  </si>
  <si>
    <t>circRNA_1989|Chr14:20749845_20769564_-(Slc4a4);circRNA_6597|Chr8:104192886_104202285_-(Atp1b3);</t>
  </si>
  <si>
    <t>circRNA_0419|Chr1:192379875_192409606_+(Prkcb);circRNA_1236|Chr10:96264760_96266403_-(Prkca);circRNA_1397|Chr11:68722906_68725314_-(Adcy5);circRNA_1399|Chr11:68745884_68750272_-(Adcy5);circRNA_1725|Chr13:50150091_50150276_-(Atp2b4);circRNA_2143|Chr14:87328008_87377952_+(Adcy1);circRNA_2144|Chr14:87331763_87357732_+(Adcy1);circRNA_2145|Chr14:87350088_87357732_+(Adcy1);circRNA_4281|Chr3:104375097_104394775_-(Ryr3);circRNA_4283|Chr3:104422849_104430368_-(Ryr3);circRNA_6597|Chr8:104192886_104202285_-(Atp1b3);</t>
  </si>
  <si>
    <t>circRNA_0419|Chr1:192379875_192409606_+(Prkcb);circRNA_1236|Chr10:96264760_96266403_-(Prkca);circRNA_1397|Chr11:68722906_68725314_-(Adcy5);circRNA_1399|Chr11:68745884_68750272_-(Adcy5);circRNA_1725|Chr13:50150091_50150276_-(Atp2b4);circRNA_1989|Chr14:20749845_20769564_-(Slc4a4);circRNA_2143|Chr14:87328008_87377952_+(Adcy1);circRNA_2144|Chr14:87331763_87357732_+(Adcy1);circRNA_2145|Chr14:87350088_87357732_+(Adcy1);circRNA_6597|Chr8:104192886_104202285_-(Atp1b3);</t>
  </si>
  <si>
    <t>circRNA_0419|Chr1:192379875_192409606_+(Prkcb);circRNA_1858|Chr13:95167819_95196402_-(Akt3);circRNA_1859|Chr13:95167819_95208329_-(Akt3);circRNA_6597|Chr8:104192886_104202285_-(Atp1b3);</t>
  </si>
  <si>
    <t>circRNA_1151|Chr10:82753666_82754365_+(Col1a1);circRNA_1155|Chr10:82756914_82757163_+(Col1a1);circRNA_2270|Chr15:33015618_33017521_-(Slc7a7);circRNA_5502|Chr6:4259110_4315062_-(Slc8a1);circRNA_5503|Chr6:4278307_4315062_-(Slc8a1);circRNA_5504|Chr6:4298605_4315062_-(Slc8a1);circRNA_6597|Chr8:104192886_104202285_-(Atp1b3);</t>
  </si>
  <si>
    <t>circRNA_1397|Chr11:68722906_68725314_-(Adcy5);circRNA_1399|Chr11:68745884_68750272_-(Adcy5);circRNA_1989|Chr14:20749845_20769564_-(Slc4a4);circRNA_2143|Chr14:87328008_87377952_+(Adcy1);circRNA_2144|Chr14:87331763_87357732_+(Adcy1);circRNA_2145|Chr14:87350088_87357732_+(Adcy1);circRNA_2408|Chr15:103872241_103886205_-(Abcc4);circRNA_6597|Chr8:104192886_104202285_-(Atp1b3);</t>
  </si>
  <si>
    <t>circRNA_0666|Chr1:255931357_255935277_-(Ide);circRNA_0671|Chr1:255970949_255976428_-(Ide);circRNA_0839|Chr10:5930383_5930975_+(Grin2a);circRNA_1299|Chr11:24479964_24512332_-(App);circRNA_1301|Chr11:24527899_24550752_-(App);circRNA_1847|Chr13:89163767_89176307_-(Atf6);circRNA_1880|Chr13:100885656_100893577_-(Capn2);circRNA_2334|Chr15:51896716_51944899_-(Ppp3cc);circRNA_2337|Chr15:51925689_51954838_-(Ppp3cc);circRNA_4281|Chr3:104375097_104394775_-(Ryr3);circRNA_4283|Chr3:104422849_104430368_-(Ryr3);circRNA_4864|Chr4:151118221_151124504_-(Cacna1c);</t>
  </si>
  <si>
    <t>circRNA_0999|Chr10:59192184_59239990_+(Ube2g1);circRNA_1397|Chr11:68722906_68725314_-(Adcy5);circRNA_1399|Chr11:68745884_68750272_-(Adcy5);circRNA_7064|ChrX:1729687_1730287_-(Uba1);</t>
  </si>
  <si>
    <t>circRNA_0193|Chr1:100913425_100914082_-(Ap2a1);circRNA_0503|Chr1:214562895_214581660_+(Ap2a2);circRNA_2866|Chr18:6218154_6233603_+(Taf4b);circRNA_5880|Chr6:135528658_135538817_+(Rcor1);circRNA_5881|Chr6:135533315_135544421_+(Rcor1);</t>
  </si>
  <si>
    <t>circRNA_0839|Chr10:5930383_5930975_+(Grin2a);circRNA_1397|Chr11:68722906_68725314_-(Adcy5);circRNA_1399|Chr11:68745884_68750272_-(Adcy5);circRNA_3818|Chr2:240854068_240861760_-(Nfkb1);</t>
  </si>
  <si>
    <t>circRNA_0419|Chr1:192379875_192409606_+(Prkcb);circRNA_0839|Chr10:5930383_5930975_+(Grin2a);circRNA_1236|Chr10:96264760_96266403_-(Prkca);circRNA_1397|Chr11:68722906_68725314_-(Adcy5);circRNA_1399|Chr11:68745884_68750272_-(Adcy5);circRNA_2334|Chr15:51896716_51944899_-(Ppp3cc);circRNA_2337|Chr15:51925689_51954838_-(Ppp3cc);circRNA_4864|Chr4:151118221_151124504_-(Cacna1c);circRNA_5562|Chr6:23554728_23563843_-(Ppp1cb);</t>
  </si>
  <si>
    <t>circRNA_0419|Chr1:192379875_192409606_+(Prkcb);circRNA_1236|Chr10:96264760_96266403_-(Prkca);circRNA_1397|Chr11:68722906_68725314_-(Adcy5);circRNA_1399|Chr11:68745884_68750272_-(Adcy5);circRNA_2143|Chr14:87328008_87377952_+(Adcy1);circRNA_2144|Chr14:87331763_87357732_+(Adcy1);circRNA_2145|Chr14:87350088_87357732_+(Adcy1);circRNA_3140|Chr19:25721379_25722171_+(Cacna1a);</t>
  </si>
  <si>
    <t>circRNA_0839|Chr10:5930383_5930975_+(Grin2a);circRNA_1397|Chr11:68722906_68725314_-(Adcy5);circRNA_1399|Chr11:68745884_68750272_-(Adcy5);circRNA_4700|Chr4:67399951_67412670_-(Braf);circRNA_5562|Chr6:23554728_23563843_-(Ppp1cb);circRNA_5722|Chr6:91933750_91961861_-(Sos2);</t>
  </si>
  <si>
    <t>circRNA_3150|Chr19:30869716_30883569_+(Gab1);circRNA_3180|Chr19:34249087_34272192_+(Arhgap10);circRNA_3182|Chr19:34266719_34272192_+(Arhgap10);circRNA_3187|Chr19:34292209_34312530_+(Arhgap10);circRNA_6150|Chr7:114466514_114468769_-(Ptk2);circRNA_6155|Chr7:114555889_114562987_-(Ptk2);circRNA_6758|Chr9:20817077_20849380_+(Cd2ap);</t>
  </si>
  <si>
    <t>circRNA_3818|Chr2:240854068_240861760_-(Nfkb1);circRNA_5896|Chr6:136348651_136358127_+(Klc1);circRNA_6215|Chr7:130113212_130116591_-(Mapk12);circRNA_7233|ChrX:156468826_156469166_+(Flna);</t>
  </si>
  <si>
    <t>circRNA_0041|Chr1:16859047_16879498_+(Hbs1l);circRNA_3818|Chr2:240854068_240861760_-(Nfkb1);</t>
  </si>
  <si>
    <t>circRNA_0419|Chr1:192379875_192409606_+(Prkcb);circRNA_3818|Chr2:240854068_240861760_-(Nfkb1);circRNA_6215|Chr7:130113212_130116591_-(Mapk12);</t>
  </si>
  <si>
    <t>circRNA_1858|Chr13:95167819_95196402_-(Akt3);circRNA_1859|Chr13:95167819_95208329_-(Akt3);circRNA_2143|Chr14:87328008_87377952_+(Adcy1);circRNA_2144|Chr14:87331763_87357732_+(Adcy1);circRNA_2145|Chr14:87350088_87357732_+(Adcy1);circRNA_3059|Chr18:72593000_72611211_+(Smad2);circRNA_3818|Chr2:240854068_240861760_-(Nfkb1);circRNA_6215|Chr7:130113212_130116591_-(Mapk12);</t>
  </si>
  <si>
    <t>circRNA_0419|Chr1:192379875_192409606_+(Prkcb);circRNA_0869|Chr10:15577563_15603016_-(Hba-a1);circRNA_1236|Chr10:96264760_96266403_-(Prkca);</t>
  </si>
  <si>
    <t>circRNA_1858|Chr13:95167819_95196402_-(Akt3);circRNA_1859|Chr13:95167819_95208329_-(Akt3);circRNA_3818|Chr2:240854068_240861760_-(Nfkb1);circRNA_6215|Chr7:130113212_130116591_-(Mapk12);circRNA_6271|Chr8:6014617_6023899_-(Birc2);</t>
  </si>
  <si>
    <t>circRNA_0419|Chr1:192379875_192409606_+(Prkcb);circRNA_1151|Chr10:82753666_82754365_+(Col1a1);circRNA_1155|Chr10:82756914_82757163_+(Col1a1);circRNA_1236|Chr10:96264760_96266403_-(Prkca);circRNA_2143|Chr14:87328008_87377952_+(Adcy1);circRNA_2144|Chr14:87331763_87357732_+(Adcy1);circRNA_2145|Chr14:87350088_87357732_+(Adcy1);circRNA_3818|Chr2:240854068_240861760_-(Nfkb1);circRNA_5754|Chr6:103389817_103393554_-(Actn1);circRNA_6150|Chr7:114466514_114468769_-(Ptk2);circRNA_6155|Chr7:114555889_114562987_-(Ptk2);</t>
  </si>
  <si>
    <t>circRNA_1858|Chr13:95167819_95196402_-(Akt3);circRNA_1859|Chr13:95167819_95208329_-(Akt3);circRNA_2334|Chr15:51896716_51944899_-(Ppp3cc);circRNA_2337|Chr15:51925689_51954838_-(Ppp3cc);circRNA_3818|Chr2:240854068_240861760_-(Nfkb1);circRNA_4147|Chr3:46525736_46528994_-(Pla2r1);circRNA_6215|Chr7:130113212_130116591_-(Mapk12);circRNA_6344|Chr8:47335866_47339341_-(Arhgef12);</t>
  </si>
  <si>
    <t>circRNA_1858|Chr13:95167819_95196402_-(Akt3);circRNA_1859|Chr13:95167819_95208329_-(Akt3);circRNA_2158|Chr14:100058305_100066787_+(Egfr);circRNA_3818|Chr2:240854068_240861760_-(Nfkb1);circRNA_4700|Chr4:67399951_67412670_-(Braf);circRNA_5722|Chr6:91933750_91961861_-(Sos2);circRNA_5882|Chr6:135672583_135696475_+(Traf3);circRNA_6215|Chr7:130113212_130116591_-(Mapk12);</t>
  </si>
  <si>
    <t>circRNA_0419|Chr1:192379875_192409606_+(Prkcb);circRNA_1236|Chr10:96264760_96266403_-(Prkca);circRNA_1858|Chr13:95167819_95196402_-(Akt3);circRNA_1859|Chr13:95167819_95208329_-(Akt3);circRNA_3031|Chr18:69634006_69647714_-(Smad4);circRNA_3818|Chr2:240854068_240861760_-(Nfkb1);</t>
  </si>
  <si>
    <t>circRNA_1368|Chr11:51049296_51068978_-(Cblb);circRNA_1858|Chr13:95167819_95196402_-(Akt3);circRNA_1859|Chr13:95167819_95208329_-(Akt3);circRNA_3818|Chr2:240854068_240861760_-(Nfkb1);</t>
  </si>
  <si>
    <t>circRNA_0419|Chr1:192379875_192409606_+(Prkcb);circRNA_1236|Chr10:96264760_96266403_-(Prkca);circRNA_1858|Chr13:95167819_95196402_-(Akt3);circRNA_1859|Chr13:95167819_95208329_-(Akt3);circRNA_3818|Chr2:240854068_240861760_-(Nfkb1);circRNA_6215|Chr7:130113212_130116591_-(Mapk12);</t>
  </si>
  <si>
    <t>circRNA_1151|Chr10:82753666_82754365_+(Col1a1);circRNA_1155|Chr10:82756914_82757163_+(Col1a1);circRNA_1858|Chr13:95167819_95196402_-(Akt3);circRNA_1859|Chr13:95167819_95208329_-(Akt3);circRNA_2158|Chr14:100058305_100066787_+(Egfr);circRNA_3428|Chr2:47182739_47203913_-(Itga1);circRNA_3818|Chr2:240854068_240861760_-(Nfkb1);circRNA_3872|Chr20:3232306_3273815_+(RT1-T24-3);circRNA_4518|Chr4:6866069_6869642_+(Rheb);circRNA_4812|Chr4:125734597_125789911_-(Magi1);circRNA_5069|Chr5:57335882_57336829_+(Nfx1);circRNA_5722|Chr6:91933750_91961861_-(Sos2);circRNA_5882|Chr6:135672583_135696475_+(Traf3);circRNA_6150|Chr7:114466514_114468769_-(Ptk2);circRNA_6155|Chr7:114555889_114562987_-(Ptk2);circRNA_6680|Chr8:127289436_127301219_+(Itga9);</t>
  </si>
  <si>
    <t>circRNA_1212|Chr10:94292693_94314584_+(Map3k3);circRNA_1397|Chr11:68722906_68725314_-(Adcy5);circRNA_1399|Chr11:68745884_68750272_-(Adcy5);circRNA_1858|Chr13:95167819_95196402_-(Akt3);circRNA_1859|Chr13:95167819_95208329_-(Akt3);circRNA_2143|Chr14:87328008_87377952_+(Adcy1);circRNA_2144|Chr14:87331763_87357732_+(Adcy1);circRNA_2145|Chr14:87350088_87357732_+(Adcy1);circRNA_2334|Chr15:51896716_51944899_-(Ppp3cc);circRNA_2337|Chr15:51925689_51954838_-(Ppp3cc);circRNA_3031|Chr18:69634006_69647714_-(Smad4);circRNA_3059|Chr18:72593000_72611211_+(Smad2);circRNA_3818|Chr2:240854068_240861760_-(Nfkb1);circRNA_3872|Chr20:3232306_3273815_+(RT1-T24-3);</t>
  </si>
  <si>
    <t>circRNA_1858|Chr13:95167819_95196402_-(Akt3);circRNA_1859|Chr13:95167819_95208329_-(Akt3);circRNA_2334|Chr15:51896716_51944899_-(Ppp3cc);circRNA_2337|Chr15:51925689_51954838_-(Ppp3cc);circRNA_3818|Chr2:240854068_240861760_-(Nfkb1);circRNA_3872|Chr20:3232306_3273815_+(RT1-T24-3);circRNA_5882|Chr6:135672583_135696475_+(Traf3);circRNA_6215|Chr7:130113212_130116591_-(Mapk12);</t>
  </si>
  <si>
    <t>circRNA_1593|Chr12:25431710_25435591_+(Gtf2i);circRNA_1594|Chr12:25442325_25447480_+(Gtf2i);circRNA_2866|Chr18:6218154_6233603_+(Taf4b);circRNA_3818|Chr2:240854068_240861760_-(Nfkb1);circRNA_3872|Chr20:3232306_3273815_+(RT1-T24-3);circRNA_5562|Chr6:23554728_23563843_-(Ppp1cb);circRNA_5882|Chr6:135672583_135696475_+(Traf3);</t>
  </si>
  <si>
    <t>circRNA_1620|Chr12:36930749_36931726_+(Ncor2);circRNA_1858|Chr13:95167819_95196402_-(Akt3);circRNA_1859|Chr13:95167819_95208329_-(Akt3);circRNA_3818|Chr2:240854068_240861760_-(Nfkb1);circRNA_3872|Chr20:3232306_3273815_+(RT1-T24-3);circRNA_5882|Chr6:135672583_135696475_+(Traf3);circRNA_6215|Chr7:130113212_130116591_-(Mapk12);</t>
  </si>
  <si>
    <t>circRNA_0419|Chr1:192379875_192409606_+(Prkcb);circRNA_0451|Chr1:200671013_200672411_-(Fgfr2);circRNA_1236|Chr10:96264760_96266403_-(Prkca);circRNA_1397|Chr11:68722906_68725314_-(Adcy5);circRNA_1399|Chr11:68745884_68750272_-(Adcy5);circRNA_1858|Chr13:95167819_95196402_-(Akt3);circRNA_1859|Chr13:95167819_95208329_-(Akt3);circRNA_2143|Chr14:87328008_87377952_+(Adcy1);circRNA_2144|Chr14:87331763_87357732_+(Adcy1);circRNA_2145|Chr14:87350088_87357732_+(Adcy1);circRNA_2158|Chr14:100058305_100066787_+(Egfr);circRNA_3031|Chr18:69634006_69647714_-(Smad4);circRNA_3059|Chr18:72593000_72611211_+(Smad2);circRNA_3313|Chr2:21915465_21921128_-(Msh3);circRNA_3818|Chr2:240854068_240861760_-(Nfkb1);circRNA_4700|Chr4:67399951_67412670_-(Braf);circRNA_4917|Chr4:168213382_168221653_-(Lrp6);circRNA_5722|Chr6:91933750_91961861_-(Sos2);circRNA_5802|Chr6:124596541_124629605_-(Rps6ka5);circRNA_5807|Chr6:124651885_124652103_-(Rps6ka5);circRNA_5882|Chr6:135672583_135696475_+(Traf3);circRNA_6150|Chr7:114466514_114468769_-(Ptk2);circRNA_6155|Chr7:114555889_114562987_-(Ptk2);circRNA_6271|Chr8:6014617_6023899_-(Birc2);circRNA_6344|Chr8:47335866_47339341_-(Arhgef12);</t>
  </si>
  <si>
    <t>circRNA_1846|Chr13:86444740_86451001_-(Pbx1);circRNA_1969|Chr14:14174786_14192047_-(Bmp2k);circRNA_3818|Chr2:240854068_240861760_-(Nfkb1);circRNA_5747|Chr6:100396828_100397255_+(Fut8);circRNA_6150|Chr7:114466514_114468769_-(Ptk2);circRNA_6155|Chr7:114555889_114562987_-(Ptk2);circRNA_6349|Chr8:49140247_49141428_-(Kmt2a);circRNA_7070|ChrX:4885740_4898806_-(NEWGENE_1565481);</t>
  </si>
  <si>
    <t>circRNA_3818|Chr2:240854068_240861760_-(Nfkb1);circRNA_3872|Chr20:3232306_3273815_+(RT1-T24-3);circRNA_5754|Chr6:103389817_103393554_-(Actn1);circRNA_5882|Chr6:135672583_135696475_+(Traf3);</t>
  </si>
  <si>
    <t>circRNA_0271|Chr1:142556681_142565170_-(Iqgap1);circRNA_0419|Chr1:192379875_192409606_+(Prkcb);circRNA_0725|Chr1:262151915_262176067_-(Hpse2);circRNA_0726|Chr1:262786087_262811422_-(Hpse2);circRNA_1236|Chr10:96264760_96266403_-(Prkca);circRNA_1858|Chr13:95167819_95196402_-(Akt3);circRNA_1859|Chr13:95167819_95208329_-(Akt3);circRNA_2158|Chr14:100058305_100066787_+(Egfr);circRNA_3059|Chr18:72593000_72611211_+(Smad2);circRNA_3150|Chr19:30869716_30883569_+(Gab1);circRNA_3797|Chr2:231383147_231409493_-(Ank2);circRNA_4700|Chr4:67399951_67412670_-(Braf);circRNA_5562|Chr6:23554728_23563843_-(Ppp1cb);circRNA_5722|Chr6:91933750_91961861_-(Sos2);circRNA_6002|Chr7:51433839_51444422_-(Ppp1r12a);circRNA_6150|Chr7:114466514_114468769_-(Ptk2);circRNA_6155|Chr7:114555889_114562987_-(Ptk2);circRNA_6215|Chr7:130113212_130116591_-(Mapk12);circRNA_6344|Chr8:47335866_47339341_-(Arhgef12);circRNA_7233|ChrX:156468826_156469166_+(Flna);</t>
  </si>
  <si>
    <t>circRNA_0419|Chr1:192379875_192409606_+(Prkcb);circRNA_1236|Chr10:96264760_96266403_-(Prkca);circRNA_2158|Chr14:100058305_100066787_+(Egfr);circRNA_3818|Chr2:240854068_240861760_-(Nfkb1);circRNA_5043|Chr5:31700609_31739695_+(Mmp16);circRNA_5595|Chr6:28272106_28272697_+(Dnmt3a);circRNA_5722|Chr6:91933750_91961861_-(Sos2);circRNA_5802|Chr6:124596541_124629605_-(Rps6ka5);circRNA_5807|Chr6:124651885_124652103_-(Rps6ka5);</t>
  </si>
  <si>
    <t>circRNA_1858|Chr13:95167819_95196402_-(Akt3);circRNA_1859|Chr13:95167819_95208329_-(Akt3);circRNA_2158|Chr14:100058305_100066787_+(Egfr);circRNA_3031|Chr18:69634006_69647714_-(Smad4);circRNA_3059|Chr18:72593000_72611211_+(Smad2);circRNA_3313|Chr2:21915465_21921128_-(Msh3);circRNA_4700|Chr4:67399951_67412670_-(Braf);circRNA_5722|Chr6:91933750_91961861_-(Sos2);</t>
  </si>
  <si>
    <t>circRNA_1858|Chr13:95167819_95196402_-(Akt3);circRNA_1859|Chr13:95167819_95208329_-(Akt3);circRNA_3150|Chr19:30869716_30883569_+(Gab1);circRNA_4700|Chr4:67399951_67412670_-(Braf);circRNA_5722|Chr6:91933750_91961861_-(Sos2);</t>
  </si>
  <si>
    <t>circRNA_1858|Chr13:95167819_95196402_-(Akt3);circRNA_1859|Chr13:95167819_95208329_-(Akt3);circRNA_2158|Chr14:100058305_100066787_+(Egfr);circRNA_3031|Chr18:69634006_69647714_-(Smad4);circRNA_3059|Chr18:72593000_72611211_+(Smad2);circRNA_3515|Chr2:113747182_113764892_+(Pld1);circRNA_3818|Chr2:240854068_240861760_-(Nfkb1);circRNA_4700|Chr4:67399951_67412670_-(Braf);</t>
  </si>
  <si>
    <t>circRNA_1858|Chr13:95167819_95196402_-(Akt3);circRNA_1859|Chr13:95167819_95208329_-(Akt3);circRNA_2158|Chr14:100058305_100066787_+(Egfr);circRNA_4700|Chr4:67399951_67412670_-(Braf);circRNA_5722|Chr6:91933750_91961861_-(Sos2);</t>
  </si>
  <si>
    <t>circRNA_0419|Chr1:192379875_192409606_+(Prkcb);circRNA_1236|Chr10:96264760_96266403_-(Prkca);circRNA_1858|Chr13:95167819_95196402_-(Akt3);circRNA_1859|Chr13:95167819_95208329_-(Akt3);circRNA_2158|Chr14:100058305_100066787_+(Egfr);circRNA_4700|Chr4:67399951_67412670_-(Braf);circRNA_5722|Chr6:91933750_91961861_-(Sos2);</t>
  </si>
  <si>
    <t>circRNA_0451|Chr1:200671013_200672411_-(Fgfr2);circRNA_1858|Chr13:95167819_95196402_-(Akt3);circRNA_1859|Chr13:95167819_95208329_-(Akt3);circRNA_2158|Chr14:100058305_100066787_+(Egfr);circRNA_3818|Chr2:240854068_240861760_-(Nfkb1);circRNA_4700|Chr4:67399951_67412670_-(Braf);circRNA_5722|Chr6:91933750_91961861_-(Sos2);</t>
  </si>
  <si>
    <t>circRNA_4700|Chr4:67399951_67412670_-(Braf);</t>
  </si>
  <si>
    <t>circRNA_1858|Chr13:95167819_95196402_-(Akt3);circRNA_1859|Chr13:95167819_95208329_-(Akt3);circRNA_2158|Chr14:100058305_100066787_+(Egfr);circRNA_4700|Chr4:67399951_67412670_-(Braf);</t>
  </si>
  <si>
    <t>circRNA_2158|Chr14:100058305_100066787_+(Egfr);circRNA_4700|Chr4:67399951_67412670_-(Braf);circRNA_5802|Chr6:124596541_124629605_-(Rps6ka5);circRNA_5807|Chr6:124651885_124652103_-(Rps6ka5);</t>
  </si>
  <si>
    <t>circRNA_1858|Chr13:95167819_95196402_-(Akt3);circRNA_1859|Chr13:95167819_95208329_-(Akt3);circRNA_3031|Chr18:69634006_69647714_-(Smad4);circRNA_3818|Chr2:240854068_240861760_-(Nfkb1);circRNA_4700|Chr4:67399951_67412670_-(Braf);circRNA_5722|Chr6:91933750_91961861_-(Sos2);</t>
  </si>
  <si>
    <t>circRNA_1858|Chr13:95167819_95196402_-(Akt3);circRNA_1859|Chr13:95167819_95208329_-(Akt3);circRNA_3818|Chr2:240854068_240861760_-(Nfkb1);circRNA_4700|Chr4:67399951_67412670_-(Braf);circRNA_5722|Chr6:91933750_91961861_-(Sos2);</t>
  </si>
  <si>
    <t>circRNA_1858|Chr13:95167819_95196402_-(Akt3);circRNA_1859|Chr13:95167819_95208329_-(Akt3);circRNA_3818|Chr2:240854068_240861760_-(Nfkb1);circRNA_5882|Chr6:135672583_135696475_+(Traf3);circRNA_6150|Chr7:114466514_114468769_-(Ptk2);circRNA_6155|Chr7:114555889_114562987_-(Ptk2);circRNA_6271|Chr8:6014617_6023899_-(Birc2);</t>
  </si>
  <si>
    <t>circRNA_1858|Chr13:95167819_95196402_-(Akt3);circRNA_1859|Chr13:95167819_95208329_-(Akt3);circRNA_2158|Chr14:100058305_100066787_+(Egfr);circRNA_4700|Chr4:67399951_67412670_-(Braf);circRNA_4917|Chr4:168213382_168221653_-(Lrp6);circRNA_5722|Chr6:91933750_91961861_-(Sos2);</t>
  </si>
  <si>
    <t>circRNA_0419|Chr1:192379875_192409606_+(Prkcb);circRNA_1236|Chr10:96264760_96266403_-(Prkca);circRNA_1858|Chr13:95167819_95196402_-(Akt3);circRNA_1859|Chr13:95167819_95208329_-(Akt3);circRNA_2158|Chr14:100058305_100066787_+(Egfr);circRNA_3031|Chr18:69634006_69647714_-(Smad4);circRNA_3059|Chr18:72593000_72611211_+(Smad2);circRNA_3150|Chr19:30869716_30883569_+(Gab1);circRNA_4700|Chr4:67399951_67412670_-(Braf);circRNA_4917|Chr4:168213382_168221653_-(Lrp6);circRNA_5722|Chr6:91933750_91961861_-(Sos2);</t>
  </si>
  <si>
    <t>circRNA_0451|Chr1:200671013_200672411_-(Fgfr2);circRNA_1858|Chr13:95167819_95196402_-(Akt3);circRNA_1859|Chr13:95167819_95208329_-(Akt3);circRNA_2158|Chr14:100058305_100066787_+(Egfr);circRNA_3031|Chr18:69634006_69647714_-(Smad4);circRNA_3059|Chr18:72593000_72611211_+(Smad2);circRNA_3150|Chr19:30869716_30883569_+(Gab1);circRNA_4700|Chr4:67399951_67412670_-(Braf);circRNA_4917|Chr4:168213382_168221653_-(Lrp6);circRNA_5722|Chr6:91933750_91961861_-(Sos2);</t>
  </si>
  <si>
    <t>circRNA_0259|Chr1:139943398_139956356_-(Ntrk3);circRNA_0451|Chr1:200671013_200672411_-(Fgfr2);circRNA_1858|Chr13:95167819_95196402_-(Akt3);circRNA_1859|Chr13:95167819_95208329_-(Akt3);circRNA_2158|Chr14:100058305_100066787_+(Egfr);</t>
  </si>
  <si>
    <t>circRNA_0419|Chr1:192379875_192409606_+(Prkcb);circRNA_1236|Chr10:96264760_96266403_-(Prkca);circRNA_1762|Chr13:67141798_67143114_-(Pla2g4a);circRNA_1858|Chr13:95167819_95196402_-(Akt3);circRNA_1859|Chr13:95167819_95208329_-(Akt3);circRNA_2158|Chr14:100058305_100066787_+(Egfr);circRNA_2364|Chr15:60816746_60821766_-(Dgkh);circRNA_3515|Chr2:113747182_113764892_+(Pld1);circRNA_4518|Chr4:6866069_6869642_+(Rheb);circRNA_4663|Chr4:64431354_64474930_-(Dgki);circRNA_4664|Chr4:64451679_64474930_-(Dgki);circRNA_5722|Chr6:91933750_91961861_-(Sos2);</t>
  </si>
  <si>
    <t>circRNA_3059|Chr18:72593000_72611211_+(Smad2);circRNA_3818|Chr2:240854068_240861760_-(Nfkb1);</t>
  </si>
  <si>
    <t>circRNA_1740|Chr13:52671461_52673721_+(Tnnt2);circRNA_3428|Chr2:47182739_47203913_-(Itga1);circRNA_4864|Chr4:151118221_151124504_-(Cacna1c);circRNA_5502|Chr6:4259110_4315062_-(Slc8a1);circRNA_5503|Chr6:4278307_4315062_-(Slc8a1);circRNA_5504|Chr6:4298605_4315062_-(Slc8a1);circRNA_6680|Chr8:127289436_127301219_+(Itga9);</t>
  </si>
  <si>
    <t>circRNA_3428|Chr2:47182739_47203913_-(Itga1);circRNA_4864|Chr4:151118221_151124504_-(Cacna1c);circRNA_5502|Chr6:4259110_4315062_-(Slc8a1);circRNA_5503|Chr6:4278307_4315062_-(Slc8a1);circRNA_5504|Chr6:4298605_4315062_-(Slc8a1);circRNA_6680|Chr8:127289436_127301219_+(Itga9);</t>
  </si>
  <si>
    <t>circRNA_1397|Chr11:68722906_68725314_-(Adcy5);circRNA_1399|Chr11:68745884_68750272_-(Adcy5);circRNA_1740|Chr13:52671461_52673721_+(Tnnt2);circRNA_2143|Chr14:87328008_87377952_+(Adcy1);circRNA_2144|Chr14:87331763_87357732_+(Adcy1);circRNA_2145|Chr14:87350088_87357732_+(Adcy1);circRNA_3428|Chr2:47182739_47203913_-(Itga1);circRNA_4864|Chr4:151118221_151124504_-(Cacna1c);circRNA_5502|Chr6:4259110_4315062_-(Slc8a1);circRNA_5503|Chr6:4278307_4315062_-(Slc8a1);circRNA_5504|Chr6:4298605_4315062_-(Slc8a1);circRNA_6680|Chr8:127289436_127301219_+(Itga9);</t>
  </si>
  <si>
    <t>circRNA_1858|Chr13:95167819_95196402_-(Akt3);circRNA_1859|Chr13:95167819_95208329_-(Akt3);circRNA_3818|Chr2:240854068_240861760_-(Nfkb1);circRNA_6150|Chr7:114466514_114468769_-(Ptk2);circRNA_6155|Chr7:114555889_114562987_-(Ptk2);circRNA_6215|Chr7:130113212_130116591_-(Mapk12);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</si>
</sst>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3"/>
  <sheetViews>
    <sheetView tabSelected="1" workbookViewId="0"/>
  </sheetViews>
  <sheetFormatPr defaultRowHeight="13.8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>
        <v>6</v>
      </c>
      <c r="F2">
        <v>795</v>
      </c>
      <c r="G2">
        <v>64</v>
      </c>
      <c r="H2">
        <v>7679</v>
      </c>
      <c r="I2">
        <v>0.66253354416351595</v>
      </c>
      <c r="J2">
        <v>1</v>
      </c>
      <c r="K2">
        <v>0.90554245283018897</v>
      </c>
      <c r="L2" t="s">
        <v>17</v>
      </c>
      <c r="M2" t="str">
        <f>HYPERLINK("../../3.KEGG_map/SCI_I-vs-NC-Up/rno00010.html","rno00010")</f>
        <v>rno00010</v>
      </c>
    </row>
    <row r="3" spans="1:13" x14ac:dyDescent="0.25">
      <c r="A3" t="s">
        <v>18</v>
      </c>
      <c r="B3" t="s">
        <v>19</v>
      </c>
      <c r="C3" t="s">
        <v>15</v>
      </c>
      <c r="D3" t="s">
        <v>16</v>
      </c>
      <c r="E3">
        <v>1</v>
      </c>
      <c r="F3">
        <v>795</v>
      </c>
      <c r="G3">
        <v>31</v>
      </c>
      <c r="H3">
        <v>7679</v>
      </c>
      <c r="I3">
        <v>0.96645897082403098</v>
      </c>
      <c r="J3">
        <v>1</v>
      </c>
      <c r="K3">
        <v>0.31158449989856002</v>
      </c>
      <c r="L3" t="s">
        <v>20</v>
      </c>
      <c r="M3" t="str">
        <f>HYPERLINK("../../3.KEGG_map/SCI_I-vs-NC-Up/rno00020.html","rno00020")</f>
        <v>rno00020</v>
      </c>
    </row>
    <row r="4" spans="1:13" x14ac:dyDescent="0.25">
      <c r="A4" t="s">
        <v>21</v>
      </c>
      <c r="B4" t="s">
        <v>22</v>
      </c>
      <c r="C4" t="s">
        <v>15</v>
      </c>
      <c r="D4" t="s">
        <v>16</v>
      </c>
      <c r="E4">
        <v>3</v>
      </c>
      <c r="F4">
        <v>795</v>
      </c>
      <c r="G4">
        <v>29</v>
      </c>
      <c r="H4">
        <v>7679</v>
      </c>
      <c r="I4">
        <v>0.59003773206639998</v>
      </c>
      <c r="J4">
        <v>0.96251965230943404</v>
      </c>
      <c r="K4">
        <v>0.99921925829538105</v>
      </c>
      <c r="L4" t="s">
        <v>23</v>
      </c>
      <c r="M4" t="str">
        <f>HYPERLINK("../../3.KEGG_map/SCI_I-vs-NC-Up/rno00030.html","rno00030")</f>
        <v>rno00030</v>
      </c>
    </row>
    <row r="5" spans="1:13" x14ac:dyDescent="0.25">
      <c r="A5" t="s">
        <v>24</v>
      </c>
      <c r="B5" t="s">
        <v>25</v>
      </c>
      <c r="C5" t="s">
        <v>15</v>
      </c>
      <c r="D5" t="s">
        <v>16</v>
      </c>
      <c r="E5">
        <v>3</v>
      </c>
      <c r="F5">
        <v>795</v>
      </c>
      <c r="G5">
        <v>33</v>
      </c>
      <c r="H5">
        <v>7679</v>
      </c>
      <c r="I5">
        <v>0.67881717485224402</v>
      </c>
      <c r="J5">
        <v>1</v>
      </c>
      <c r="K5">
        <v>0.87810177244139498</v>
      </c>
      <c r="L5" t="s">
        <v>26</v>
      </c>
      <c r="M5" t="str">
        <f>HYPERLINK("../../3.KEGG_map/SCI_I-vs-NC-Up/rno00040.html","rno00040")</f>
        <v>rno00040</v>
      </c>
    </row>
    <row r="6" spans="1:13" x14ac:dyDescent="0.25">
      <c r="A6" t="s">
        <v>27</v>
      </c>
      <c r="B6" t="s">
        <v>28</v>
      </c>
      <c r="C6" t="s">
        <v>15</v>
      </c>
      <c r="D6" t="s">
        <v>16</v>
      </c>
      <c r="E6">
        <v>2</v>
      </c>
      <c r="F6">
        <v>795</v>
      </c>
      <c r="G6">
        <v>34</v>
      </c>
      <c r="H6">
        <v>7679</v>
      </c>
      <c r="I6">
        <v>0.88066786041281897</v>
      </c>
      <c r="J6">
        <v>1</v>
      </c>
      <c r="K6">
        <v>0.56818349981502003</v>
      </c>
      <c r="L6" t="s">
        <v>29</v>
      </c>
      <c r="M6" t="str">
        <f>HYPERLINK("../../3.KEGG_map/SCI_I-vs-NC-Up/rno00051.html","rno00051")</f>
        <v>rno00051</v>
      </c>
    </row>
    <row r="7" spans="1:13" x14ac:dyDescent="0.25">
      <c r="A7" t="s">
        <v>30</v>
      </c>
      <c r="B7" t="s">
        <v>31</v>
      </c>
      <c r="C7" t="s">
        <v>15</v>
      </c>
      <c r="D7" t="s">
        <v>16</v>
      </c>
      <c r="E7">
        <v>3</v>
      </c>
      <c r="F7">
        <v>795</v>
      </c>
      <c r="G7">
        <v>30</v>
      </c>
      <c r="H7">
        <v>7679</v>
      </c>
      <c r="I7">
        <v>0.61364313291633699</v>
      </c>
      <c r="J7">
        <v>0.98939843381981996</v>
      </c>
      <c r="K7">
        <v>0.96591194968553495</v>
      </c>
      <c r="L7" t="s">
        <v>32</v>
      </c>
      <c r="M7" t="str">
        <f>HYPERLINK("../../3.KEGG_map/SCI_I-vs-NC-Up/rno00052.html","rno00052")</f>
        <v>rno00052</v>
      </c>
    </row>
    <row r="8" spans="1:13" x14ac:dyDescent="0.25">
      <c r="A8" t="s">
        <v>33</v>
      </c>
      <c r="B8" t="s">
        <v>34</v>
      </c>
      <c r="C8" t="s">
        <v>15</v>
      </c>
      <c r="D8" t="s">
        <v>16</v>
      </c>
      <c r="E8">
        <v>2</v>
      </c>
      <c r="F8">
        <v>795</v>
      </c>
      <c r="G8">
        <v>26</v>
      </c>
      <c r="H8">
        <v>7679</v>
      </c>
      <c r="I8">
        <v>0.76700693651960705</v>
      </c>
      <c r="J8">
        <v>1</v>
      </c>
      <c r="K8">
        <v>0.74300919206579596</v>
      </c>
      <c r="L8" t="s">
        <v>35</v>
      </c>
      <c r="M8" t="str">
        <f>HYPERLINK("../../3.KEGG_map/SCI_I-vs-NC-Up/rno00053.html","rno00053")</f>
        <v>rno00053</v>
      </c>
    </row>
    <row r="9" spans="1:13" x14ac:dyDescent="0.25">
      <c r="A9" t="s">
        <v>36</v>
      </c>
      <c r="B9" t="s">
        <v>37</v>
      </c>
      <c r="C9" t="s">
        <v>15</v>
      </c>
      <c r="D9" t="s">
        <v>38</v>
      </c>
      <c r="E9">
        <v>1</v>
      </c>
      <c r="F9">
        <v>795</v>
      </c>
      <c r="G9">
        <v>13</v>
      </c>
      <c r="H9">
        <v>7679</v>
      </c>
      <c r="I9">
        <v>0.758753795944489</v>
      </c>
      <c r="J9">
        <v>1</v>
      </c>
      <c r="K9">
        <v>0.74300919206579596</v>
      </c>
      <c r="L9" t="s">
        <v>39</v>
      </c>
      <c r="M9" t="str">
        <f>HYPERLINK("../../3.KEGG_map/SCI_I-vs-NC-Up/rno00061.html","rno00061")</f>
        <v>rno00061</v>
      </c>
    </row>
    <row r="10" spans="1:13" x14ac:dyDescent="0.25">
      <c r="A10" t="s">
        <v>40</v>
      </c>
      <c r="B10" t="s">
        <v>41</v>
      </c>
      <c r="C10" t="s">
        <v>15</v>
      </c>
      <c r="D10" t="s">
        <v>38</v>
      </c>
      <c r="E10">
        <v>1</v>
      </c>
      <c r="F10">
        <v>795</v>
      </c>
      <c r="G10">
        <v>28</v>
      </c>
      <c r="H10">
        <v>7679</v>
      </c>
      <c r="I10">
        <v>0.95338364479493098</v>
      </c>
      <c r="J10">
        <v>1</v>
      </c>
      <c r="K10">
        <v>0.34496855345911898</v>
      </c>
      <c r="L10" t="s">
        <v>42</v>
      </c>
      <c r="M10" t="str">
        <f>HYPERLINK("../../3.KEGG_map/SCI_I-vs-NC-Up/rno00062.html","rno00062")</f>
        <v>rno00062</v>
      </c>
    </row>
    <row r="11" spans="1:13" x14ac:dyDescent="0.25">
      <c r="A11" t="s">
        <v>43</v>
      </c>
      <c r="B11" t="s">
        <v>44</v>
      </c>
      <c r="C11" t="s">
        <v>15</v>
      </c>
      <c r="D11" t="s">
        <v>38</v>
      </c>
      <c r="E11">
        <v>2</v>
      </c>
      <c r="F11">
        <v>795</v>
      </c>
      <c r="G11">
        <v>44</v>
      </c>
      <c r="H11">
        <v>7679</v>
      </c>
      <c r="I11">
        <v>0.95083411402420803</v>
      </c>
      <c r="J11">
        <v>1</v>
      </c>
      <c r="K11">
        <v>0.43905088622069699</v>
      </c>
      <c r="L11" t="s">
        <v>45</v>
      </c>
      <c r="M11" t="str">
        <f>HYPERLINK("../../3.KEGG_map/SCI_I-vs-NC-Up/rno00071.html","rno00071")</f>
        <v>rno00071</v>
      </c>
    </row>
    <row r="12" spans="1:13" x14ac:dyDescent="0.25">
      <c r="A12" t="s">
        <v>46</v>
      </c>
      <c r="B12" t="s">
        <v>47</v>
      </c>
      <c r="C12" t="s">
        <v>15</v>
      </c>
      <c r="D12" t="s">
        <v>38</v>
      </c>
      <c r="E12">
        <v>1</v>
      </c>
      <c r="F12">
        <v>795</v>
      </c>
      <c r="G12">
        <v>10</v>
      </c>
      <c r="H12">
        <v>7679</v>
      </c>
      <c r="I12">
        <v>0.66498228571015705</v>
      </c>
      <c r="J12">
        <v>1</v>
      </c>
      <c r="K12">
        <v>0.96591194968553495</v>
      </c>
      <c r="L12" t="s">
        <v>48</v>
      </c>
      <c r="M12" t="str">
        <f>HYPERLINK("../../3.KEGG_map/SCI_I-vs-NC-Up/rno00072.html","rno00072")</f>
        <v>rno00072</v>
      </c>
    </row>
    <row r="13" spans="1:13" x14ac:dyDescent="0.25">
      <c r="A13" t="s">
        <v>49</v>
      </c>
      <c r="B13" t="s">
        <v>50</v>
      </c>
      <c r="C13" t="s">
        <v>15</v>
      </c>
      <c r="D13" t="s">
        <v>38</v>
      </c>
      <c r="E13">
        <v>4</v>
      </c>
      <c r="F13">
        <v>795</v>
      </c>
      <c r="G13">
        <v>19</v>
      </c>
      <c r="H13">
        <v>7679</v>
      </c>
      <c r="I13">
        <v>0.12627702265016599</v>
      </c>
      <c r="J13">
        <v>0.36507812488958802</v>
      </c>
      <c r="K13">
        <v>2.03349884144323</v>
      </c>
      <c r="L13" t="s">
        <v>51</v>
      </c>
      <c r="M13" t="str">
        <f>HYPERLINK("../../3.KEGG_map/SCI_I-vs-NC-Up/rno00100.html","rno00100")</f>
        <v>rno00100</v>
      </c>
    </row>
    <row r="14" spans="1:13" x14ac:dyDescent="0.25">
      <c r="A14" t="s">
        <v>52</v>
      </c>
      <c r="B14" t="s">
        <v>53</v>
      </c>
      <c r="C14" t="s">
        <v>15</v>
      </c>
      <c r="D14" t="s">
        <v>38</v>
      </c>
      <c r="E14">
        <v>1</v>
      </c>
      <c r="F14">
        <v>795</v>
      </c>
      <c r="G14">
        <v>16</v>
      </c>
      <c r="H14">
        <v>7679</v>
      </c>
      <c r="I14">
        <v>0.82630223899115196</v>
      </c>
      <c r="J14">
        <v>1</v>
      </c>
      <c r="K14">
        <v>0.60369496855345905</v>
      </c>
      <c r="L14" t="s">
        <v>54</v>
      </c>
      <c r="M14" t="str">
        <f>HYPERLINK("../../3.KEGG_map/SCI_I-vs-NC-Up/rno00120.html","rno00120")</f>
        <v>rno00120</v>
      </c>
    </row>
    <row r="15" spans="1:13" x14ac:dyDescent="0.25">
      <c r="A15" t="s">
        <v>55</v>
      </c>
      <c r="B15" t="s">
        <v>56</v>
      </c>
      <c r="C15" t="s">
        <v>15</v>
      </c>
      <c r="D15" t="s">
        <v>57</v>
      </c>
      <c r="E15">
        <v>2</v>
      </c>
      <c r="F15">
        <v>795</v>
      </c>
      <c r="G15">
        <v>11</v>
      </c>
      <c r="H15">
        <v>7679</v>
      </c>
      <c r="I15">
        <v>0.31768917988094297</v>
      </c>
      <c r="J15">
        <v>0.70813160706286504</v>
      </c>
      <c r="K15">
        <v>1.75620354488279</v>
      </c>
      <c r="L15" t="s">
        <v>58</v>
      </c>
      <c r="M15" t="str">
        <f>HYPERLINK("../../3.KEGG_map/SCI_I-vs-NC-Up/rno00130.html","rno00130")</f>
        <v>rno00130</v>
      </c>
    </row>
    <row r="16" spans="1:13" x14ac:dyDescent="0.25">
      <c r="A16" t="s">
        <v>59</v>
      </c>
      <c r="B16" t="s">
        <v>60</v>
      </c>
      <c r="C16" t="s">
        <v>15</v>
      </c>
      <c r="D16" t="s">
        <v>38</v>
      </c>
      <c r="E16">
        <v>4</v>
      </c>
      <c r="F16">
        <v>795</v>
      </c>
      <c r="G16">
        <v>75</v>
      </c>
      <c r="H16">
        <v>7679</v>
      </c>
      <c r="I16">
        <v>0.95917850974682906</v>
      </c>
      <c r="J16">
        <v>1</v>
      </c>
      <c r="K16">
        <v>0.515153039832285</v>
      </c>
      <c r="L16" t="s">
        <v>61</v>
      </c>
      <c r="M16" t="str">
        <f>HYPERLINK("../../3.KEGG_map/SCI_I-vs-NC-Up/rno00140.html","rno00140")</f>
        <v>rno00140</v>
      </c>
    </row>
    <row r="17" spans="1:13" x14ac:dyDescent="0.25">
      <c r="A17" t="s">
        <v>62</v>
      </c>
      <c r="B17" t="s">
        <v>63</v>
      </c>
      <c r="C17" t="s">
        <v>15</v>
      </c>
      <c r="D17" t="s">
        <v>64</v>
      </c>
      <c r="E17">
        <v>3</v>
      </c>
      <c r="F17">
        <v>795</v>
      </c>
      <c r="G17">
        <v>119</v>
      </c>
      <c r="H17">
        <v>7679</v>
      </c>
      <c r="I17">
        <v>0.99977415847808104</v>
      </c>
      <c r="J17">
        <v>1</v>
      </c>
      <c r="K17">
        <v>0.24350721420643701</v>
      </c>
      <c r="L17" t="s">
        <v>65</v>
      </c>
      <c r="M17" t="str">
        <f>HYPERLINK("../../3.KEGG_map/SCI_I-vs-NC-Up/rno00190.html","rno00190")</f>
        <v>rno00190</v>
      </c>
    </row>
    <row r="18" spans="1:13" x14ac:dyDescent="0.25">
      <c r="A18" t="s">
        <v>66</v>
      </c>
      <c r="B18" t="s">
        <v>67</v>
      </c>
      <c r="C18" t="s">
        <v>15</v>
      </c>
      <c r="D18" t="s">
        <v>68</v>
      </c>
      <c r="E18">
        <v>2</v>
      </c>
      <c r="F18">
        <v>795</v>
      </c>
      <c r="G18">
        <v>19</v>
      </c>
      <c r="H18">
        <v>7679</v>
      </c>
      <c r="I18">
        <v>0.59985725897201403</v>
      </c>
      <c r="J18">
        <v>0.97310177566571099</v>
      </c>
      <c r="K18">
        <v>1.0167494207216199</v>
      </c>
      <c r="L18" t="s">
        <v>69</v>
      </c>
      <c r="M18" t="str">
        <f>HYPERLINK("../../3.KEGG_map/SCI_I-vs-NC-Up/rno00220.html","rno00220")</f>
        <v>rno00220</v>
      </c>
    </row>
    <row r="19" spans="1:13" x14ac:dyDescent="0.25">
      <c r="A19" t="s">
        <v>70</v>
      </c>
      <c r="B19" t="s">
        <v>71</v>
      </c>
      <c r="C19" t="s">
        <v>15</v>
      </c>
      <c r="D19" t="s">
        <v>72</v>
      </c>
      <c r="E19">
        <v>15</v>
      </c>
      <c r="F19">
        <v>795</v>
      </c>
      <c r="G19">
        <v>169</v>
      </c>
      <c r="H19">
        <v>7679</v>
      </c>
      <c r="I19">
        <v>0.77385987618214203</v>
      </c>
      <c r="J19">
        <v>1</v>
      </c>
      <c r="K19">
        <v>0.857318298537457</v>
      </c>
      <c r="L19" t="s">
        <v>73</v>
      </c>
      <c r="M19" t="str">
        <f>HYPERLINK("../../3.KEGG_map/SCI_I-vs-NC-Up/rno00230.html","rno00230")</f>
        <v>rno00230</v>
      </c>
    </row>
    <row r="20" spans="1:13" x14ac:dyDescent="0.25">
      <c r="A20" t="s">
        <v>74</v>
      </c>
      <c r="B20" t="s">
        <v>75</v>
      </c>
      <c r="C20" t="s">
        <v>15</v>
      </c>
      <c r="D20" t="s">
        <v>72</v>
      </c>
      <c r="E20">
        <v>15</v>
      </c>
      <c r="F20">
        <v>795</v>
      </c>
      <c r="G20">
        <v>96</v>
      </c>
      <c r="H20">
        <v>7679</v>
      </c>
      <c r="I20">
        <v>6.7907014066907107E-2</v>
      </c>
      <c r="J20">
        <v>0.227098823897178</v>
      </c>
      <c r="K20">
        <v>1.5092374213836499</v>
      </c>
      <c r="L20" t="s">
        <v>76</v>
      </c>
      <c r="M20" t="str">
        <f>HYPERLINK("../../3.KEGG_map/SCI_I-vs-NC-Up/rno00240.html","rno00240")</f>
        <v>rno00240</v>
      </c>
    </row>
    <row r="21" spans="1:13" x14ac:dyDescent="0.25">
      <c r="A21" t="s">
        <v>77</v>
      </c>
      <c r="B21" t="s">
        <v>78</v>
      </c>
      <c r="C21" t="s">
        <v>15</v>
      </c>
      <c r="D21" t="s">
        <v>68</v>
      </c>
      <c r="E21">
        <v>5</v>
      </c>
      <c r="F21">
        <v>795</v>
      </c>
      <c r="G21">
        <v>38</v>
      </c>
      <c r="H21">
        <v>7679</v>
      </c>
      <c r="I21">
        <v>0.35728434873787701</v>
      </c>
      <c r="J21">
        <v>0.76832799373878202</v>
      </c>
      <c r="K21">
        <v>1.27093677590202</v>
      </c>
      <c r="L21" t="s">
        <v>79</v>
      </c>
      <c r="M21" t="str">
        <f>HYPERLINK("../../3.KEGG_map/SCI_I-vs-NC-Up/rno00260.html","rno00260")</f>
        <v>rno00260</v>
      </c>
    </row>
    <row r="22" spans="1:13" x14ac:dyDescent="0.25">
      <c r="A22" t="s">
        <v>80</v>
      </c>
      <c r="B22" t="s">
        <v>81</v>
      </c>
      <c r="C22" t="s">
        <v>15</v>
      </c>
      <c r="D22" t="s">
        <v>68</v>
      </c>
      <c r="E22">
        <v>4</v>
      </c>
      <c r="F22">
        <v>795</v>
      </c>
      <c r="G22">
        <v>45</v>
      </c>
      <c r="H22">
        <v>7679</v>
      </c>
      <c r="I22">
        <v>0.69903385679073704</v>
      </c>
      <c r="J22">
        <v>1</v>
      </c>
      <c r="K22">
        <v>0.85858839972047496</v>
      </c>
      <c r="L22" t="s">
        <v>82</v>
      </c>
      <c r="M22" t="str">
        <f>HYPERLINK("../../3.KEGG_map/SCI_I-vs-NC-Up/rno00270.html","rno00270")</f>
        <v>rno00270</v>
      </c>
    </row>
    <row r="23" spans="1:13" x14ac:dyDescent="0.25">
      <c r="A23" t="s">
        <v>83</v>
      </c>
      <c r="B23" t="s">
        <v>84</v>
      </c>
      <c r="C23" t="s">
        <v>15</v>
      </c>
      <c r="D23" t="s">
        <v>68</v>
      </c>
      <c r="E23">
        <v>4</v>
      </c>
      <c r="F23">
        <v>795</v>
      </c>
      <c r="G23">
        <v>53</v>
      </c>
      <c r="H23">
        <v>7679</v>
      </c>
      <c r="I23">
        <v>0.81308600306940004</v>
      </c>
      <c r="J23">
        <v>1</v>
      </c>
      <c r="K23">
        <v>0.72899015070606399</v>
      </c>
      <c r="L23" t="s">
        <v>85</v>
      </c>
      <c r="M23" t="str">
        <f>HYPERLINK("../../3.KEGG_map/SCI_I-vs-NC-Up/rno00280.html","rno00280")</f>
        <v>rno00280</v>
      </c>
    </row>
    <row r="24" spans="1:13" x14ac:dyDescent="0.25">
      <c r="A24" t="s">
        <v>86</v>
      </c>
      <c r="B24" t="s">
        <v>87</v>
      </c>
      <c r="C24" t="s">
        <v>15</v>
      </c>
      <c r="D24" t="s">
        <v>68</v>
      </c>
      <c r="E24">
        <v>5</v>
      </c>
      <c r="F24">
        <v>795</v>
      </c>
      <c r="G24">
        <v>54</v>
      </c>
      <c r="H24">
        <v>7679</v>
      </c>
      <c r="I24">
        <v>0.67051293534530898</v>
      </c>
      <c r="J24">
        <v>1</v>
      </c>
      <c r="K24">
        <v>0.89436291637549503</v>
      </c>
      <c r="L24" t="s">
        <v>88</v>
      </c>
      <c r="M24" t="str">
        <f>HYPERLINK("../../3.KEGG_map/SCI_I-vs-NC-Up/rno00310.html","rno00310")</f>
        <v>rno00310</v>
      </c>
    </row>
    <row r="25" spans="1:13" x14ac:dyDescent="0.25">
      <c r="A25" t="s">
        <v>89</v>
      </c>
      <c r="B25" t="s">
        <v>90</v>
      </c>
      <c r="C25" t="s">
        <v>15</v>
      </c>
      <c r="D25" t="s">
        <v>68</v>
      </c>
      <c r="E25">
        <v>8</v>
      </c>
      <c r="F25">
        <v>795</v>
      </c>
      <c r="G25">
        <v>48</v>
      </c>
      <c r="H25">
        <v>7679</v>
      </c>
      <c r="I25">
        <v>0.11784105971848099</v>
      </c>
      <c r="J25">
        <v>0.35473803544119997</v>
      </c>
      <c r="K25">
        <v>1.6098532494758899</v>
      </c>
      <c r="L25" t="s">
        <v>91</v>
      </c>
      <c r="M25" t="str">
        <f>HYPERLINK("../../3.KEGG_map/SCI_I-vs-NC-Up/rno00330.html","rno00330")</f>
        <v>rno00330</v>
      </c>
    </row>
    <row r="26" spans="1:13" x14ac:dyDescent="0.25">
      <c r="A26" t="s">
        <v>92</v>
      </c>
      <c r="B26" t="s">
        <v>93</v>
      </c>
      <c r="C26" t="s">
        <v>15</v>
      </c>
      <c r="D26" t="s">
        <v>68</v>
      </c>
      <c r="E26">
        <v>4</v>
      </c>
      <c r="F26">
        <v>795</v>
      </c>
      <c r="G26">
        <v>23</v>
      </c>
      <c r="H26">
        <v>7679</v>
      </c>
      <c r="I26">
        <v>0.20964060467498399</v>
      </c>
      <c r="J26">
        <v>0.52771600487151105</v>
      </c>
      <c r="K26">
        <v>1.6798468690183199</v>
      </c>
      <c r="L26" t="s">
        <v>94</v>
      </c>
      <c r="M26" t="str">
        <f>HYPERLINK("../../3.KEGG_map/SCI_I-vs-NC-Up/rno00340.html","rno00340")</f>
        <v>rno00340</v>
      </c>
    </row>
    <row r="27" spans="1:13" x14ac:dyDescent="0.25">
      <c r="A27" t="s">
        <v>95</v>
      </c>
      <c r="B27" t="s">
        <v>96</v>
      </c>
      <c r="C27" t="s">
        <v>15</v>
      </c>
      <c r="D27" t="s">
        <v>68</v>
      </c>
      <c r="E27">
        <v>4</v>
      </c>
      <c r="F27">
        <v>795</v>
      </c>
      <c r="G27">
        <v>38</v>
      </c>
      <c r="H27">
        <v>7679</v>
      </c>
      <c r="I27">
        <v>0.56416350576139696</v>
      </c>
      <c r="J27">
        <v>0.94675714759958496</v>
      </c>
      <c r="K27">
        <v>1.0167494207216199</v>
      </c>
      <c r="L27" t="s">
        <v>97</v>
      </c>
      <c r="M27" t="str">
        <f>HYPERLINK("../../3.KEGG_map/SCI_I-vs-NC-Up/rno00350.html","rno00350")</f>
        <v>rno00350</v>
      </c>
    </row>
    <row r="28" spans="1:13" x14ac:dyDescent="0.25">
      <c r="A28" t="s">
        <v>98</v>
      </c>
      <c r="B28" t="s">
        <v>99</v>
      </c>
      <c r="C28" t="s">
        <v>15</v>
      </c>
      <c r="D28" t="s">
        <v>68</v>
      </c>
      <c r="E28">
        <v>2</v>
      </c>
      <c r="F28">
        <v>795</v>
      </c>
      <c r="G28">
        <v>20</v>
      </c>
      <c r="H28">
        <v>7679</v>
      </c>
      <c r="I28">
        <v>0.62837253507809598</v>
      </c>
      <c r="J28">
        <v>0.99719989262393605</v>
      </c>
      <c r="K28">
        <v>0.96591194968553495</v>
      </c>
      <c r="L28" t="s">
        <v>100</v>
      </c>
      <c r="M28" t="str">
        <f>HYPERLINK("../../3.KEGG_map/SCI_I-vs-NC-Up/rno00360.html","rno00360")</f>
        <v>rno00360</v>
      </c>
    </row>
    <row r="29" spans="1:13" x14ac:dyDescent="0.25">
      <c r="A29" t="s">
        <v>101</v>
      </c>
      <c r="B29" t="s">
        <v>102</v>
      </c>
      <c r="C29" t="s">
        <v>15</v>
      </c>
      <c r="D29" t="s">
        <v>68</v>
      </c>
      <c r="E29">
        <v>7</v>
      </c>
      <c r="F29">
        <v>795</v>
      </c>
      <c r="G29">
        <v>45</v>
      </c>
      <c r="H29">
        <v>7679</v>
      </c>
      <c r="I29">
        <v>0.179010416782384</v>
      </c>
      <c r="J29">
        <v>0.470910285589694</v>
      </c>
      <c r="K29">
        <v>1.5025296995108299</v>
      </c>
      <c r="L29" t="s">
        <v>103</v>
      </c>
      <c r="M29" t="str">
        <f>HYPERLINK("../../3.KEGG_map/SCI_I-vs-NC-Up/rno00380.html","rno00380")</f>
        <v>rno00380</v>
      </c>
    </row>
    <row r="30" spans="1:13" x14ac:dyDescent="0.25">
      <c r="A30" t="s">
        <v>104</v>
      </c>
      <c r="B30" t="s">
        <v>105</v>
      </c>
      <c r="C30" t="s">
        <v>15</v>
      </c>
      <c r="D30" t="s">
        <v>106</v>
      </c>
      <c r="E30">
        <v>2</v>
      </c>
      <c r="F30">
        <v>795</v>
      </c>
      <c r="G30">
        <v>30</v>
      </c>
      <c r="H30">
        <v>7679</v>
      </c>
      <c r="I30">
        <v>0.83233647685619805</v>
      </c>
      <c r="J30">
        <v>1</v>
      </c>
      <c r="K30">
        <v>0.64394129979035597</v>
      </c>
      <c r="L30" t="s">
        <v>107</v>
      </c>
      <c r="M30" t="str">
        <f>HYPERLINK("../../3.KEGG_map/SCI_I-vs-NC-Up/rno00410.html","rno00410")</f>
        <v>rno00410</v>
      </c>
    </row>
    <row r="31" spans="1:13" x14ac:dyDescent="0.25">
      <c r="A31" t="s">
        <v>108</v>
      </c>
      <c r="B31" t="s">
        <v>109</v>
      </c>
      <c r="C31" t="s">
        <v>15</v>
      </c>
      <c r="D31" t="s">
        <v>106</v>
      </c>
      <c r="E31">
        <v>1</v>
      </c>
      <c r="F31">
        <v>795</v>
      </c>
      <c r="G31">
        <v>11</v>
      </c>
      <c r="H31">
        <v>7679</v>
      </c>
      <c r="I31">
        <v>0.699711596293079</v>
      </c>
      <c r="J31">
        <v>1</v>
      </c>
      <c r="K31">
        <v>0.87810177244139498</v>
      </c>
      <c r="L31" t="s">
        <v>110</v>
      </c>
      <c r="M31" t="str">
        <f>HYPERLINK("../../3.KEGG_map/SCI_I-vs-NC-Up/rno00430.html","rno00430")</f>
        <v>rno00430</v>
      </c>
    </row>
    <row r="32" spans="1:13" x14ac:dyDescent="0.25">
      <c r="A32" t="s">
        <v>111</v>
      </c>
      <c r="B32" t="s">
        <v>112</v>
      </c>
      <c r="C32" t="s">
        <v>15</v>
      </c>
      <c r="D32" t="s">
        <v>106</v>
      </c>
      <c r="E32">
        <v>1</v>
      </c>
      <c r="F32">
        <v>795</v>
      </c>
      <c r="G32">
        <v>5</v>
      </c>
      <c r="H32">
        <v>7679</v>
      </c>
      <c r="I32">
        <v>0.42108389778133998</v>
      </c>
      <c r="J32">
        <v>0.84216779556267995</v>
      </c>
      <c r="K32">
        <v>1.9318238993710699</v>
      </c>
      <c r="L32" t="s">
        <v>113</v>
      </c>
      <c r="M32" t="str">
        <f>HYPERLINK("../../3.KEGG_map/SCI_I-vs-NC-Up/rno00440.html","rno00440")</f>
        <v>rno00440</v>
      </c>
    </row>
    <row r="33" spans="1:13" x14ac:dyDescent="0.25">
      <c r="A33" t="s">
        <v>114</v>
      </c>
      <c r="B33" t="s">
        <v>115</v>
      </c>
      <c r="C33" t="s">
        <v>15</v>
      </c>
      <c r="D33" t="s">
        <v>106</v>
      </c>
      <c r="E33">
        <v>3</v>
      </c>
      <c r="F33">
        <v>795</v>
      </c>
      <c r="G33">
        <v>17</v>
      </c>
      <c r="H33">
        <v>7679</v>
      </c>
      <c r="I33">
        <v>0.25468894635196099</v>
      </c>
      <c r="J33">
        <v>0.59975138979655296</v>
      </c>
      <c r="K33">
        <v>1.70455049944506</v>
      </c>
      <c r="L33" t="s">
        <v>116</v>
      </c>
      <c r="M33" t="str">
        <f>HYPERLINK("../../3.KEGG_map/SCI_I-vs-NC-Up/rno00450.html","rno00450")</f>
        <v>rno00450</v>
      </c>
    </row>
    <row r="34" spans="1:13" x14ac:dyDescent="0.25">
      <c r="A34" t="s">
        <v>117</v>
      </c>
      <c r="B34" t="s">
        <v>118</v>
      </c>
      <c r="C34" t="s">
        <v>15</v>
      </c>
      <c r="D34" t="s">
        <v>106</v>
      </c>
      <c r="E34">
        <v>13</v>
      </c>
      <c r="F34">
        <v>795</v>
      </c>
      <c r="G34">
        <v>58</v>
      </c>
      <c r="H34">
        <v>7679</v>
      </c>
      <c r="I34">
        <v>5.4390373392789E-3</v>
      </c>
      <c r="J34">
        <v>2.85783844946636E-2</v>
      </c>
      <c r="K34">
        <v>2.1649750596399899</v>
      </c>
      <c r="L34" t="s">
        <v>119</v>
      </c>
      <c r="M34" t="str">
        <f>HYPERLINK("../../3.KEGG_map/SCI_I-vs-NC-Up/rno00480.html","rno00480")</f>
        <v>rno00480</v>
      </c>
    </row>
    <row r="35" spans="1:13" x14ac:dyDescent="0.25">
      <c r="A35" t="s">
        <v>120</v>
      </c>
      <c r="B35" t="s">
        <v>121</v>
      </c>
      <c r="C35" t="s">
        <v>15</v>
      </c>
      <c r="D35" t="s">
        <v>16</v>
      </c>
      <c r="E35">
        <v>2</v>
      </c>
      <c r="F35">
        <v>795</v>
      </c>
      <c r="G35">
        <v>29</v>
      </c>
      <c r="H35">
        <v>7679</v>
      </c>
      <c r="I35">
        <v>0.81775692059354099</v>
      </c>
      <c r="J35">
        <v>1</v>
      </c>
      <c r="K35">
        <v>0.66614617219691996</v>
      </c>
      <c r="L35" t="s">
        <v>122</v>
      </c>
      <c r="M35" t="str">
        <f>HYPERLINK("../../3.KEGG_map/SCI_I-vs-NC-Up/rno00500.html","rno00500")</f>
        <v>rno00500</v>
      </c>
    </row>
    <row r="36" spans="1:13" x14ac:dyDescent="0.25">
      <c r="A36" t="s">
        <v>123</v>
      </c>
      <c r="B36" t="s">
        <v>124</v>
      </c>
      <c r="C36" t="s">
        <v>15</v>
      </c>
      <c r="D36" t="s">
        <v>125</v>
      </c>
      <c r="E36">
        <v>2</v>
      </c>
      <c r="F36">
        <v>795</v>
      </c>
      <c r="G36">
        <v>27</v>
      </c>
      <c r="H36">
        <v>7679</v>
      </c>
      <c r="I36">
        <v>0.78515715351481796</v>
      </c>
      <c r="J36">
        <v>1</v>
      </c>
      <c r="K36">
        <v>0.715490333100396</v>
      </c>
      <c r="L36" t="s">
        <v>126</v>
      </c>
      <c r="M36" t="str">
        <f>HYPERLINK("../../3.KEGG_map/SCI_I-vs-NC-Up/rno00512.html","rno00512")</f>
        <v>rno00512</v>
      </c>
    </row>
    <row r="37" spans="1:13" x14ac:dyDescent="0.25">
      <c r="A37" t="s">
        <v>127</v>
      </c>
      <c r="B37" t="s">
        <v>128</v>
      </c>
      <c r="C37" t="s">
        <v>15</v>
      </c>
      <c r="D37" t="s">
        <v>125</v>
      </c>
      <c r="E37">
        <v>2</v>
      </c>
      <c r="F37">
        <v>795</v>
      </c>
      <c r="G37">
        <v>22</v>
      </c>
      <c r="H37">
        <v>7679</v>
      </c>
      <c r="I37">
        <v>0.68060875904250395</v>
      </c>
      <c r="J37">
        <v>1</v>
      </c>
      <c r="K37">
        <v>0.87810177244139498</v>
      </c>
      <c r="L37" t="s">
        <v>129</v>
      </c>
      <c r="M37" t="str">
        <f>HYPERLINK("../../3.KEGG_map/SCI_I-vs-NC-Up/rno00514.html","rno00514")</f>
        <v>rno00514</v>
      </c>
    </row>
    <row r="38" spans="1:13" x14ac:dyDescent="0.25">
      <c r="A38" t="s">
        <v>130</v>
      </c>
      <c r="B38" t="s">
        <v>131</v>
      </c>
      <c r="C38" t="s">
        <v>15</v>
      </c>
      <c r="D38" t="s">
        <v>125</v>
      </c>
      <c r="E38">
        <v>1</v>
      </c>
      <c r="F38">
        <v>795</v>
      </c>
      <c r="G38">
        <v>23</v>
      </c>
      <c r="H38">
        <v>7679</v>
      </c>
      <c r="I38">
        <v>0.91933658611105595</v>
      </c>
      <c r="J38">
        <v>1</v>
      </c>
      <c r="K38">
        <v>0.41996171725457998</v>
      </c>
      <c r="L38" t="s">
        <v>132</v>
      </c>
      <c r="M38" t="str">
        <f>HYPERLINK("../../3.KEGG_map/SCI_I-vs-NC-Up/rno00515.html","rno00515")</f>
        <v>rno00515</v>
      </c>
    </row>
    <row r="39" spans="1:13" x14ac:dyDescent="0.25">
      <c r="A39" t="s">
        <v>133</v>
      </c>
      <c r="B39" t="s">
        <v>134</v>
      </c>
      <c r="C39" t="s">
        <v>15</v>
      </c>
      <c r="D39" t="s">
        <v>16</v>
      </c>
      <c r="E39">
        <v>5</v>
      </c>
      <c r="F39">
        <v>795</v>
      </c>
      <c r="G39">
        <v>47</v>
      </c>
      <c r="H39">
        <v>7679</v>
      </c>
      <c r="I39">
        <v>0.54466403425916299</v>
      </c>
      <c r="J39">
        <v>0.93930493399862502</v>
      </c>
      <c r="K39">
        <v>1.0275659039207801</v>
      </c>
      <c r="L39" t="s">
        <v>135</v>
      </c>
      <c r="M39" t="str">
        <f>HYPERLINK("../../3.KEGG_map/SCI_I-vs-NC-Up/rno00520.html","rno00520")</f>
        <v>rno00520</v>
      </c>
    </row>
    <row r="40" spans="1:13" x14ac:dyDescent="0.25">
      <c r="A40" t="s">
        <v>136</v>
      </c>
      <c r="B40" t="s">
        <v>137</v>
      </c>
      <c r="C40" t="s">
        <v>15</v>
      </c>
      <c r="D40" t="s">
        <v>125</v>
      </c>
      <c r="E40">
        <v>5</v>
      </c>
      <c r="F40">
        <v>795</v>
      </c>
      <c r="G40">
        <v>21</v>
      </c>
      <c r="H40">
        <v>7679</v>
      </c>
      <c r="I40">
        <v>5.8811975915265297E-2</v>
      </c>
      <c r="J40">
        <v>0.20444163056258899</v>
      </c>
      <c r="K40">
        <v>2.29979035639413</v>
      </c>
      <c r="L40" t="s">
        <v>138</v>
      </c>
      <c r="M40" t="str">
        <f>HYPERLINK("../../3.KEGG_map/SCI_I-vs-NC-Up/rno00532.html","rno00532")</f>
        <v>rno00532</v>
      </c>
    </row>
    <row r="41" spans="1:13" x14ac:dyDescent="0.25">
      <c r="A41" t="s">
        <v>139</v>
      </c>
      <c r="B41" t="s">
        <v>140</v>
      </c>
      <c r="C41" t="s">
        <v>15</v>
      </c>
      <c r="D41" t="s">
        <v>125</v>
      </c>
      <c r="E41">
        <v>1</v>
      </c>
      <c r="F41">
        <v>795</v>
      </c>
      <c r="G41">
        <v>14</v>
      </c>
      <c r="H41">
        <v>7679</v>
      </c>
      <c r="I41">
        <v>0.78377215391789501</v>
      </c>
      <c r="J41">
        <v>1</v>
      </c>
      <c r="K41">
        <v>0.68993710691823895</v>
      </c>
      <c r="L41" t="s">
        <v>141</v>
      </c>
      <c r="M41" t="str">
        <f>HYPERLINK("../../3.KEGG_map/SCI_I-vs-NC-Up/rno00533.html","rno00533")</f>
        <v>rno00533</v>
      </c>
    </row>
    <row r="42" spans="1:13" x14ac:dyDescent="0.25">
      <c r="A42" t="s">
        <v>142</v>
      </c>
      <c r="B42" t="s">
        <v>143</v>
      </c>
      <c r="C42" t="s">
        <v>15</v>
      </c>
      <c r="D42" t="s">
        <v>125</v>
      </c>
      <c r="E42">
        <v>3</v>
      </c>
      <c r="F42">
        <v>795</v>
      </c>
      <c r="G42">
        <v>25</v>
      </c>
      <c r="H42">
        <v>7679</v>
      </c>
      <c r="I42">
        <v>0.486899000907278</v>
      </c>
      <c r="J42">
        <v>0.90182984725152804</v>
      </c>
      <c r="K42">
        <v>1.1590943396226401</v>
      </c>
      <c r="L42" t="s">
        <v>144</v>
      </c>
      <c r="M42" t="str">
        <f>HYPERLINK("../../3.KEGG_map/SCI_I-vs-NC-Up/rno00534.html","rno00534")</f>
        <v>rno00534</v>
      </c>
    </row>
    <row r="43" spans="1:13" x14ac:dyDescent="0.25">
      <c r="A43" t="s">
        <v>145</v>
      </c>
      <c r="B43" t="s">
        <v>146</v>
      </c>
      <c r="C43" t="s">
        <v>15</v>
      </c>
      <c r="D43" t="s">
        <v>38</v>
      </c>
      <c r="E43">
        <v>5</v>
      </c>
      <c r="F43">
        <v>795</v>
      </c>
      <c r="G43">
        <v>61</v>
      </c>
      <c r="H43">
        <v>7679</v>
      </c>
      <c r="I43">
        <v>0.77111098746088302</v>
      </c>
      <c r="J43">
        <v>1</v>
      </c>
      <c r="K43">
        <v>0.79173110629961896</v>
      </c>
      <c r="L43" t="s">
        <v>147</v>
      </c>
      <c r="M43" t="str">
        <f>HYPERLINK("../../3.KEGG_map/SCI_I-vs-NC-Up/rno00561.html","rno00561")</f>
        <v>rno00561</v>
      </c>
    </row>
    <row r="44" spans="1:13" x14ac:dyDescent="0.25">
      <c r="A44" t="s">
        <v>148</v>
      </c>
      <c r="B44" t="s">
        <v>149</v>
      </c>
      <c r="C44" t="s">
        <v>15</v>
      </c>
      <c r="D44" t="s">
        <v>16</v>
      </c>
      <c r="E44">
        <v>3</v>
      </c>
      <c r="F44">
        <v>795</v>
      </c>
      <c r="G44">
        <v>73</v>
      </c>
      <c r="H44">
        <v>7679</v>
      </c>
      <c r="I44">
        <v>0.98508551119750298</v>
      </c>
      <c r="J44">
        <v>1</v>
      </c>
      <c r="K44">
        <v>0.39695011630912402</v>
      </c>
      <c r="L44" t="s">
        <v>150</v>
      </c>
      <c r="M44" t="str">
        <f>HYPERLINK("../../3.KEGG_map/SCI_I-vs-NC-Up/rno00562.html","rno00562")</f>
        <v>rno00562</v>
      </c>
    </row>
    <row r="45" spans="1:13" x14ac:dyDescent="0.25">
      <c r="A45" t="s">
        <v>151</v>
      </c>
      <c r="B45" t="s">
        <v>152</v>
      </c>
      <c r="C45" t="s">
        <v>15</v>
      </c>
      <c r="D45" t="s">
        <v>38</v>
      </c>
      <c r="E45">
        <v>6</v>
      </c>
      <c r="F45">
        <v>795</v>
      </c>
      <c r="G45">
        <v>96</v>
      </c>
      <c r="H45">
        <v>7679</v>
      </c>
      <c r="I45">
        <v>0.94171661463773704</v>
      </c>
      <c r="J45">
        <v>1</v>
      </c>
      <c r="K45">
        <v>0.60369496855345905</v>
      </c>
      <c r="L45" t="s">
        <v>153</v>
      </c>
      <c r="M45" t="str">
        <f>HYPERLINK("../../3.KEGG_map/SCI_I-vs-NC-Up/rno00564.html","rno00564")</f>
        <v>rno00564</v>
      </c>
    </row>
    <row r="46" spans="1:13" x14ac:dyDescent="0.25">
      <c r="A46" t="s">
        <v>154</v>
      </c>
      <c r="B46" t="s">
        <v>155</v>
      </c>
      <c r="C46" t="s">
        <v>15</v>
      </c>
      <c r="D46" t="s">
        <v>38</v>
      </c>
      <c r="E46">
        <v>5</v>
      </c>
      <c r="F46">
        <v>795</v>
      </c>
      <c r="G46">
        <v>45</v>
      </c>
      <c r="H46">
        <v>7679</v>
      </c>
      <c r="I46">
        <v>0.50477156870955098</v>
      </c>
      <c r="J46">
        <v>0.90983517322956098</v>
      </c>
      <c r="K46">
        <v>1.07323549965059</v>
      </c>
      <c r="L46" t="s">
        <v>156</v>
      </c>
      <c r="M46" t="str">
        <f>HYPERLINK("../../3.KEGG_map/SCI_I-vs-NC-Up/rno00565.html","rno00565")</f>
        <v>rno00565</v>
      </c>
    </row>
    <row r="47" spans="1:13" x14ac:dyDescent="0.25">
      <c r="A47" t="s">
        <v>157</v>
      </c>
      <c r="B47" t="s">
        <v>158</v>
      </c>
      <c r="C47" t="s">
        <v>15</v>
      </c>
      <c r="D47" t="s">
        <v>38</v>
      </c>
      <c r="E47">
        <v>8</v>
      </c>
      <c r="F47">
        <v>795</v>
      </c>
      <c r="G47">
        <v>77</v>
      </c>
      <c r="H47">
        <v>7679</v>
      </c>
      <c r="I47">
        <v>0.55122482789609195</v>
      </c>
      <c r="J47">
        <v>0.93930493399862502</v>
      </c>
      <c r="K47">
        <v>1.0035448827901701</v>
      </c>
      <c r="L47" t="s">
        <v>159</v>
      </c>
      <c r="M47" t="str">
        <f>HYPERLINK("../../3.KEGG_map/SCI_I-vs-NC-Up/rno00590.html","rno00590")</f>
        <v>rno00590</v>
      </c>
    </row>
    <row r="48" spans="1:13" x14ac:dyDescent="0.25">
      <c r="A48" t="s">
        <v>160</v>
      </c>
      <c r="B48" t="s">
        <v>161</v>
      </c>
      <c r="C48" t="s">
        <v>15</v>
      </c>
      <c r="D48" t="s">
        <v>38</v>
      </c>
      <c r="E48">
        <v>3</v>
      </c>
      <c r="F48">
        <v>795</v>
      </c>
      <c r="G48">
        <v>39</v>
      </c>
      <c r="H48">
        <v>7679</v>
      </c>
      <c r="I48">
        <v>0.78392904562092602</v>
      </c>
      <c r="J48">
        <v>1</v>
      </c>
      <c r="K48">
        <v>0.74300919206579596</v>
      </c>
      <c r="L48" t="s">
        <v>162</v>
      </c>
      <c r="M48" t="str">
        <f>HYPERLINK("../../3.KEGG_map/SCI_I-vs-NC-Up/rno00591.html","rno00591")</f>
        <v>rno00591</v>
      </c>
    </row>
    <row r="49" spans="1:13" x14ac:dyDescent="0.25">
      <c r="A49" t="s">
        <v>163</v>
      </c>
      <c r="B49" t="s">
        <v>164</v>
      </c>
      <c r="C49" t="s">
        <v>15</v>
      </c>
      <c r="D49" t="s">
        <v>38</v>
      </c>
      <c r="E49">
        <v>2</v>
      </c>
      <c r="F49">
        <v>795</v>
      </c>
      <c r="G49">
        <v>23</v>
      </c>
      <c r="H49">
        <v>7679</v>
      </c>
      <c r="I49">
        <v>0.70439480194326898</v>
      </c>
      <c r="J49">
        <v>1</v>
      </c>
      <c r="K49">
        <v>0.83992343450915996</v>
      </c>
      <c r="L49" t="s">
        <v>165</v>
      </c>
      <c r="M49" t="str">
        <f>HYPERLINK("../../3.KEGG_map/SCI_I-vs-NC-Up/rno00592.html","rno00592")</f>
        <v>rno00592</v>
      </c>
    </row>
    <row r="50" spans="1:13" x14ac:dyDescent="0.25">
      <c r="A50" t="s">
        <v>166</v>
      </c>
      <c r="B50" t="s">
        <v>167</v>
      </c>
      <c r="C50" t="s">
        <v>15</v>
      </c>
      <c r="D50" t="s">
        <v>38</v>
      </c>
      <c r="E50">
        <v>3</v>
      </c>
      <c r="F50">
        <v>795</v>
      </c>
      <c r="G50">
        <v>49</v>
      </c>
      <c r="H50">
        <v>7679</v>
      </c>
      <c r="I50">
        <v>0.89521298295629104</v>
      </c>
      <c r="J50">
        <v>1</v>
      </c>
      <c r="K50">
        <v>0.59137466307277597</v>
      </c>
      <c r="L50" t="s">
        <v>168</v>
      </c>
      <c r="M50" t="str">
        <f>HYPERLINK("../../3.KEGG_map/SCI_I-vs-NC-Up/rno00600.html","rno00600")</f>
        <v>rno00600</v>
      </c>
    </row>
    <row r="51" spans="1:13" x14ac:dyDescent="0.25">
      <c r="A51" t="s">
        <v>169</v>
      </c>
      <c r="B51" t="s">
        <v>170</v>
      </c>
      <c r="C51" t="s">
        <v>15</v>
      </c>
      <c r="D51" t="s">
        <v>125</v>
      </c>
      <c r="E51">
        <v>3</v>
      </c>
      <c r="F51">
        <v>795</v>
      </c>
      <c r="G51">
        <v>29</v>
      </c>
      <c r="H51">
        <v>7679</v>
      </c>
      <c r="I51">
        <v>0.59003773206639998</v>
      </c>
      <c r="J51">
        <v>0.96251965230943404</v>
      </c>
      <c r="K51">
        <v>0.99921925829538105</v>
      </c>
      <c r="L51" t="s">
        <v>171</v>
      </c>
      <c r="M51" t="str">
        <f>HYPERLINK("../../3.KEGG_map/SCI_I-vs-NC-Up/rno00601.html","rno00601")</f>
        <v>rno00601</v>
      </c>
    </row>
    <row r="52" spans="1:13" x14ac:dyDescent="0.25">
      <c r="A52" t="s">
        <v>172</v>
      </c>
      <c r="B52" t="s">
        <v>173</v>
      </c>
      <c r="C52" t="s">
        <v>15</v>
      </c>
      <c r="D52" t="s">
        <v>125</v>
      </c>
      <c r="E52">
        <v>2</v>
      </c>
      <c r="F52">
        <v>795</v>
      </c>
      <c r="G52">
        <v>15</v>
      </c>
      <c r="H52">
        <v>7679</v>
      </c>
      <c r="I52">
        <v>0.46979747330552402</v>
      </c>
      <c r="J52">
        <v>0.885037820678794</v>
      </c>
      <c r="K52">
        <v>1.2878825995807099</v>
      </c>
      <c r="L52" t="s">
        <v>174</v>
      </c>
      <c r="M52" t="str">
        <f>HYPERLINK("../../3.KEGG_map/SCI_I-vs-NC-Up/rno00603.html","rno00603")</f>
        <v>rno00603</v>
      </c>
    </row>
    <row r="53" spans="1:13" x14ac:dyDescent="0.25">
      <c r="A53" t="s">
        <v>175</v>
      </c>
      <c r="B53" t="s">
        <v>176</v>
      </c>
      <c r="C53" t="s">
        <v>15</v>
      </c>
      <c r="D53" t="s">
        <v>16</v>
      </c>
      <c r="E53">
        <v>1</v>
      </c>
      <c r="F53">
        <v>795</v>
      </c>
      <c r="G53">
        <v>39</v>
      </c>
      <c r="H53">
        <v>7679</v>
      </c>
      <c r="I53">
        <v>0.98606667952767402</v>
      </c>
      <c r="J53">
        <v>1</v>
      </c>
      <c r="K53">
        <v>0.24766973068859899</v>
      </c>
      <c r="L53" t="s">
        <v>177</v>
      </c>
      <c r="M53" t="str">
        <f>HYPERLINK("../../3.KEGG_map/SCI_I-vs-NC-Up/rno00620.html","rno00620")</f>
        <v>rno00620</v>
      </c>
    </row>
    <row r="54" spans="1:13" x14ac:dyDescent="0.25">
      <c r="A54" t="s">
        <v>178</v>
      </c>
      <c r="B54" t="s">
        <v>179</v>
      </c>
      <c r="C54" t="s">
        <v>15</v>
      </c>
      <c r="D54" t="s">
        <v>16</v>
      </c>
      <c r="E54">
        <v>2</v>
      </c>
      <c r="F54">
        <v>795</v>
      </c>
      <c r="G54">
        <v>31</v>
      </c>
      <c r="H54">
        <v>7679</v>
      </c>
      <c r="I54">
        <v>0.84585513889497499</v>
      </c>
      <c r="J54">
        <v>1</v>
      </c>
      <c r="K54">
        <v>0.62316899979711904</v>
      </c>
      <c r="L54" t="s">
        <v>180</v>
      </c>
      <c r="M54" t="str">
        <f>HYPERLINK("../../3.KEGG_map/SCI_I-vs-NC-Up/rno00640.html","rno00640")</f>
        <v>rno00640</v>
      </c>
    </row>
    <row r="55" spans="1:13" x14ac:dyDescent="0.25">
      <c r="A55" t="s">
        <v>181</v>
      </c>
      <c r="B55" t="s">
        <v>182</v>
      </c>
      <c r="C55" t="s">
        <v>15</v>
      </c>
      <c r="D55" t="s">
        <v>16</v>
      </c>
      <c r="E55">
        <v>2</v>
      </c>
      <c r="F55">
        <v>795</v>
      </c>
      <c r="G55">
        <v>25</v>
      </c>
      <c r="H55">
        <v>7679</v>
      </c>
      <c r="I55">
        <v>0.74753737907057805</v>
      </c>
      <c r="J55">
        <v>1</v>
      </c>
      <c r="K55">
        <v>0.77272955974842805</v>
      </c>
      <c r="L55" t="s">
        <v>183</v>
      </c>
      <c r="M55" t="str">
        <f>HYPERLINK("../../3.KEGG_map/SCI_I-vs-NC-Up/rno00650.html","rno00650")</f>
        <v>rno00650</v>
      </c>
    </row>
    <row r="56" spans="1:13" x14ac:dyDescent="0.25">
      <c r="A56" t="s">
        <v>184</v>
      </c>
      <c r="B56" t="s">
        <v>185</v>
      </c>
      <c r="C56" t="s">
        <v>15</v>
      </c>
      <c r="D56" t="s">
        <v>57</v>
      </c>
      <c r="E56">
        <v>5</v>
      </c>
      <c r="F56">
        <v>795</v>
      </c>
      <c r="G56">
        <v>18</v>
      </c>
      <c r="H56">
        <v>7679</v>
      </c>
      <c r="I56">
        <v>3.2038506610108798E-2</v>
      </c>
      <c r="J56">
        <v>0.12473658573535699</v>
      </c>
      <c r="K56">
        <v>2.6830887491264801</v>
      </c>
      <c r="L56" t="s">
        <v>186</v>
      </c>
      <c r="M56" t="str">
        <f>HYPERLINK("../../3.KEGG_map/SCI_I-vs-NC-Up/rno00670.html","rno00670")</f>
        <v>rno00670</v>
      </c>
    </row>
    <row r="57" spans="1:13" x14ac:dyDescent="0.25">
      <c r="A57" t="s">
        <v>187</v>
      </c>
      <c r="B57" t="s">
        <v>188</v>
      </c>
      <c r="C57" t="s">
        <v>15</v>
      </c>
      <c r="D57" t="s">
        <v>57</v>
      </c>
      <c r="E57">
        <v>1</v>
      </c>
      <c r="F57">
        <v>795</v>
      </c>
      <c r="G57">
        <v>8</v>
      </c>
      <c r="H57">
        <v>7679</v>
      </c>
      <c r="I57">
        <v>0.58302833152352196</v>
      </c>
      <c r="J57">
        <v>0.96251965230943404</v>
      </c>
      <c r="K57">
        <v>1.2073899371069201</v>
      </c>
      <c r="L57" t="s">
        <v>189</v>
      </c>
      <c r="M57" t="str">
        <f>HYPERLINK("../../3.KEGG_map/SCI_I-vs-NC-Up/rno00740.html","rno00740")</f>
        <v>rno00740</v>
      </c>
    </row>
    <row r="58" spans="1:13" x14ac:dyDescent="0.25">
      <c r="A58" t="s">
        <v>190</v>
      </c>
      <c r="B58" t="s">
        <v>191</v>
      </c>
      <c r="C58" t="s">
        <v>15</v>
      </c>
      <c r="D58" t="s">
        <v>57</v>
      </c>
      <c r="E58">
        <v>2</v>
      </c>
      <c r="F58">
        <v>795</v>
      </c>
      <c r="G58">
        <v>10</v>
      </c>
      <c r="H58">
        <v>7679</v>
      </c>
      <c r="I58">
        <v>0.27757998336772099</v>
      </c>
      <c r="J58">
        <v>0.638215394829722</v>
      </c>
      <c r="K58">
        <v>1.9318238993710699</v>
      </c>
      <c r="L58" t="s">
        <v>192</v>
      </c>
      <c r="M58" t="str">
        <f>HYPERLINK("../../3.KEGG_map/SCI_I-vs-NC-Up/rno00750.html","rno00750")</f>
        <v>rno00750</v>
      </c>
    </row>
    <row r="59" spans="1:13" x14ac:dyDescent="0.25">
      <c r="A59" t="s">
        <v>193</v>
      </c>
      <c r="B59" t="s">
        <v>194</v>
      </c>
      <c r="C59" t="s">
        <v>15</v>
      </c>
      <c r="D59" t="s">
        <v>57</v>
      </c>
      <c r="E59">
        <v>6</v>
      </c>
      <c r="F59">
        <v>795</v>
      </c>
      <c r="G59">
        <v>32</v>
      </c>
      <c r="H59">
        <v>7679</v>
      </c>
      <c r="I59">
        <v>0.106814698095758</v>
      </c>
      <c r="J59">
        <v>0.32489470670792903</v>
      </c>
      <c r="K59">
        <v>1.8110849056603799</v>
      </c>
      <c r="L59" t="s">
        <v>195</v>
      </c>
      <c r="M59" t="str">
        <f>HYPERLINK("../../3.KEGG_map/SCI_I-vs-NC-Up/rno00760.html","rno00760")</f>
        <v>rno00760</v>
      </c>
    </row>
    <row r="60" spans="1:13" x14ac:dyDescent="0.25">
      <c r="A60" t="s">
        <v>196</v>
      </c>
      <c r="B60" t="s">
        <v>197</v>
      </c>
      <c r="C60" t="s">
        <v>15</v>
      </c>
      <c r="D60" t="s">
        <v>57</v>
      </c>
      <c r="E60">
        <v>3</v>
      </c>
      <c r="F60">
        <v>795</v>
      </c>
      <c r="G60">
        <v>19</v>
      </c>
      <c r="H60">
        <v>7679</v>
      </c>
      <c r="I60">
        <v>0.31358332060688698</v>
      </c>
      <c r="J60">
        <v>0.70435638167085302</v>
      </c>
      <c r="K60">
        <v>1.52512413108242</v>
      </c>
      <c r="L60" t="s">
        <v>198</v>
      </c>
      <c r="M60" t="str">
        <f>HYPERLINK("../../3.KEGG_map/SCI_I-vs-NC-Up/rno00770.html","rno00770")</f>
        <v>rno00770</v>
      </c>
    </row>
    <row r="61" spans="1:13" x14ac:dyDescent="0.25">
      <c r="A61" t="s">
        <v>199</v>
      </c>
      <c r="B61" t="s">
        <v>200</v>
      </c>
      <c r="C61" t="s">
        <v>15</v>
      </c>
      <c r="D61" t="s">
        <v>57</v>
      </c>
      <c r="E61">
        <v>4</v>
      </c>
      <c r="F61">
        <v>795</v>
      </c>
      <c r="G61">
        <v>26</v>
      </c>
      <c r="H61">
        <v>7679</v>
      </c>
      <c r="I61">
        <v>0.27987072029929699</v>
      </c>
      <c r="J61">
        <v>0.63845508068277101</v>
      </c>
      <c r="K61">
        <v>1.4860183841315899</v>
      </c>
      <c r="L61" t="s">
        <v>201</v>
      </c>
      <c r="M61" t="str">
        <f>HYPERLINK("../../3.KEGG_map/SCI_I-vs-NC-Up/rno00790.html","rno00790")</f>
        <v>rno00790</v>
      </c>
    </row>
    <row r="62" spans="1:13" x14ac:dyDescent="0.25">
      <c r="A62" t="s">
        <v>202</v>
      </c>
      <c r="B62" t="s">
        <v>203</v>
      </c>
      <c r="C62" t="s">
        <v>15</v>
      </c>
      <c r="D62" t="s">
        <v>57</v>
      </c>
      <c r="E62">
        <v>7</v>
      </c>
      <c r="F62">
        <v>795</v>
      </c>
      <c r="G62">
        <v>80</v>
      </c>
      <c r="H62">
        <v>7679</v>
      </c>
      <c r="I62">
        <v>0.73538327647116197</v>
      </c>
      <c r="J62">
        <v>1</v>
      </c>
      <c r="K62">
        <v>0.84517295597484299</v>
      </c>
      <c r="L62" t="s">
        <v>204</v>
      </c>
      <c r="M62" t="str">
        <f>HYPERLINK("../../3.KEGG_map/SCI_I-vs-NC-Up/rno00830.html","rno00830")</f>
        <v>rno00830</v>
      </c>
    </row>
    <row r="63" spans="1:13" x14ac:dyDescent="0.25">
      <c r="A63" t="s">
        <v>205</v>
      </c>
      <c r="B63" t="s">
        <v>206</v>
      </c>
      <c r="C63" t="s">
        <v>15</v>
      </c>
      <c r="D63" t="s">
        <v>57</v>
      </c>
      <c r="E63">
        <v>2</v>
      </c>
      <c r="F63">
        <v>795</v>
      </c>
      <c r="G63">
        <v>40</v>
      </c>
      <c r="H63">
        <v>7679</v>
      </c>
      <c r="I63">
        <v>0.92952183643284703</v>
      </c>
      <c r="J63">
        <v>1</v>
      </c>
      <c r="K63">
        <v>0.48295597484276698</v>
      </c>
      <c r="L63" t="s">
        <v>207</v>
      </c>
      <c r="M63" t="str">
        <f>HYPERLINK("../../3.KEGG_map/SCI_I-vs-NC-Up/rno00860.html","rno00860")</f>
        <v>rno00860</v>
      </c>
    </row>
    <row r="64" spans="1:13" x14ac:dyDescent="0.25">
      <c r="A64" t="s">
        <v>208</v>
      </c>
      <c r="B64" t="s">
        <v>209</v>
      </c>
      <c r="C64" t="s">
        <v>15</v>
      </c>
      <c r="D64" t="s">
        <v>210</v>
      </c>
      <c r="E64">
        <v>3</v>
      </c>
      <c r="F64">
        <v>795</v>
      </c>
      <c r="G64">
        <v>23</v>
      </c>
      <c r="H64">
        <v>7679</v>
      </c>
      <c r="I64">
        <v>0.43085530858446802</v>
      </c>
      <c r="J64">
        <v>0.84436073897090402</v>
      </c>
      <c r="K64">
        <v>1.2598851517637399</v>
      </c>
      <c r="L64" t="s">
        <v>211</v>
      </c>
      <c r="M64" t="str">
        <f>HYPERLINK("../../3.KEGG_map/SCI_I-vs-NC-Up/rno00900.html","rno00900")</f>
        <v>rno00900</v>
      </c>
    </row>
    <row r="65" spans="1:13" x14ac:dyDescent="0.25">
      <c r="A65" t="s">
        <v>212</v>
      </c>
      <c r="B65" t="s">
        <v>213</v>
      </c>
      <c r="C65" t="s">
        <v>15</v>
      </c>
      <c r="D65" t="s">
        <v>64</v>
      </c>
      <c r="E65">
        <v>3</v>
      </c>
      <c r="F65">
        <v>795</v>
      </c>
      <c r="G65">
        <v>17</v>
      </c>
      <c r="H65">
        <v>7679</v>
      </c>
      <c r="I65">
        <v>0.25468894635196099</v>
      </c>
      <c r="J65">
        <v>0.59975138979655296</v>
      </c>
      <c r="K65">
        <v>1.70455049944506</v>
      </c>
      <c r="L65" t="s">
        <v>214</v>
      </c>
      <c r="M65" t="str">
        <f>HYPERLINK("../../3.KEGG_map/SCI_I-vs-NC-Up/rno00910.html","rno00910")</f>
        <v>rno00910</v>
      </c>
    </row>
    <row r="66" spans="1:13" x14ac:dyDescent="0.25">
      <c r="A66" t="s">
        <v>215</v>
      </c>
      <c r="B66" t="s">
        <v>216</v>
      </c>
      <c r="C66" t="s">
        <v>15</v>
      </c>
      <c r="D66" t="s">
        <v>64</v>
      </c>
      <c r="E66">
        <v>1</v>
      </c>
      <c r="F66">
        <v>795</v>
      </c>
      <c r="G66">
        <v>12</v>
      </c>
      <c r="H66">
        <v>7679</v>
      </c>
      <c r="I66">
        <v>0.73084478368835804</v>
      </c>
      <c r="J66">
        <v>1</v>
      </c>
      <c r="K66">
        <v>0.80492662473794596</v>
      </c>
      <c r="L66" t="s">
        <v>217</v>
      </c>
      <c r="M66" t="str">
        <f>HYPERLINK("../../3.KEGG_map/SCI_I-vs-NC-Up/rno00920.html","rno00920")</f>
        <v>rno00920</v>
      </c>
    </row>
    <row r="67" spans="1:13" x14ac:dyDescent="0.25">
      <c r="A67" t="s">
        <v>218</v>
      </c>
      <c r="B67" t="s">
        <v>219</v>
      </c>
      <c r="C67" t="s">
        <v>220</v>
      </c>
      <c r="D67" t="s">
        <v>221</v>
      </c>
      <c r="E67">
        <v>1</v>
      </c>
      <c r="F67">
        <v>795</v>
      </c>
      <c r="G67">
        <v>44</v>
      </c>
      <c r="H67">
        <v>7679</v>
      </c>
      <c r="I67">
        <v>0.99195753745820503</v>
      </c>
      <c r="J67">
        <v>1</v>
      </c>
      <c r="K67">
        <v>0.21952544311034899</v>
      </c>
      <c r="L67" t="s">
        <v>222</v>
      </c>
      <c r="M67" t="str">
        <f>HYPERLINK("../../3.KEGG_map/SCI_I-vs-NC-Up/rno00970.html","rno00970")</f>
        <v>rno00970</v>
      </c>
    </row>
    <row r="68" spans="1:13" x14ac:dyDescent="0.25">
      <c r="A68" t="s">
        <v>223</v>
      </c>
      <c r="B68" t="s">
        <v>224</v>
      </c>
      <c r="C68" t="s">
        <v>15</v>
      </c>
      <c r="D68" t="s">
        <v>225</v>
      </c>
      <c r="E68">
        <v>10</v>
      </c>
      <c r="F68">
        <v>795</v>
      </c>
      <c r="G68">
        <v>64</v>
      </c>
      <c r="H68">
        <v>7679</v>
      </c>
      <c r="I68">
        <v>0.12089783540146599</v>
      </c>
      <c r="J68">
        <v>0.35658755492149502</v>
      </c>
      <c r="K68">
        <v>1.5092374213836499</v>
      </c>
      <c r="L68" t="s">
        <v>226</v>
      </c>
      <c r="M68" t="str">
        <f>HYPERLINK("../../3.KEGG_map/SCI_I-vs-NC-Up/rno00980.html","rno00980")</f>
        <v>rno00980</v>
      </c>
    </row>
    <row r="69" spans="1:13" x14ac:dyDescent="0.25">
      <c r="A69" t="s">
        <v>227</v>
      </c>
      <c r="B69" t="s">
        <v>228</v>
      </c>
      <c r="C69" t="s">
        <v>15</v>
      </c>
      <c r="D69" t="s">
        <v>225</v>
      </c>
      <c r="E69">
        <v>9</v>
      </c>
      <c r="F69">
        <v>795</v>
      </c>
      <c r="G69">
        <v>65</v>
      </c>
      <c r="H69">
        <v>7679</v>
      </c>
      <c r="I69">
        <v>0.22661917886649999</v>
      </c>
      <c r="J69">
        <v>0.56078644261879695</v>
      </c>
      <c r="K69">
        <v>1.3374165457184299</v>
      </c>
      <c r="L69" t="s">
        <v>229</v>
      </c>
      <c r="M69" t="str">
        <f>HYPERLINK("../../3.KEGG_map/SCI_I-vs-NC-Up/rno00982.html","rno00982")</f>
        <v>rno00982</v>
      </c>
    </row>
    <row r="70" spans="1:13" x14ac:dyDescent="0.25">
      <c r="A70" t="s">
        <v>230</v>
      </c>
      <c r="B70" t="s">
        <v>231</v>
      </c>
      <c r="C70" t="s">
        <v>15</v>
      </c>
      <c r="D70" t="s">
        <v>225</v>
      </c>
      <c r="E70">
        <v>13</v>
      </c>
      <c r="F70">
        <v>795</v>
      </c>
      <c r="G70">
        <v>83</v>
      </c>
      <c r="H70">
        <v>7679</v>
      </c>
      <c r="I70">
        <v>8.3823061359150297E-2</v>
      </c>
      <c r="J70">
        <v>0.26897070238320803</v>
      </c>
      <c r="K70">
        <v>1.5128741380616799</v>
      </c>
      <c r="L70" t="s">
        <v>232</v>
      </c>
      <c r="M70" t="str">
        <f>HYPERLINK("../../3.KEGG_map/SCI_I-vs-NC-Up/rno00983.html","rno00983")</f>
        <v>rno00983</v>
      </c>
    </row>
    <row r="71" spans="1:13" x14ac:dyDescent="0.25">
      <c r="A71" t="s">
        <v>233</v>
      </c>
      <c r="B71" t="s">
        <v>234</v>
      </c>
      <c r="C71" t="s">
        <v>235</v>
      </c>
      <c r="D71" t="s">
        <v>236</v>
      </c>
      <c r="E71">
        <v>6</v>
      </c>
      <c r="F71">
        <v>795</v>
      </c>
      <c r="G71">
        <v>79</v>
      </c>
      <c r="H71">
        <v>7679</v>
      </c>
      <c r="I71">
        <v>0.84061692987725201</v>
      </c>
      <c r="J71">
        <v>1</v>
      </c>
      <c r="K71">
        <v>0.73360401241939299</v>
      </c>
      <c r="L71" t="s">
        <v>237</v>
      </c>
      <c r="M71" t="str">
        <f>HYPERLINK("../../3.KEGG_map/SCI_I-vs-NC-Up/rno01521.html","rno01521")</f>
        <v>rno01521</v>
      </c>
    </row>
    <row r="72" spans="1:13" x14ac:dyDescent="0.25">
      <c r="A72" t="s">
        <v>238</v>
      </c>
      <c r="B72" t="s">
        <v>239</v>
      </c>
      <c r="C72" t="s">
        <v>235</v>
      </c>
      <c r="D72" t="s">
        <v>236</v>
      </c>
      <c r="E72">
        <v>9</v>
      </c>
      <c r="F72">
        <v>795</v>
      </c>
      <c r="G72">
        <v>93</v>
      </c>
      <c r="H72">
        <v>7679</v>
      </c>
      <c r="I72">
        <v>0.63580905751313699</v>
      </c>
      <c r="J72">
        <v>1</v>
      </c>
      <c r="K72">
        <v>0.934753499695679</v>
      </c>
      <c r="L72" t="s">
        <v>240</v>
      </c>
      <c r="M72" t="str">
        <f>HYPERLINK("../../3.KEGG_map/SCI_I-vs-NC-Up/rno01522.html","rno01522")</f>
        <v>rno01522</v>
      </c>
    </row>
    <row r="73" spans="1:13" x14ac:dyDescent="0.25">
      <c r="A73" t="s">
        <v>241</v>
      </c>
      <c r="B73" t="s">
        <v>242</v>
      </c>
      <c r="C73" t="s">
        <v>235</v>
      </c>
      <c r="D73" t="s">
        <v>236</v>
      </c>
      <c r="E73">
        <v>6</v>
      </c>
      <c r="F73">
        <v>795</v>
      </c>
      <c r="G73">
        <v>30</v>
      </c>
      <c r="H73">
        <v>7679</v>
      </c>
      <c r="I73">
        <v>8.32311770868506E-2</v>
      </c>
      <c r="J73">
        <v>0.26897070238320803</v>
      </c>
      <c r="K73">
        <v>1.9318238993710699</v>
      </c>
      <c r="L73" t="s">
        <v>243</v>
      </c>
      <c r="M73" t="str">
        <f>HYPERLINK("../../3.KEGG_map/SCI_I-vs-NC-Up/rno01523.html","rno01523")</f>
        <v>rno01523</v>
      </c>
    </row>
    <row r="74" spans="1:13" x14ac:dyDescent="0.25">
      <c r="A74" t="s">
        <v>244</v>
      </c>
      <c r="B74" t="s">
        <v>245</v>
      </c>
      <c r="C74" t="s">
        <v>235</v>
      </c>
      <c r="D74" t="s">
        <v>236</v>
      </c>
      <c r="E74">
        <v>11</v>
      </c>
      <c r="F74">
        <v>795</v>
      </c>
      <c r="G74">
        <v>76</v>
      </c>
      <c r="H74">
        <v>7679</v>
      </c>
      <c r="I74">
        <v>0.158733850870584</v>
      </c>
      <c r="J74">
        <v>0.43726683447368297</v>
      </c>
      <c r="K74">
        <v>1.3980304534922201</v>
      </c>
      <c r="L74" t="s">
        <v>246</v>
      </c>
      <c r="M74" t="str">
        <f>HYPERLINK("../../3.KEGG_map/SCI_I-vs-NC-Up/rno01524.html","rno01524")</f>
        <v>rno01524</v>
      </c>
    </row>
    <row r="75" spans="1:13" x14ac:dyDescent="0.25">
      <c r="A75" t="s">
        <v>247</v>
      </c>
      <c r="B75" t="s">
        <v>248</v>
      </c>
      <c r="C75" t="s">
        <v>249</v>
      </c>
      <c r="D75" t="s">
        <v>250</v>
      </c>
      <c r="E75">
        <v>5</v>
      </c>
      <c r="F75">
        <v>795</v>
      </c>
      <c r="G75">
        <v>47</v>
      </c>
      <c r="H75">
        <v>7679</v>
      </c>
      <c r="I75">
        <v>0.54466403425916299</v>
      </c>
      <c r="J75">
        <v>0.93930493399862502</v>
      </c>
      <c r="K75">
        <v>1.0275659039207801</v>
      </c>
      <c r="L75" t="s">
        <v>251</v>
      </c>
      <c r="M75" t="str">
        <f>HYPERLINK("../../3.KEGG_map/SCI_I-vs-NC-Up/rno02010.html","rno02010")</f>
        <v>rno02010</v>
      </c>
    </row>
    <row r="76" spans="1:13" x14ac:dyDescent="0.25">
      <c r="A76" t="s">
        <v>252</v>
      </c>
      <c r="B76" t="s">
        <v>253</v>
      </c>
      <c r="C76" t="s">
        <v>220</v>
      </c>
      <c r="D76" t="s">
        <v>221</v>
      </c>
      <c r="E76">
        <v>4</v>
      </c>
      <c r="F76">
        <v>795</v>
      </c>
      <c r="G76">
        <v>78</v>
      </c>
      <c r="H76">
        <v>7679</v>
      </c>
      <c r="I76">
        <v>0.96742879812696003</v>
      </c>
      <c r="J76">
        <v>1</v>
      </c>
      <c r="K76">
        <v>0.49533946137719698</v>
      </c>
      <c r="L76" t="s">
        <v>254</v>
      </c>
      <c r="M76" t="str">
        <f>HYPERLINK("../../3.KEGG_map/SCI_I-vs-NC-Up/rno03008.html","rno03008")</f>
        <v>rno03008</v>
      </c>
    </row>
    <row r="77" spans="1:13" x14ac:dyDescent="0.25">
      <c r="A77" t="s">
        <v>255</v>
      </c>
      <c r="B77" t="s">
        <v>256</v>
      </c>
      <c r="C77" t="s">
        <v>220</v>
      </c>
      <c r="D77" t="s">
        <v>221</v>
      </c>
      <c r="E77">
        <v>4</v>
      </c>
      <c r="F77">
        <v>795</v>
      </c>
      <c r="G77">
        <v>160</v>
      </c>
      <c r="H77">
        <v>7679</v>
      </c>
      <c r="I77">
        <v>0.99997275714316802</v>
      </c>
      <c r="J77">
        <v>1</v>
      </c>
      <c r="K77">
        <v>0.24147798742138399</v>
      </c>
      <c r="L77" t="s">
        <v>257</v>
      </c>
      <c r="M77" t="str">
        <f>HYPERLINK("../../3.KEGG_map/SCI_I-vs-NC-Up/rno03013.html","rno03013")</f>
        <v>rno03013</v>
      </c>
    </row>
    <row r="78" spans="1:13" x14ac:dyDescent="0.25">
      <c r="A78" t="s">
        <v>258</v>
      </c>
      <c r="B78" t="s">
        <v>259</v>
      </c>
      <c r="C78" t="s">
        <v>220</v>
      </c>
      <c r="D78" t="s">
        <v>221</v>
      </c>
      <c r="E78">
        <v>1</v>
      </c>
      <c r="F78">
        <v>795</v>
      </c>
      <c r="G78">
        <v>92</v>
      </c>
      <c r="H78">
        <v>7679</v>
      </c>
      <c r="I78">
        <v>0.999959657991627</v>
      </c>
      <c r="J78">
        <v>1</v>
      </c>
      <c r="K78">
        <v>0.104990429313645</v>
      </c>
      <c r="L78" t="s">
        <v>260</v>
      </c>
      <c r="M78" t="str">
        <f>HYPERLINK("../../3.KEGG_map/SCI_I-vs-NC-Up/rno03015.html","rno03015")</f>
        <v>rno03015</v>
      </c>
    </row>
    <row r="79" spans="1:13" x14ac:dyDescent="0.25">
      <c r="A79" t="s">
        <v>261</v>
      </c>
      <c r="B79" t="s">
        <v>262</v>
      </c>
      <c r="C79" t="s">
        <v>220</v>
      </c>
      <c r="D79" t="s">
        <v>263</v>
      </c>
      <c r="E79">
        <v>4</v>
      </c>
      <c r="F79">
        <v>795</v>
      </c>
      <c r="G79">
        <v>80</v>
      </c>
      <c r="H79">
        <v>7679</v>
      </c>
      <c r="I79">
        <v>0.97203581307922604</v>
      </c>
      <c r="J79">
        <v>1</v>
      </c>
      <c r="K79">
        <v>0.48295597484276698</v>
      </c>
      <c r="L79" t="s">
        <v>264</v>
      </c>
      <c r="M79" t="str">
        <f>HYPERLINK("../../3.KEGG_map/SCI_I-vs-NC-Up/rno03018.html","rno03018")</f>
        <v>rno03018</v>
      </c>
    </row>
    <row r="80" spans="1:13" x14ac:dyDescent="0.25">
      <c r="A80" t="s">
        <v>265</v>
      </c>
      <c r="B80" t="s">
        <v>266</v>
      </c>
      <c r="C80" t="s">
        <v>220</v>
      </c>
      <c r="D80" t="s">
        <v>267</v>
      </c>
      <c r="E80">
        <v>1</v>
      </c>
      <c r="F80">
        <v>795</v>
      </c>
      <c r="G80">
        <v>28</v>
      </c>
      <c r="H80">
        <v>7679</v>
      </c>
      <c r="I80">
        <v>0.95338364479493098</v>
      </c>
      <c r="J80">
        <v>1</v>
      </c>
      <c r="K80">
        <v>0.34496855345911898</v>
      </c>
      <c r="L80" t="s">
        <v>268</v>
      </c>
      <c r="M80" t="str">
        <f>HYPERLINK("../../3.KEGG_map/SCI_I-vs-NC-Up/rno03020.html","rno03020")</f>
        <v>rno03020</v>
      </c>
    </row>
    <row r="81" spans="1:13" x14ac:dyDescent="0.25">
      <c r="A81" t="s">
        <v>269</v>
      </c>
      <c r="B81" t="s">
        <v>270</v>
      </c>
      <c r="C81" t="s">
        <v>220</v>
      </c>
      <c r="D81" t="s">
        <v>271</v>
      </c>
      <c r="E81">
        <v>10</v>
      </c>
      <c r="F81">
        <v>795</v>
      </c>
      <c r="G81">
        <v>34</v>
      </c>
      <c r="H81">
        <v>7679</v>
      </c>
      <c r="I81">
        <v>1.7315160996422101E-3</v>
      </c>
      <c r="J81">
        <v>1.2037309681090199E-2</v>
      </c>
      <c r="K81">
        <v>2.8409174990751001</v>
      </c>
      <c r="L81" t="s">
        <v>272</v>
      </c>
      <c r="M81" t="str">
        <f>HYPERLINK("../../3.KEGG_map/SCI_I-vs-NC-Up/rno03030.html","rno03030")</f>
        <v>rno03030</v>
      </c>
    </row>
    <row r="82" spans="1:13" x14ac:dyDescent="0.25">
      <c r="A82" t="s">
        <v>273</v>
      </c>
      <c r="B82" t="s">
        <v>274</v>
      </c>
      <c r="C82" t="s">
        <v>220</v>
      </c>
      <c r="D82" t="s">
        <v>267</v>
      </c>
      <c r="E82">
        <v>1</v>
      </c>
      <c r="F82">
        <v>795</v>
      </c>
      <c r="G82">
        <v>129</v>
      </c>
      <c r="H82">
        <v>7679</v>
      </c>
      <c r="I82">
        <v>0.99999933533782603</v>
      </c>
      <c r="J82">
        <v>1</v>
      </c>
      <c r="K82">
        <v>7.4876895324459999E-2</v>
      </c>
      <c r="L82" t="s">
        <v>275</v>
      </c>
      <c r="M82" t="str">
        <f>HYPERLINK("../../3.KEGG_map/SCI_I-vs-NC-Up/rno03040.html","rno03040")</f>
        <v>rno03040</v>
      </c>
    </row>
    <row r="83" spans="1:13" x14ac:dyDescent="0.25">
      <c r="A83" t="s">
        <v>276</v>
      </c>
      <c r="B83" t="s">
        <v>277</v>
      </c>
      <c r="C83" t="s">
        <v>220</v>
      </c>
      <c r="D83" t="s">
        <v>263</v>
      </c>
      <c r="E83">
        <v>2</v>
      </c>
      <c r="F83">
        <v>795</v>
      </c>
      <c r="G83">
        <v>26</v>
      </c>
      <c r="H83">
        <v>7679</v>
      </c>
      <c r="I83">
        <v>0.76700693651960705</v>
      </c>
      <c r="J83">
        <v>1</v>
      </c>
      <c r="K83">
        <v>0.74300919206579596</v>
      </c>
      <c r="L83" t="s">
        <v>278</v>
      </c>
      <c r="M83" t="str">
        <f>HYPERLINK("../../3.KEGG_map/SCI_I-vs-NC-Up/rno03060.html","rno03060")</f>
        <v>rno03060</v>
      </c>
    </row>
    <row r="84" spans="1:13" x14ac:dyDescent="0.25">
      <c r="A84" t="s">
        <v>279</v>
      </c>
      <c r="B84" t="s">
        <v>280</v>
      </c>
      <c r="C84" t="s">
        <v>281</v>
      </c>
      <c r="D84" t="s">
        <v>282</v>
      </c>
      <c r="E84">
        <v>7</v>
      </c>
      <c r="F84">
        <v>795</v>
      </c>
      <c r="G84">
        <v>79</v>
      </c>
      <c r="H84">
        <v>7679</v>
      </c>
      <c r="I84">
        <v>0.72319279746111897</v>
      </c>
      <c r="J84">
        <v>1</v>
      </c>
      <c r="K84">
        <v>0.85587134782262597</v>
      </c>
      <c r="L84" t="s">
        <v>283</v>
      </c>
      <c r="M84" t="str">
        <f>HYPERLINK("../../3.KEGG_map/SCI_I-vs-NC-Up/rno03320.html","rno03320")</f>
        <v>rno03320</v>
      </c>
    </row>
    <row r="85" spans="1:13" x14ac:dyDescent="0.25">
      <c r="A85" t="s">
        <v>284</v>
      </c>
      <c r="B85" t="s">
        <v>285</v>
      </c>
      <c r="C85" t="s">
        <v>220</v>
      </c>
      <c r="D85" t="s">
        <v>271</v>
      </c>
      <c r="E85">
        <v>4</v>
      </c>
      <c r="F85">
        <v>795</v>
      </c>
      <c r="G85">
        <v>35</v>
      </c>
      <c r="H85">
        <v>7679</v>
      </c>
      <c r="I85">
        <v>0.49724179934073998</v>
      </c>
      <c r="J85">
        <v>0.90182984725152804</v>
      </c>
      <c r="K85">
        <v>1.10389937106918</v>
      </c>
      <c r="L85" t="s">
        <v>286</v>
      </c>
      <c r="M85" t="str">
        <f>HYPERLINK("../../3.KEGG_map/SCI_I-vs-NC-Up/rno03410.html","rno03410")</f>
        <v>rno03410</v>
      </c>
    </row>
    <row r="86" spans="1:13" x14ac:dyDescent="0.25">
      <c r="A86" t="s">
        <v>287</v>
      </c>
      <c r="B86" t="s">
        <v>288</v>
      </c>
      <c r="C86" t="s">
        <v>220</v>
      </c>
      <c r="D86" t="s">
        <v>271</v>
      </c>
      <c r="E86">
        <v>2</v>
      </c>
      <c r="F86">
        <v>795</v>
      </c>
      <c r="G86">
        <v>44</v>
      </c>
      <c r="H86">
        <v>7679</v>
      </c>
      <c r="I86">
        <v>0.95083411402420803</v>
      </c>
      <c r="J86">
        <v>1</v>
      </c>
      <c r="K86">
        <v>0.43905088622069699</v>
      </c>
      <c r="L86" t="s">
        <v>289</v>
      </c>
      <c r="M86" t="str">
        <f>HYPERLINK("../../3.KEGG_map/SCI_I-vs-NC-Up/rno03420.html","rno03420")</f>
        <v>rno03420</v>
      </c>
    </row>
    <row r="87" spans="1:13" x14ac:dyDescent="0.25">
      <c r="A87" t="s">
        <v>290</v>
      </c>
      <c r="B87" t="s">
        <v>291</v>
      </c>
      <c r="C87" t="s">
        <v>220</v>
      </c>
      <c r="D87" t="s">
        <v>271</v>
      </c>
      <c r="E87">
        <v>1</v>
      </c>
      <c r="F87">
        <v>795</v>
      </c>
      <c r="G87">
        <v>22</v>
      </c>
      <c r="H87">
        <v>7679</v>
      </c>
      <c r="I87">
        <v>0.90999129114723898</v>
      </c>
      <c r="J87">
        <v>1</v>
      </c>
      <c r="K87">
        <v>0.43905088622069699</v>
      </c>
      <c r="L87" t="s">
        <v>292</v>
      </c>
      <c r="M87" t="str">
        <f>HYPERLINK("../../3.KEGG_map/SCI_I-vs-NC-Up/rno03430.html","rno03430")</f>
        <v>rno03430</v>
      </c>
    </row>
    <row r="88" spans="1:13" x14ac:dyDescent="0.25">
      <c r="A88" t="s">
        <v>293</v>
      </c>
      <c r="B88" t="s">
        <v>294</v>
      </c>
      <c r="C88" t="s">
        <v>220</v>
      </c>
      <c r="D88" t="s">
        <v>271</v>
      </c>
      <c r="E88">
        <v>8</v>
      </c>
      <c r="F88">
        <v>795</v>
      </c>
      <c r="G88">
        <v>39</v>
      </c>
      <c r="H88">
        <v>7679</v>
      </c>
      <c r="I88">
        <v>4.3246802816461198E-2</v>
      </c>
      <c r="J88">
        <v>0.161898287466752</v>
      </c>
      <c r="K88">
        <v>1.9813578455087899</v>
      </c>
      <c r="L88" t="s">
        <v>295</v>
      </c>
      <c r="M88" t="str">
        <f>HYPERLINK("../../3.KEGG_map/SCI_I-vs-NC-Up/rno03440.html","rno03440")</f>
        <v>rno03440</v>
      </c>
    </row>
    <row r="89" spans="1:13" x14ac:dyDescent="0.25">
      <c r="A89" t="s">
        <v>296</v>
      </c>
      <c r="B89" t="s">
        <v>297</v>
      </c>
      <c r="C89" t="s">
        <v>220</v>
      </c>
      <c r="D89" t="s">
        <v>271</v>
      </c>
      <c r="E89">
        <v>2</v>
      </c>
      <c r="F89">
        <v>795</v>
      </c>
      <c r="G89">
        <v>13</v>
      </c>
      <c r="H89">
        <v>7679</v>
      </c>
      <c r="I89">
        <v>0.39593663661478901</v>
      </c>
      <c r="J89">
        <v>0.81417956261632596</v>
      </c>
      <c r="K89">
        <v>1.4860183841315899</v>
      </c>
      <c r="L89" t="s">
        <v>298</v>
      </c>
      <c r="M89" t="str">
        <f>HYPERLINK("../../3.KEGG_map/SCI_I-vs-NC-Up/rno03450.html","rno03450")</f>
        <v>rno03450</v>
      </c>
    </row>
    <row r="90" spans="1:13" x14ac:dyDescent="0.25">
      <c r="A90" t="s">
        <v>299</v>
      </c>
      <c r="B90" t="s">
        <v>300</v>
      </c>
      <c r="C90" t="s">
        <v>220</v>
      </c>
      <c r="D90" t="s">
        <v>271</v>
      </c>
      <c r="E90">
        <v>9</v>
      </c>
      <c r="F90">
        <v>795</v>
      </c>
      <c r="G90">
        <v>49</v>
      </c>
      <c r="H90">
        <v>7679</v>
      </c>
      <c r="I90">
        <v>6.1516271958622498E-2</v>
      </c>
      <c r="J90">
        <v>0.21132648719903199</v>
      </c>
      <c r="K90">
        <v>1.77412398921833</v>
      </c>
      <c r="L90" t="s">
        <v>301</v>
      </c>
      <c r="M90" t="str">
        <f>HYPERLINK("../../3.KEGG_map/SCI_I-vs-NC-Up/rno03460.html","rno03460")</f>
        <v>rno03460</v>
      </c>
    </row>
    <row r="91" spans="1:13" x14ac:dyDescent="0.25">
      <c r="A91" t="s">
        <v>302</v>
      </c>
      <c r="B91" t="s">
        <v>303</v>
      </c>
      <c r="C91" t="s">
        <v>249</v>
      </c>
      <c r="D91" t="s">
        <v>304</v>
      </c>
      <c r="E91">
        <v>35</v>
      </c>
      <c r="F91">
        <v>795</v>
      </c>
      <c r="G91">
        <v>288</v>
      </c>
      <c r="H91">
        <v>7679</v>
      </c>
      <c r="I91">
        <v>0.17682532045771401</v>
      </c>
      <c r="J91">
        <v>0.46939085066956898</v>
      </c>
      <c r="K91">
        <v>1.17385132774284</v>
      </c>
      <c r="L91" t="s">
        <v>305</v>
      </c>
      <c r="M91" t="str">
        <f>HYPERLINK("../../3.KEGG_map/SCI_I-vs-NC-Up/rno04010.html","rno04010")</f>
        <v>rno04010</v>
      </c>
    </row>
    <row r="92" spans="1:13" x14ac:dyDescent="0.25">
      <c r="A92" t="s">
        <v>306</v>
      </c>
      <c r="B92" t="s">
        <v>307</v>
      </c>
      <c r="C92" t="s">
        <v>249</v>
      </c>
      <c r="D92" t="s">
        <v>304</v>
      </c>
      <c r="E92">
        <v>7</v>
      </c>
      <c r="F92">
        <v>795</v>
      </c>
      <c r="G92">
        <v>85</v>
      </c>
      <c r="H92">
        <v>7679</v>
      </c>
      <c r="I92">
        <v>0.79067988927127297</v>
      </c>
      <c r="J92">
        <v>1</v>
      </c>
      <c r="K92">
        <v>0.79545689974102796</v>
      </c>
      <c r="L92" t="s">
        <v>308</v>
      </c>
      <c r="M92" t="str">
        <f>HYPERLINK("../../3.KEGG_map/SCI_I-vs-NC-Up/rno04012.html","rno04012")</f>
        <v>rno04012</v>
      </c>
    </row>
    <row r="93" spans="1:13" x14ac:dyDescent="0.25">
      <c r="A93" t="s">
        <v>309</v>
      </c>
      <c r="B93" t="s">
        <v>310</v>
      </c>
      <c r="C93" t="s">
        <v>249</v>
      </c>
      <c r="D93" t="s">
        <v>304</v>
      </c>
      <c r="E93">
        <v>24</v>
      </c>
      <c r="F93">
        <v>795</v>
      </c>
      <c r="G93">
        <v>227</v>
      </c>
      <c r="H93">
        <v>7679</v>
      </c>
      <c r="I93">
        <v>0.489066673038831</v>
      </c>
      <c r="J93">
        <v>0.90182984725152804</v>
      </c>
      <c r="K93">
        <v>1.0212284930596001</v>
      </c>
      <c r="L93" t="s">
        <v>311</v>
      </c>
      <c r="M93" t="str">
        <f>HYPERLINK("../../3.KEGG_map/SCI_I-vs-NC-Up/rno04014.html","rno04014")</f>
        <v>rno04014</v>
      </c>
    </row>
    <row r="94" spans="1:13" x14ac:dyDescent="0.25">
      <c r="A94" t="s">
        <v>312</v>
      </c>
      <c r="B94" t="s">
        <v>313</v>
      </c>
      <c r="C94" t="s">
        <v>249</v>
      </c>
      <c r="D94" t="s">
        <v>304</v>
      </c>
      <c r="E94">
        <v>24</v>
      </c>
      <c r="F94">
        <v>795</v>
      </c>
      <c r="G94">
        <v>205</v>
      </c>
      <c r="H94">
        <v>7679</v>
      </c>
      <c r="I94">
        <v>0.29122414942658897</v>
      </c>
      <c r="J94">
        <v>0.65920505141522501</v>
      </c>
      <c r="K94">
        <v>1.1308237459733099</v>
      </c>
      <c r="L94" t="s">
        <v>314</v>
      </c>
      <c r="M94" t="str">
        <f>HYPERLINK("../../3.KEGG_map/SCI_I-vs-NC-Up/rno04015.html","rno04015")</f>
        <v>rno04015</v>
      </c>
    </row>
    <row r="95" spans="1:13" x14ac:dyDescent="0.25">
      <c r="A95" t="s">
        <v>315</v>
      </c>
      <c r="B95" t="s">
        <v>316</v>
      </c>
      <c r="C95" t="s">
        <v>249</v>
      </c>
      <c r="D95" t="s">
        <v>304</v>
      </c>
      <c r="E95">
        <v>26</v>
      </c>
      <c r="F95">
        <v>795</v>
      </c>
      <c r="G95">
        <v>182</v>
      </c>
      <c r="H95">
        <v>7679</v>
      </c>
      <c r="I95">
        <v>5.5252264738317597E-2</v>
      </c>
      <c r="J95">
        <v>0.194381461489021</v>
      </c>
      <c r="K95">
        <v>1.3798742138364799</v>
      </c>
      <c r="L95" t="s">
        <v>317</v>
      </c>
      <c r="M95" t="str">
        <f>HYPERLINK("../../3.KEGG_map/SCI_I-vs-NC-Up/rno04020.html","rno04020")</f>
        <v>rno04020</v>
      </c>
    </row>
    <row r="96" spans="1:13" x14ac:dyDescent="0.25">
      <c r="A96" t="s">
        <v>318</v>
      </c>
      <c r="B96" t="s">
        <v>319</v>
      </c>
      <c r="C96" t="s">
        <v>249</v>
      </c>
      <c r="D96" t="s">
        <v>304</v>
      </c>
      <c r="E96">
        <v>15</v>
      </c>
      <c r="F96">
        <v>795</v>
      </c>
      <c r="G96">
        <v>164</v>
      </c>
      <c r="H96">
        <v>7679</v>
      </c>
      <c r="I96">
        <v>0.73319261890685705</v>
      </c>
      <c r="J96">
        <v>1</v>
      </c>
      <c r="K96">
        <v>0.88345605154164797</v>
      </c>
      <c r="L96" t="s">
        <v>320</v>
      </c>
      <c r="M96" t="str">
        <f>HYPERLINK("../../3.KEGG_map/SCI_I-vs-NC-Up/rno04022.html","rno04022")</f>
        <v>rno04022</v>
      </c>
    </row>
    <row r="97" spans="1:13" x14ac:dyDescent="0.25">
      <c r="A97" t="s">
        <v>321</v>
      </c>
      <c r="B97" t="s">
        <v>322</v>
      </c>
      <c r="C97" t="s">
        <v>249</v>
      </c>
      <c r="D97" t="s">
        <v>304</v>
      </c>
      <c r="E97">
        <v>22</v>
      </c>
      <c r="F97">
        <v>795</v>
      </c>
      <c r="G97">
        <v>194</v>
      </c>
      <c r="H97">
        <v>7679</v>
      </c>
      <c r="I97">
        <v>0.35785139434409002</v>
      </c>
      <c r="J97">
        <v>0.76832799373878202</v>
      </c>
      <c r="K97">
        <v>1.0953640666536999</v>
      </c>
      <c r="L97" t="s">
        <v>323</v>
      </c>
      <c r="M97" t="str">
        <f>HYPERLINK("../../3.KEGG_map/SCI_I-vs-NC-Up/rno04024.html","rno04024")</f>
        <v>rno04024</v>
      </c>
    </row>
    <row r="98" spans="1:13" x14ac:dyDescent="0.25">
      <c r="A98" t="s">
        <v>324</v>
      </c>
      <c r="B98" t="s">
        <v>325</v>
      </c>
      <c r="C98" t="s">
        <v>249</v>
      </c>
      <c r="D98" t="s">
        <v>326</v>
      </c>
      <c r="E98">
        <v>69</v>
      </c>
      <c r="F98">
        <v>795</v>
      </c>
      <c r="G98">
        <v>240</v>
      </c>
      <c r="H98">
        <v>7679</v>
      </c>
      <c r="I98" s="1">
        <v>5.3925559599161996E-16</v>
      </c>
      <c r="J98" s="1">
        <v>7.8731317014776506E-14</v>
      </c>
      <c r="K98">
        <v>2.7769968553459101</v>
      </c>
      <c r="L98" t="s">
        <v>327</v>
      </c>
      <c r="M98" t="str">
        <f>HYPERLINK("../../3.KEGG_map/SCI_I-vs-NC-Up/rno04060.html","rno04060")</f>
        <v>rno04060</v>
      </c>
    </row>
    <row r="99" spans="1:13" x14ac:dyDescent="0.25">
      <c r="A99" t="s">
        <v>328</v>
      </c>
      <c r="B99" t="s">
        <v>329</v>
      </c>
      <c r="C99" t="s">
        <v>281</v>
      </c>
      <c r="D99" t="s">
        <v>330</v>
      </c>
      <c r="E99">
        <v>42</v>
      </c>
      <c r="F99">
        <v>795</v>
      </c>
      <c r="G99">
        <v>172</v>
      </c>
      <c r="H99">
        <v>7679</v>
      </c>
      <c r="I99" s="1">
        <v>6.8442114783639706E-8</v>
      </c>
      <c r="J99" s="1">
        <v>1.8168270469838899E-6</v>
      </c>
      <c r="K99">
        <v>2.3586222027204902</v>
      </c>
      <c r="L99" t="s">
        <v>331</v>
      </c>
      <c r="M99" t="str">
        <f>HYPERLINK("../../3.KEGG_map/SCI_I-vs-NC-Up/rno04062.html","rno04062")</f>
        <v>rno04062</v>
      </c>
    </row>
    <row r="100" spans="1:13" x14ac:dyDescent="0.25">
      <c r="A100" t="s">
        <v>332</v>
      </c>
      <c r="B100" t="s">
        <v>333</v>
      </c>
      <c r="C100" t="s">
        <v>249</v>
      </c>
      <c r="D100" t="s">
        <v>304</v>
      </c>
      <c r="E100">
        <v>17</v>
      </c>
      <c r="F100">
        <v>795</v>
      </c>
      <c r="G100">
        <v>89</v>
      </c>
      <c r="H100">
        <v>7679</v>
      </c>
      <c r="I100">
        <v>8.9680417019420491E-3</v>
      </c>
      <c r="J100">
        <v>4.50985964989737E-2</v>
      </c>
      <c r="K100">
        <v>1.8450003533319199</v>
      </c>
      <c r="L100" t="s">
        <v>334</v>
      </c>
      <c r="M100" t="str">
        <f>HYPERLINK("../../3.KEGG_map/SCI_I-vs-NC-Up/rno04064.html","rno04064")</f>
        <v>rno04064</v>
      </c>
    </row>
    <row r="101" spans="1:13" x14ac:dyDescent="0.25">
      <c r="A101" t="s">
        <v>335</v>
      </c>
      <c r="B101" t="s">
        <v>336</v>
      </c>
      <c r="C101" t="s">
        <v>249</v>
      </c>
      <c r="D101" t="s">
        <v>304</v>
      </c>
      <c r="E101">
        <v>16</v>
      </c>
      <c r="F101">
        <v>795</v>
      </c>
      <c r="G101">
        <v>99</v>
      </c>
      <c r="H101">
        <v>7679</v>
      </c>
      <c r="I101">
        <v>4.69347160341387E-2</v>
      </c>
      <c r="J101">
        <v>0.173480216227449</v>
      </c>
      <c r="K101">
        <v>1.56106981767359</v>
      </c>
      <c r="L101" t="s">
        <v>337</v>
      </c>
      <c r="M101" t="str">
        <f>HYPERLINK("../../3.KEGG_map/SCI_I-vs-NC-Up/rno04066.html","rno04066")</f>
        <v>rno04066</v>
      </c>
    </row>
    <row r="102" spans="1:13" x14ac:dyDescent="0.25">
      <c r="A102" t="s">
        <v>338</v>
      </c>
      <c r="B102" t="s">
        <v>339</v>
      </c>
      <c r="C102" t="s">
        <v>249</v>
      </c>
      <c r="D102" t="s">
        <v>304</v>
      </c>
      <c r="E102">
        <v>15</v>
      </c>
      <c r="F102">
        <v>795</v>
      </c>
      <c r="G102">
        <v>130</v>
      </c>
      <c r="H102">
        <v>7679</v>
      </c>
      <c r="I102">
        <v>0.36849610225096602</v>
      </c>
      <c r="J102">
        <v>0.77971639027016004</v>
      </c>
      <c r="K102">
        <v>1.11451378809869</v>
      </c>
      <c r="L102" t="s">
        <v>340</v>
      </c>
      <c r="M102" t="str">
        <f>HYPERLINK("../../3.KEGG_map/SCI_I-vs-NC-Up/rno04068.html","rno04068")</f>
        <v>rno04068</v>
      </c>
    </row>
    <row r="103" spans="1:13" x14ac:dyDescent="0.25">
      <c r="A103" t="s">
        <v>341</v>
      </c>
      <c r="B103" t="s">
        <v>342</v>
      </c>
      <c r="C103" t="s">
        <v>249</v>
      </c>
      <c r="D103" t="s">
        <v>304</v>
      </c>
      <c r="E103">
        <v>2</v>
      </c>
      <c r="F103">
        <v>795</v>
      </c>
      <c r="G103">
        <v>97</v>
      </c>
      <c r="H103">
        <v>7679</v>
      </c>
      <c r="I103">
        <v>0.99971334197291195</v>
      </c>
      <c r="J103">
        <v>1</v>
      </c>
      <c r="K103">
        <v>0.19915710302794501</v>
      </c>
      <c r="L103" t="s">
        <v>343</v>
      </c>
      <c r="M103" t="str">
        <f>HYPERLINK("../../3.KEGG_map/SCI_I-vs-NC-Up/rno04070.html","rno04070")</f>
        <v>rno04070</v>
      </c>
    </row>
    <row r="104" spans="1:13" x14ac:dyDescent="0.25">
      <c r="A104" t="s">
        <v>344</v>
      </c>
      <c r="B104" t="s">
        <v>345</v>
      </c>
      <c r="C104" t="s">
        <v>249</v>
      </c>
      <c r="D104" t="s">
        <v>304</v>
      </c>
      <c r="E104">
        <v>8</v>
      </c>
      <c r="F104">
        <v>795</v>
      </c>
      <c r="G104">
        <v>119</v>
      </c>
      <c r="H104">
        <v>7679</v>
      </c>
      <c r="I104">
        <v>0.93565960642608004</v>
      </c>
      <c r="J104">
        <v>1</v>
      </c>
      <c r="K104">
        <v>0.64935257121716605</v>
      </c>
      <c r="L104" t="s">
        <v>346</v>
      </c>
      <c r="M104" t="str">
        <f>HYPERLINK("../../3.KEGG_map/SCI_I-vs-NC-Up/rno04071.html","rno04071")</f>
        <v>rno04071</v>
      </c>
    </row>
    <row r="105" spans="1:13" x14ac:dyDescent="0.25">
      <c r="A105" t="s">
        <v>347</v>
      </c>
      <c r="B105" t="s">
        <v>348</v>
      </c>
      <c r="C105" t="s">
        <v>249</v>
      </c>
      <c r="D105" t="s">
        <v>304</v>
      </c>
      <c r="E105">
        <v>17</v>
      </c>
      <c r="F105">
        <v>795</v>
      </c>
      <c r="G105">
        <v>146</v>
      </c>
      <c r="H105">
        <v>7679</v>
      </c>
      <c r="I105">
        <v>0.34111141319785498</v>
      </c>
      <c r="J105">
        <v>0.74890626055468901</v>
      </c>
      <c r="K105">
        <v>1.1246919962091799</v>
      </c>
      <c r="L105" t="s">
        <v>349</v>
      </c>
      <c r="M105" t="str">
        <f>HYPERLINK("../../3.KEGG_map/SCI_I-vs-NC-Up/rno04072.html","rno04072")</f>
        <v>rno04072</v>
      </c>
    </row>
    <row r="106" spans="1:13" x14ac:dyDescent="0.25">
      <c r="A106" t="s">
        <v>350</v>
      </c>
      <c r="B106" t="s">
        <v>351</v>
      </c>
      <c r="C106" t="s">
        <v>249</v>
      </c>
      <c r="D106" t="s">
        <v>326</v>
      </c>
      <c r="E106">
        <v>43</v>
      </c>
      <c r="F106">
        <v>795</v>
      </c>
      <c r="G106">
        <v>313</v>
      </c>
      <c r="H106">
        <v>7679</v>
      </c>
      <c r="I106">
        <v>3.14586985017868E-2</v>
      </c>
      <c r="J106">
        <v>0.12458326347972799</v>
      </c>
      <c r="K106">
        <v>1.32697168806639</v>
      </c>
      <c r="L106" t="s">
        <v>352</v>
      </c>
      <c r="M106" t="str">
        <f>HYPERLINK("../../3.KEGG_map/SCI_I-vs-NC-Up/rno04080.html","rno04080")</f>
        <v>rno04080</v>
      </c>
    </row>
    <row r="107" spans="1:13" x14ac:dyDescent="0.25">
      <c r="A107" t="s">
        <v>353</v>
      </c>
      <c r="B107" t="s">
        <v>354</v>
      </c>
      <c r="C107" t="s">
        <v>355</v>
      </c>
      <c r="D107" t="s">
        <v>356</v>
      </c>
      <c r="E107">
        <v>35</v>
      </c>
      <c r="F107">
        <v>795</v>
      </c>
      <c r="G107">
        <v>123</v>
      </c>
      <c r="H107">
        <v>7679</v>
      </c>
      <c r="I107" s="1">
        <v>1.38960517890377E-8</v>
      </c>
      <c r="J107" s="1">
        <v>4.0576471223990201E-7</v>
      </c>
      <c r="K107">
        <v>2.74852993812957</v>
      </c>
      <c r="L107" t="s">
        <v>357</v>
      </c>
      <c r="M107" t="str">
        <f>HYPERLINK("../../3.KEGG_map/SCI_I-vs-NC-Up/rno04110.html","rno04110")</f>
        <v>rno04110</v>
      </c>
    </row>
    <row r="108" spans="1:13" x14ac:dyDescent="0.25">
      <c r="A108" t="s">
        <v>358</v>
      </c>
      <c r="B108" t="s">
        <v>359</v>
      </c>
      <c r="C108" t="s">
        <v>355</v>
      </c>
      <c r="D108" t="s">
        <v>356</v>
      </c>
      <c r="E108">
        <v>20</v>
      </c>
      <c r="F108">
        <v>795</v>
      </c>
      <c r="G108">
        <v>112</v>
      </c>
      <c r="H108">
        <v>7679</v>
      </c>
      <c r="I108">
        <v>1.03289113273611E-2</v>
      </c>
      <c r="J108">
        <v>4.9443313239170998E-2</v>
      </c>
      <c r="K108">
        <v>1.7248427672955999</v>
      </c>
      <c r="L108" t="s">
        <v>360</v>
      </c>
      <c r="M108" t="str">
        <f>HYPERLINK("../../3.KEGG_map/SCI_I-vs-NC-Up/rno04114.html","rno04114")</f>
        <v>rno04114</v>
      </c>
    </row>
    <row r="109" spans="1:13" x14ac:dyDescent="0.25">
      <c r="A109" t="s">
        <v>361</v>
      </c>
      <c r="B109" t="s">
        <v>362</v>
      </c>
      <c r="C109" t="s">
        <v>355</v>
      </c>
      <c r="D109" t="s">
        <v>356</v>
      </c>
      <c r="E109">
        <v>15</v>
      </c>
      <c r="F109">
        <v>795</v>
      </c>
      <c r="G109">
        <v>66</v>
      </c>
      <c r="H109">
        <v>7679</v>
      </c>
      <c r="I109">
        <v>2.5371245953045699E-3</v>
      </c>
      <c r="J109">
        <v>1.57625613155092E-2</v>
      </c>
      <c r="K109">
        <v>2.1952544311034901</v>
      </c>
      <c r="L109" t="s">
        <v>363</v>
      </c>
      <c r="M109" t="str">
        <f>HYPERLINK("../../3.KEGG_map/SCI_I-vs-NC-Up/rno04115.html","rno04115")</f>
        <v>rno04115</v>
      </c>
    </row>
    <row r="110" spans="1:13" x14ac:dyDescent="0.25">
      <c r="A110" t="s">
        <v>364</v>
      </c>
      <c r="B110" t="s">
        <v>365</v>
      </c>
      <c r="C110" t="s">
        <v>220</v>
      </c>
      <c r="D110" t="s">
        <v>263</v>
      </c>
      <c r="E110">
        <v>7</v>
      </c>
      <c r="F110">
        <v>795</v>
      </c>
      <c r="G110">
        <v>132</v>
      </c>
      <c r="H110">
        <v>7679</v>
      </c>
      <c r="I110">
        <v>0.98714398037286599</v>
      </c>
      <c r="J110">
        <v>1</v>
      </c>
      <c r="K110">
        <v>0.51222603392414701</v>
      </c>
      <c r="L110" t="s">
        <v>366</v>
      </c>
      <c r="M110" t="str">
        <f>HYPERLINK("../../3.KEGG_map/SCI_I-vs-NC-Up/rno04120.html","rno04120")</f>
        <v>rno04120</v>
      </c>
    </row>
    <row r="111" spans="1:13" x14ac:dyDescent="0.25">
      <c r="A111" t="s">
        <v>367</v>
      </c>
      <c r="B111" t="s">
        <v>368</v>
      </c>
      <c r="C111" t="s">
        <v>220</v>
      </c>
      <c r="D111" t="s">
        <v>263</v>
      </c>
      <c r="E111">
        <v>1</v>
      </c>
      <c r="F111">
        <v>795</v>
      </c>
      <c r="G111">
        <v>33</v>
      </c>
      <c r="H111">
        <v>7679</v>
      </c>
      <c r="I111">
        <v>0.97307005285311599</v>
      </c>
      <c r="J111">
        <v>1</v>
      </c>
      <c r="K111">
        <v>0.29270059081379801</v>
      </c>
      <c r="L111" t="s">
        <v>369</v>
      </c>
      <c r="M111" t="str">
        <f>HYPERLINK("../../3.KEGG_map/SCI_I-vs-NC-Up/rno04130.html","rno04130")</f>
        <v>rno04130</v>
      </c>
    </row>
    <row r="112" spans="1:13" x14ac:dyDescent="0.25">
      <c r="A112" t="s">
        <v>370</v>
      </c>
      <c r="B112" t="s">
        <v>371</v>
      </c>
      <c r="C112" t="s">
        <v>355</v>
      </c>
      <c r="D112" t="s">
        <v>372</v>
      </c>
      <c r="E112">
        <v>3</v>
      </c>
      <c r="F112">
        <v>795</v>
      </c>
      <c r="G112">
        <v>63</v>
      </c>
      <c r="H112">
        <v>7679</v>
      </c>
      <c r="I112">
        <v>0.96541681028799098</v>
      </c>
      <c r="J112">
        <v>1</v>
      </c>
      <c r="K112">
        <v>0.45995807127882599</v>
      </c>
      <c r="L112" t="s">
        <v>373</v>
      </c>
      <c r="M112" t="str">
        <f>HYPERLINK("../../3.KEGG_map/SCI_I-vs-NC-Up/rno04137.html","rno04137")</f>
        <v>rno04137</v>
      </c>
    </row>
    <row r="113" spans="1:13" x14ac:dyDescent="0.25">
      <c r="A113" t="s">
        <v>374</v>
      </c>
      <c r="B113" t="s">
        <v>375</v>
      </c>
      <c r="C113" t="s">
        <v>355</v>
      </c>
      <c r="D113" t="s">
        <v>372</v>
      </c>
      <c r="E113">
        <v>4</v>
      </c>
      <c r="F113">
        <v>795</v>
      </c>
      <c r="G113">
        <v>129</v>
      </c>
      <c r="H113">
        <v>7679</v>
      </c>
      <c r="I113">
        <v>0.99953644546773501</v>
      </c>
      <c r="J113">
        <v>1</v>
      </c>
      <c r="K113">
        <v>0.29950758129784</v>
      </c>
      <c r="L113" t="s">
        <v>376</v>
      </c>
      <c r="M113" t="str">
        <f>HYPERLINK("../../3.KEGG_map/SCI_I-vs-NC-Up/rno04140.html","rno04140")</f>
        <v>rno04140</v>
      </c>
    </row>
    <row r="114" spans="1:13" x14ac:dyDescent="0.25">
      <c r="A114" t="s">
        <v>377</v>
      </c>
      <c r="B114" t="s">
        <v>378</v>
      </c>
      <c r="C114" t="s">
        <v>220</v>
      </c>
      <c r="D114" t="s">
        <v>263</v>
      </c>
      <c r="E114">
        <v>17</v>
      </c>
      <c r="F114">
        <v>795</v>
      </c>
      <c r="G114">
        <v>160</v>
      </c>
      <c r="H114">
        <v>7679</v>
      </c>
      <c r="I114">
        <v>0.49340211517669302</v>
      </c>
      <c r="J114">
        <v>0.90182984725152804</v>
      </c>
      <c r="K114">
        <v>1.02628144654088</v>
      </c>
      <c r="L114" t="s">
        <v>379</v>
      </c>
      <c r="M114" t="str">
        <f>HYPERLINK("../../3.KEGG_map/SCI_I-vs-NC-Up/rno04141.html","rno04141")</f>
        <v>rno04141</v>
      </c>
    </row>
    <row r="115" spans="1:13" x14ac:dyDescent="0.25">
      <c r="A115" t="s">
        <v>380</v>
      </c>
      <c r="B115" t="s">
        <v>381</v>
      </c>
      <c r="C115" t="s">
        <v>355</v>
      </c>
      <c r="D115" t="s">
        <v>372</v>
      </c>
      <c r="E115">
        <v>9</v>
      </c>
      <c r="F115">
        <v>795</v>
      </c>
      <c r="G115">
        <v>125</v>
      </c>
      <c r="H115">
        <v>7679</v>
      </c>
      <c r="I115">
        <v>0.91155126995781999</v>
      </c>
      <c r="J115">
        <v>1</v>
      </c>
      <c r="K115">
        <v>0.69545660377358498</v>
      </c>
      <c r="L115" t="s">
        <v>382</v>
      </c>
      <c r="M115" t="str">
        <f>HYPERLINK("../../3.KEGG_map/SCI_I-vs-NC-Up/rno04142.html","rno04142")</f>
        <v>rno04142</v>
      </c>
    </row>
    <row r="116" spans="1:13" x14ac:dyDescent="0.25">
      <c r="A116" t="s">
        <v>383</v>
      </c>
      <c r="B116" t="s">
        <v>384</v>
      </c>
      <c r="C116" t="s">
        <v>355</v>
      </c>
      <c r="D116" t="s">
        <v>372</v>
      </c>
      <c r="E116">
        <v>18</v>
      </c>
      <c r="F116">
        <v>795</v>
      </c>
      <c r="G116">
        <v>256</v>
      </c>
      <c r="H116">
        <v>7679</v>
      </c>
      <c r="I116">
        <v>0.97488551205140195</v>
      </c>
      <c r="J116">
        <v>1</v>
      </c>
      <c r="K116">
        <v>0.67915683962264195</v>
      </c>
      <c r="L116" t="s">
        <v>385</v>
      </c>
      <c r="M116" t="str">
        <f>HYPERLINK("../../3.KEGG_map/SCI_I-vs-NC-Up/rno04144.html","rno04144")</f>
        <v>rno04144</v>
      </c>
    </row>
    <row r="117" spans="1:13" x14ac:dyDescent="0.25">
      <c r="A117" t="s">
        <v>386</v>
      </c>
      <c r="B117" t="s">
        <v>387</v>
      </c>
      <c r="C117" t="s">
        <v>355</v>
      </c>
      <c r="D117" t="s">
        <v>372</v>
      </c>
      <c r="E117">
        <v>44</v>
      </c>
      <c r="F117">
        <v>795</v>
      </c>
      <c r="G117">
        <v>169</v>
      </c>
      <c r="H117">
        <v>7679</v>
      </c>
      <c r="I117" s="1">
        <v>4.0634669029724798E-9</v>
      </c>
      <c r="J117" s="1">
        <v>1.31836926185329E-7</v>
      </c>
      <c r="K117">
        <v>2.5148003423765402</v>
      </c>
      <c r="L117" t="s">
        <v>388</v>
      </c>
      <c r="M117" t="str">
        <f>HYPERLINK("../../3.KEGG_map/SCI_I-vs-NC-Up/rno04145.html","rno04145")</f>
        <v>rno04145</v>
      </c>
    </row>
    <row r="118" spans="1:13" x14ac:dyDescent="0.25">
      <c r="A118" t="s">
        <v>389</v>
      </c>
      <c r="B118" t="s">
        <v>390</v>
      </c>
      <c r="C118" t="s">
        <v>355</v>
      </c>
      <c r="D118" t="s">
        <v>372</v>
      </c>
      <c r="E118">
        <v>3</v>
      </c>
      <c r="F118">
        <v>795</v>
      </c>
      <c r="G118">
        <v>81</v>
      </c>
      <c r="H118">
        <v>7679</v>
      </c>
      <c r="I118">
        <v>0.99255974401784897</v>
      </c>
      <c r="J118">
        <v>1</v>
      </c>
      <c r="K118">
        <v>0.357745166550198</v>
      </c>
      <c r="L118" t="s">
        <v>391</v>
      </c>
      <c r="M118" t="str">
        <f>HYPERLINK("../../3.KEGG_map/SCI_I-vs-NC-Up/rno04146.html","rno04146")</f>
        <v>rno04146</v>
      </c>
    </row>
    <row r="119" spans="1:13" x14ac:dyDescent="0.25">
      <c r="A119" t="s">
        <v>392</v>
      </c>
      <c r="B119" t="s">
        <v>393</v>
      </c>
      <c r="C119" t="s">
        <v>249</v>
      </c>
      <c r="D119" t="s">
        <v>304</v>
      </c>
      <c r="E119">
        <v>4</v>
      </c>
      <c r="F119">
        <v>795</v>
      </c>
      <c r="G119">
        <v>150</v>
      </c>
      <c r="H119">
        <v>7679</v>
      </c>
      <c r="I119">
        <v>0.99993102703918302</v>
      </c>
      <c r="J119">
        <v>1</v>
      </c>
      <c r="K119">
        <v>0.257576519916142</v>
      </c>
      <c r="L119" t="s">
        <v>394</v>
      </c>
      <c r="M119" t="str">
        <f>HYPERLINK("../../3.KEGG_map/SCI_I-vs-NC-Up/rno04150.html","rno04150")</f>
        <v>rno04150</v>
      </c>
    </row>
    <row r="120" spans="1:13" x14ac:dyDescent="0.25">
      <c r="A120" t="s">
        <v>395</v>
      </c>
      <c r="B120" t="s">
        <v>396</v>
      </c>
      <c r="C120" t="s">
        <v>249</v>
      </c>
      <c r="D120" t="s">
        <v>304</v>
      </c>
      <c r="E120">
        <v>58</v>
      </c>
      <c r="F120">
        <v>795</v>
      </c>
      <c r="G120">
        <v>335</v>
      </c>
      <c r="H120">
        <v>7679</v>
      </c>
      <c r="I120" s="1">
        <v>4.8213291388599902E-5</v>
      </c>
      <c r="J120">
        <v>6.3992186752141798E-4</v>
      </c>
      <c r="K120">
        <v>1.6723251666197301</v>
      </c>
      <c r="L120" t="s">
        <v>397</v>
      </c>
      <c r="M120" t="str">
        <f>HYPERLINK("../../3.KEGG_map/SCI_I-vs-NC-Up/rno04151.html","rno04151")</f>
        <v>rno04151</v>
      </c>
    </row>
    <row r="121" spans="1:13" x14ac:dyDescent="0.25">
      <c r="A121" t="s">
        <v>398</v>
      </c>
      <c r="B121" t="s">
        <v>399</v>
      </c>
      <c r="C121" t="s">
        <v>249</v>
      </c>
      <c r="D121" t="s">
        <v>304</v>
      </c>
      <c r="E121">
        <v>5</v>
      </c>
      <c r="F121">
        <v>795</v>
      </c>
      <c r="G121">
        <v>123</v>
      </c>
      <c r="H121">
        <v>7679</v>
      </c>
      <c r="I121">
        <v>0.99698350153097604</v>
      </c>
      <c r="J121">
        <v>1</v>
      </c>
      <c r="K121">
        <v>0.39264713401850998</v>
      </c>
      <c r="L121" t="s">
        <v>400</v>
      </c>
      <c r="M121" t="str">
        <f>HYPERLINK("../../3.KEGG_map/SCI_I-vs-NC-Up/rno04152.html","rno04152")</f>
        <v>rno04152</v>
      </c>
    </row>
    <row r="122" spans="1:13" x14ac:dyDescent="0.25">
      <c r="A122" t="s">
        <v>401</v>
      </c>
      <c r="B122" t="s">
        <v>402</v>
      </c>
      <c r="C122" t="s">
        <v>355</v>
      </c>
      <c r="D122" t="s">
        <v>356</v>
      </c>
      <c r="E122">
        <v>19</v>
      </c>
      <c r="F122">
        <v>795</v>
      </c>
      <c r="G122">
        <v>134</v>
      </c>
      <c r="H122">
        <v>7679</v>
      </c>
      <c r="I122">
        <v>9.6462073254775904E-2</v>
      </c>
      <c r="J122">
        <v>0.29964814245100602</v>
      </c>
      <c r="K122">
        <v>1.3695766450764999</v>
      </c>
      <c r="L122" t="s">
        <v>403</v>
      </c>
      <c r="M122" t="str">
        <f>HYPERLINK("../../3.KEGG_map/SCI_I-vs-NC-Up/rno04210.html","rno04210")</f>
        <v>rno04210</v>
      </c>
    </row>
    <row r="123" spans="1:13" x14ac:dyDescent="0.25">
      <c r="A123" t="s">
        <v>404</v>
      </c>
      <c r="B123" t="s">
        <v>405</v>
      </c>
      <c r="C123" t="s">
        <v>281</v>
      </c>
      <c r="D123" t="s">
        <v>406</v>
      </c>
      <c r="E123">
        <v>4</v>
      </c>
      <c r="F123">
        <v>795</v>
      </c>
      <c r="G123">
        <v>89</v>
      </c>
      <c r="H123">
        <v>7679</v>
      </c>
      <c r="I123">
        <v>0.98617107659000502</v>
      </c>
      <c r="J123">
        <v>1</v>
      </c>
      <c r="K123">
        <v>0.43411773019574601</v>
      </c>
      <c r="L123" t="s">
        <v>407</v>
      </c>
      <c r="M123" t="str">
        <f>HYPERLINK("../../3.KEGG_map/SCI_I-vs-NC-Up/rno04211.html","rno04211")</f>
        <v>rno04211</v>
      </c>
    </row>
    <row r="124" spans="1:13" x14ac:dyDescent="0.25">
      <c r="A124" t="s">
        <v>408</v>
      </c>
      <c r="B124" t="s">
        <v>409</v>
      </c>
      <c r="C124" t="s">
        <v>281</v>
      </c>
      <c r="D124" t="s">
        <v>406</v>
      </c>
      <c r="E124">
        <v>4</v>
      </c>
      <c r="F124">
        <v>795</v>
      </c>
      <c r="G124">
        <v>62</v>
      </c>
      <c r="H124">
        <v>7679</v>
      </c>
      <c r="I124">
        <v>0.89640524360376295</v>
      </c>
      <c r="J124">
        <v>1</v>
      </c>
      <c r="K124">
        <v>0.62316899979711904</v>
      </c>
      <c r="L124" t="s">
        <v>410</v>
      </c>
      <c r="M124" t="str">
        <f>HYPERLINK("../../3.KEGG_map/SCI_I-vs-NC-Up/rno04213.html","rno04213")</f>
        <v>rno04213</v>
      </c>
    </row>
    <row r="125" spans="1:13" x14ac:dyDescent="0.25">
      <c r="A125" t="s">
        <v>411</v>
      </c>
      <c r="B125" t="s">
        <v>412</v>
      </c>
      <c r="C125" t="s">
        <v>355</v>
      </c>
      <c r="D125" t="s">
        <v>356</v>
      </c>
      <c r="E125">
        <v>4</v>
      </c>
      <c r="F125">
        <v>795</v>
      </c>
      <c r="G125">
        <v>32</v>
      </c>
      <c r="H125">
        <v>7679</v>
      </c>
      <c r="I125">
        <v>0.42629258584350299</v>
      </c>
      <c r="J125">
        <v>0.84436073897090402</v>
      </c>
      <c r="K125">
        <v>1.2073899371069201</v>
      </c>
      <c r="L125" t="s">
        <v>413</v>
      </c>
      <c r="M125" t="str">
        <f>HYPERLINK("../../3.KEGG_map/SCI_I-vs-NC-Up/rno04215.html","rno04215")</f>
        <v>rno04215</v>
      </c>
    </row>
    <row r="126" spans="1:13" x14ac:dyDescent="0.25">
      <c r="A126" t="s">
        <v>414</v>
      </c>
      <c r="B126" t="s">
        <v>415</v>
      </c>
      <c r="C126" t="s">
        <v>355</v>
      </c>
      <c r="D126" t="s">
        <v>356</v>
      </c>
      <c r="E126">
        <v>7</v>
      </c>
      <c r="F126">
        <v>795</v>
      </c>
      <c r="G126">
        <v>39</v>
      </c>
      <c r="H126">
        <v>7679</v>
      </c>
      <c r="I126">
        <v>0.10250029670015801</v>
      </c>
      <c r="J126">
        <v>0.31505354354153903</v>
      </c>
      <c r="K126">
        <v>1.7336881148201899</v>
      </c>
      <c r="L126" t="s">
        <v>416</v>
      </c>
      <c r="M126" t="str">
        <f>HYPERLINK("../../3.KEGG_map/SCI_I-vs-NC-Up/rno04216.html","rno04216")</f>
        <v>rno04216</v>
      </c>
    </row>
    <row r="127" spans="1:13" x14ac:dyDescent="0.25">
      <c r="A127" t="s">
        <v>417</v>
      </c>
      <c r="B127" t="s">
        <v>418</v>
      </c>
      <c r="C127" t="s">
        <v>355</v>
      </c>
      <c r="D127" t="s">
        <v>356</v>
      </c>
      <c r="E127">
        <v>23</v>
      </c>
      <c r="F127">
        <v>795</v>
      </c>
      <c r="G127">
        <v>145</v>
      </c>
      <c r="H127">
        <v>7679</v>
      </c>
      <c r="I127">
        <v>2.44399482439948E-2</v>
      </c>
      <c r="J127">
        <v>0.101949498389235</v>
      </c>
      <c r="K127">
        <v>1.5321361960529201</v>
      </c>
      <c r="L127" t="s">
        <v>419</v>
      </c>
      <c r="M127" t="str">
        <f>HYPERLINK("../../3.KEGG_map/SCI_I-vs-NC-Up/rno04217.html","rno04217")</f>
        <v>rno04217</v>
      </c>
    </row>
    <row r="128" spans="1:13" x14ac:dyDescent="0.25">
      <c r="A128" t="s">
        <v>420</v>
      </c>
      <c r="B128" t="s">
        <v>421</v>
      </c>
      <c r="C128" t="s">
        <v>355</v>
      </c>
      <c r="D128" t="s">
        <v>356</v>
      </c>
      <c r="E128">
        <v>25</v>
      </c>
      <c r="F128">
        <v>795</v>
      </c>
      <c r="G128">
        <v>173</v>
      </c>
      <c r="H128">
        <v>7679</v>
      </c>
      <c r="I128">
        <v>5.2967837690536097E-2</v>
      </c>
      <c r="J128">
        <v>0.19246988145372801</v>
      </c>
      <c r="K128">
        <v>1.39582651688661</v>
      </c>
      <c r="L128" t="s">
        <v>422</v>
      </c>
      <c r="M128" t="str">
        <f>HYPERLINK("../../3.KEGG_map/SCI_I-vs-NC-Up/rno04218.html","rno04218")</f>
        <v>rno04218</v>
      </c>
    </row>
    <row r="129" spans="1:13" x14ac:dyDescent="0.25">
      <c r="A129" t="s">
        <v>423</v>
      </c>
      <c r="B129" t="s">
        <v>424</v>
      </c>
      <c r="C129" t="s">
        <v>281</v>
      </c>
      <c r="D129" t="s">
        <v>425</v>
      </c>
      <c r="E129">
        <v>7</v>
      </c>
      <c r="F129">
        <v>795</v>
      </c>
      <c r="G129">
        <v>75</v>
      </c>
      <c r="H129">
        <v>7679</v>
      </c>
      <c r="I129">
        <v>0.67068690627451399</v>
      </c>
      <c r="J129">
        <v>1</v>
      </c>
      <c r="K129">
        <v>0.90151781970649902</v>
      </c>
      <c r="L129" t="s">
        <v>426</v>
      </c>
      <c r="M129" t="str">
        <f>HYPERLINK("../../3.KEGG_map/SCI_I-vs-NC-Up/rno04260.html","rno04260")</f>
        <v>rno04260</v>
      </c>
    </row>
    <row r="130" spans="1:13" x14ac:dyDescent="0.25">
      <c r="A130" t="s">
        <v>427</v>
      </c>
      <c r="B130" t="s">
        <v>428</v>
      </c>
      <c r="C130" t="s">
        <v>281</v>
      </c>
      <c r="D130" t="s">
        <v>425</v>
      </c>
      <c r="E130">
        <v>15</v>
      </c>
      <c r="F130">
        <v>795</v>
      </c>
      <c r="G130">
        <v>143</v>
      </c>
      <c r="H130">
        <v>7679</v>
      </c>
      <c r="I130">
        <v>0.51951564052922194</v>
      </c>
      <c r="J130">
        <v>0.92499126240568796</v>
      </c>
      <c r="K130">
        <v>1.01319435281699</v>
      </c>
      <c r="L130" t="s">
        <v>429</v>
      </c>
      <c r="M130" t="str">
        <f>HYPERLINK("../../3.KEGG_map/SCI_I-vs-NC-Up/rno04261.html","rno04261")</f>
        <v>rno04261</v>
      </c>
    </row>
    <row r="131" spans="1:13" x14ac:dyDescent="0.25">
      <c r="A131" t="s">
        <v>430</v>
      </c>
      <c r="B131" t="s">
        <v>431</v>
      </c>
      <c r="C131" t="s">
        <v>281</v>
      </c>
      <c r="D131" t="s">
        <v>425</v>
      </c>
      <c r="E131">
        <v>12</v>
      </c>
      <c r="F131">
        <v>795</v>
      </c>
      <c r="G131">
        <v>130</v>
      </c>
      <c r="H131">
        <v>7679</v>
      </c>
      <c r="I131">
        <v>0.70636800227612995</v>
      </c>
      <c r="J131">
        <v>1</v>
      </c>
      <c r="K131">
        <v>0.89161103047895496</v>
      </c>
      <c r="L131" t="s">
        <v>432</v>
      </c>
      <c r="M131" t="str">
        <f>HYPERLINK("../../3.KEGG_map/SCI_I-vs-NC-Up/rno04270.html","rno04270")</f>
        <v>rno04270</v>
      </c>
    </row>
    <row r="132" spans="1:13" x14ac:dyDescent="0.25">
      <c r="A132" t="s">
        <v>433</v>
      </c>
      <c r="B132" t="s">
        <v>434</v>
      </c>
      <c r="C132" t="s">
        <v>249</v>
      </c>
      <c r="D132" t="s">
        <v>304</v>
      </c>
      <c r="E132">
        <v>13</v>
      </c>
      <c r="F132">
        <v>795</v>
      </c>
      <c r="G132">
        <v>143</v>
      </c>
      <c r="H132">
        <v>7679</v>
      </c>
      <c r="I132">
        <v>0.73141821876839597</v>
      </c>
      <c r="J132">
        <v>1</v>
      </c>
      <c r="K132">
        <v>0.87810177244139498</v>
      </c>
      <c r="L132" t="s">
        <v>435</v>
      </c>
      <c r="M132" t="str">
        <f>HYPERLINK("../../3.KEGG_map/SCI_I-vs-NC-Up/rno04310.html","rno04310")</f>
        <v>rno04310</v>
      </c>
    </row>
    <row r="133" spans="1:13" x14ac:dyDescent="0.25">
      <c r="A133" t="s">
        <v>436</v>
      </c>
      <c r="B133" t="s">
        <v>437</v>
      </c>
      <c r="C133" t="s">
        <v>249</v>
      </c>
      <c r="D133" t="s">
        <v>304</v>
      </c>
      <c r="E133">
        <v>12</v>
      </c>
      <c r="F133">
        <v>795</v>
      </c>
      <c r="G133">
        <v>84</v>
      </c>
      <c r="H133">
        <v>7679</v>
      </c>
      <c r="I133">
        <v>0.15577472496623401</v>
      </c>
      <c r="J133">
        <v>0.43320209228705198</v>
      </c>
      <c r="K133">
        <v>1.3798742138364799</v>
      </c>
      <c r="L133" t="s">
        <v>438</v>
      </c>
      <c r="M133" t="str">
        <f>HYPERLINK("../../3.KEGG_map/SCI_I-vs-NC-Up/rno04350.html","rno04350")</f>
        <v>rno04350</v>
      </c>
    </row>
    <row r="134" spans="1:13" x14ac:dyDescent="0.25">
      <c r="A134" t="s">
        <v>439</v>
      </c>
      <c r="B134" t="s">
        <v>440</v>
      </c>
      <c r="C134" t="s">
        <v>281</v>
      </c>
      <c r="D134" t="s">
        <v>441</v>
      </c>
      <c r="E134">
        <v>19</v>
      </c>
      <c r="F134">
        <v>795</v>
      </c>
      <c r="G134">
        <v>175</v>
      </c>
      <c r="H134">
        <v>7679</v>
      </c>
      <c r="I134">
        <v>0.44929809050589797</v>
      </c>
      <c r="J134">
        <v>0.87463361618481394</v>
      </c>
      <c r="K134">
        <v>1.0487044025157199</v>
      </c>
      <c r="L134" t="s">
        <v>442</v>
      </c>
      <c r="M134" t="str">
        <f>HYPERLINK("../../3.KEGG_map/SCI_I-vs-NC-Up/rno04360.html","rno04360")</f>
        <v>rno04360</v>
      </c>
    </row>
    <row r="135" spans="1:13" x14ac:dyDescent="0.25">
      <c r="A135" t="s">
        <v>443</v>
      </c>
      <c r="B135" t="s">
        <v>444</v>
      </c>
      <c r="C135" t="s">
        <v>249</v>
      </c>
      <c r="D135" t="s">
        <v>304</v>
      </c>
      <c r="E135">
        <v>5</v>
      </c>
      <c r="F135">
        <v>795</v>
      </c>
      <c r="G135">
        <v>57</v>
      </c>
      <c r="H135">
        <v>7679</v>
      </c>
      <c r="I135">
        <v>0.71683331558835095</v>
      </c>
      <c r="J135">
        <v>1</v>
      </c>
      <c r="K135">
        <v>0.84729118393467995</v>
      </c>
      <c r="L135" t="s">
        <v>445</v>
      </c>
      <c r="M135" t="str">
        <f>HYPERLINK("../../3.KEGG_map/SCI_I-vs-NC-Up/rno04370.html","rno04370")</f>
        <v>rno04370</v>
      </c>
    </row>
    <row r="136" spans="1:13" x14ac:dyDescent="0.25">
      <c r="A136" t="s">
        <v>446</v>
      </c>
      <c r="B136" t="s">
        <v>447</v>
      </c>
      <c r="C136" t="s">
        <v>249</v>
      </c>
      <c r="D136" t="s">
        <v>304</v>
      </c>
      <c r="E136">
        <v>21</v>
      </c>
      <c r="F136">
        <v>795</v>
      </c>
      <c r="G136">
        <v>134</v>
      </c>
      <c r="H136">
        <v>7679</v>
      </c>
      <c r="I136">
        <v>3.4389807899321903E-2</v>
      </c>
      <c r="J136">
        <v>0.13212926192897401</v>
      </c>
      <c r="K136">
        <v>1.51374260771614</v>
      </c>
      <c r="L136" t="s">
        <v>448</v>
      </c>
      <c r="M136" t="str">
        <f>HYPERLINK("../../3.KEGG_map/SCI_I-vs-NC-Up/rno04371.html","rno04371")</f>
        <v>rno04371</v>
      </c>
    </row>
    <row r="137" spans="1:13" x14ac:dyDescent="0.25">
      <c r="A137" t="s">
        <v>449</v>
      </c>
      <c r="B137" t="s">
        <v>450</v>
      </c>
      <c r="C137" t="s">
        <v>281</v>
      </c>
      <c r="D137" t="s">
        <v>441</v>
      </c>
      <c r="E137">
        <v>31</v>
      </c>
      <c r="F137">
        <v>795</v>
      </c>
      <c r="G137">
        <v>122</v>
      </c>
      <c r="H137">
        <v>7679</v>
      </c>
      <c r="I137" s="1">
        <v>1.4545185093727399E-6</v>
      </c>
      <c r="J137" s="1">
        <v>2.8314626982456002E-5</v>
      </c>
      <c r="K137">
        <v>2.4543664295288199</v>
      </c>
      <c r="L137" t="s">
        <v>451</v>
      </c>
      <c r="M137" t="str">
        <f>HYPERLINK("../../3.KEGG_map/SCI_I-vs-NC-Up/rno04380.html","rno04380")</f>
        <v>rno04380</v>
      </c>
    </row>
    <row r="138" spans="1:13" x14ac:dyDescent="0.25">
      <c r="A138" t="s">
        <v>452</v>
      </c>
      <c r="B138" t="s">
        <v>453</v>
      </c>
      <c r="C138" t="s">
        <v>249</v>
      </c>
      <c r="D138" t="s">
        <v>304</v>
      </c>
      <c r="E138">
        <v>15</v>
      </c>
      <c r="F138">
        <v>795</v>
      </c>
      <c r="G138">
        <v>152</v>
      </c>
      <c r="H138">
        <v>7679</v>
      </c>
      <c r="I138">
        <v>0.61842660418476603</v>
      </c>
      <c r="J138">
        <v>0.98939843381981996</v>
      </c>
      <c r="K138">
        <v>0.95320258192651397</v>
      </c>
      <c r="L138" t="s">
        <v>454</v>
      </c>
      <c r="M138" t="str">
        <f>HYPERLINK("../../3.KEGG_map/SCI_I-vs-NC-Up/rno04390.html","rno04390")</f>
        <v>rno04390</v>
      </c>
    </row>
    <row r="139" spans="1:13" x14ac:dyDescent="0.25">
      <c r="A139" t="s">
        <v>455</v>
      </c>
      <c r="B139" t="s">
        <v>456</v>
      </c>
      <c r="C139" t="s">
        <v>249</v>
      </c>
      <c r="D139" t="s">
        <v>304</v>
      </c>
      <c r="E139">
        <v>2</v>
      </c>
      <c r="F139">
        <v>795</v>
      </c>
      <c r="G139">
        <v>28</v>
      </c>
      <c r="H139">
        <v>7679</v>
      </c>
      <c r="I139">
        <v>0.80205214897097998</v>
      </c>
      <c r="J139">
        <v>1</v>
      </c>
      <c r="K139">
        <v>0.68993710691823895</v>
      </c>
      <c r="L139" t="s">
        <v>457</v>
      </c>
      <c r="M139" t="str">
        <f>HYPERLINK("../../3.KEGG_map/SCI_I-vs-NC-Up/rno04392.html","rno04392")</f>
        <v>rno04392</v>
      </c>
    </row>
    <row r="140" spans="1:13" x14ac:dyDescent="0.25">
      <c r="A140" t="s">
        <v>458</v>
      </c>
      <c r="B140" t="s">
        <v>459</v>
      </c>
      <c r="C140" t="s">
        <v>355</v>
      </c>
      <c r="D140" t="s">
        <v>460</v>
      </c>
      <c r="E140">
        <v>38</v>
      </c>
      <c r="F140">
        <v>795</v>
      </c>
      <c r="G140">
        <v>196</v>
      </c>
      <c r="H140">
        <v>7679</v>
      </c>
      <c r="I140" s="1">
        <v>9.1082577288922794E-5</v>
      </c>
      <c r="J140">
        <v>1.1081713570152299E-3</v>
      </c>
      <c r="K140">
        <v>1.87268643306379</v>
      </c>
      <c r="L140" t="s">
        <v>461</v>
      </c>
      <c r="M140" t="str">
        <f>HYPERLINK("../../3.KEGG_map/SCI_I-vs-NC-Up/rno04510.html","rno04510")</f>
        <v>rno04510</v>
      </c>
    </row>
    <row r="141" spans="1:13" x14ac:dyDescent="0.25">
      <c r="A141" t="s">
        <v>462</v>
      </c>
      <c r="B141" t="s">
        <v>463</v>
      </c>
      <c r="C141" t="s">
        <v>249</v>
      </c>
      <c r="D141" t="s">
        <v>326</v>
      </c>
      <c r="E141">
        <v>30</v>
      </c>
      <c r="F141">
        <v>795</v>
      </c>
      <c r="G141">
        <v>82</v>
      </c>
      <c r="H141">
        <v>7679</v>
      </c>
      <c r="I141" s="1">
        <v>1.9216232941422799E-10</v>
      </c>
      <c r="J141" s="1">
        <v>9.3519000314924099E-9</v>
      </c>
      <c r="K141">
        <v>3.5338242061665901</v>
      </c>
      <c r="L141" t="s">
        <v>464</v>
      </c>
      <c r="M141" t="str">
        <f>HYPERLINK("../../3.KEGG_map/SCI_I-vs-NC-Up/rno04512.html","rno04512")</f>
        <v>rno04512</v>
      </c>
    </row>
    <row r="142" spans="1:13" x14ac:dyDescent="0.25">
      <c r="A142" t="s">
        <v>465</v>
      </c>
      <c r="B142" t="s">
        <v>466</v>
      </c>
      <c r="C142" t="s">
        <v>249</v>
      </c>
      <c r="D142" t="s">
        <v>326</v>
      </c>
      <c r="E142">
        <v>36</v>
      </c>
      <c r="F142">
        <v>795</v>
      </c>
      <c r="G142">
        <v>155</v>
      </c>
      <c r="H142">
        <v>7679</v>
      </c>
      <c r="I142" s="1">
        <v>2.14802573289414E-6</v>
      </c>
      <c r="J142" s="1">
        <v>3.6895500823828798E-5</v>
      </c>
      <c r="K142">
        <v>2.2434083992696299</v>
      </c>
      <c r="L142" t="s">
        <v>467</v>
      </c>
      <c r="M142" t="str">
        <f>HYPERLINK("../../3.KEGG_map/SCI_I-vs-NC-Up/rno04514.html","rno04514")</f>
        <v>rno04514</v>
      </c>
    </row>
    <row r="143" spans="1:13" x14ac:dyDescent="0.25">
      <c r="A143" t="s">
        <v>468</v>
      </c>
      <c r="B143" t="s">
        <v>469</v>
      </c>
      <c r="C143" t="s">
        <v>355</v>
      </c>
      <c r="D143" t="s">
        <v>460</v>
      </c>
      <c r="E143">
        <v>6</v>
      </c>
      <c r="F143">
        <v>795</v>
      </c>
      <c r="G143">
        <v>71</v>
      </c>
      <c r="H143">
        <v>7679</v>
      </c>
      <c r="I143">
        <v>0.75776989764865998</v>
      </c>
      <c r="J143">
        <v>1</v>
      </c>
      <c r="K143">
        <v>0.81626361945256398</v>
      </c>
      <c r="L143" t="s">
        <v>470</v>
      </c>
      <c r="M143" t="str">
        <f>HYPERLINK("../../3.KEGG_map/SCI_I-vs-NC-Up/rno04520.html","rno04520")</f>
        <v>rno04520</v>
      </c>
    </row>
    <row r="144" spans="1:13" x14ac:dyDescent="0.25">
      <c r="A144" t="s">
        <v>471</v>
      </c>
      <c r="B144" t="s">
        <v>472</v>
      </c>
      <c r="C144" t="s">
        <v>355</v>
      </c>
      <c r="D144" t="s">
        <v>460</v>
      </c>
      <c r="E144">
        <v>20</v>
      </c>
      <c r="F144">
        <v>795</v>
      </c>
      <c r="G144">
        <v>165</v>
      </c>
      <c r="H144">
        <v>7679</v>
      </c>
      <c r="I144">
        <v>0.259635127417713</v>
      </c>
      <c r="J144">
        <v>0.60650765764777903</v>
      </c>
      <c r="K144">
        <v>1.17080236325519</v>
      </c>
      <c r="L144" t="s">
        <v>473</v>
      </c>
      <c r="M144" t="str">
        <f>HYPERLINK("../../3.KEGG_map/SCI_I-vs-NC-Up/rno04530.html","rno04530")</f>
        <v>rno04530</v>
      </c>
    </row>
    <row r="145" spans="1:13" x14ac:dyDescent="0.25">
      <c r="A145" t="s">
        <v>474</v>
      </c>
      <c r="B145" t="s">
        <v>475</v>
      </c>
      <c r="C145" t="s">
        <v>355</v>
      </c>
      <c r="D145" t="s">
        <v>460</v>
      </c>
      <c r="E145">
        <v>16</v>
      </c>
      <c r="F145">
        <v>795</v>
      </c>
      <c r="G145">
        <v>86</v>
      </c>
      <c r="H145">
        <v>7679</v>
      </c>
      <c r="I145">
        <v>1.41263778587078E-2</v>
      </c>
      <c r="J145">
        <v>6.6115038716124994E-2</v>
      </c>
      <c r="K145">
        <v>1.7970454877870401</v>
      </c>
      <c r="L145" t="s">
        <v>476</v>
      </c>
      <c r="M145" t="str">
        <f>HYPERLINK("../../3.KEGG_map/SCI_I-vs-NC-Up/rno04540.html","rno04540")</f>
        <v>rno04540</v>
      </c>
    </row>
    <row r="146" spans="1:13" x14ac:dyDescent="0.25">
      <c r="A146" t="s">
        <v>477</v>
      </c>
      <c r="B146" t="s">
        <v>478</v>
      </c>
      <c r="C146" t="s">
        <v>355</v>
      </c>
      <c r="D146" t="s">
        <v>460</v>
      </c>
      <c r="E146">
        <v>9</v>
      </c>
      <c r="F146">
        <v>795</v>
      </c>
      <c r="G146">
        <v>135</v>
      </c>
      <c r="H146">
        <v>7679</v>
      </c>
      <c r="I146">
        <v>0.94826390571870101</v>
      </c>
      <c r="J146">
        <v>1</v>
      </c>
      <c r="K146">
        <v>0.64394129979035597</v>
      </c>
      <c r="L146" t="s">
        <v>479</v>
      </c>
      <c r="M146" t="str">
        <f>HYPERLINK("../../3.KEGG_map/SCI_I-vs-NC-Up/rno04550.html","rno04550")</f>
        <v>rno04550</v>
      </c>
    </row>
    <row r="147" spans="1:13" x14ac:dyDescent="0.25">
      <c r="A147" t="s">
        <v>480</v>
      </c>
      <c r="B147" t="s">
        <v>481</v>
      </c>
      <c r="C147" t="s">
        <v>281</v>
      </c>
      <c r="D147" t="s">
        <v>330</v>
      </c>
      <c r="E147">
        <v>29</v>
      </c>
      <c r="F147">
        <v>795</v>
      </c>
      <c r="G147">
        <v>80</v>
      </c>
      <c r="H147">
        <v>7679</v>
      </c>
      <c r="I147" s="1">
        <v>4.9947234145791701E-10</v>
      </c>
      <c r="J147" s="1">
        <v>1.8230740463213999E-8</v>
      </c>
      <c r="K147">
        <v>3.5014308176100601</v>
      </c>
      <c r="L147" t="s">
        <v>482</v>
      </c>
      <c r="M147" t="str">
        <f>HYPERLINK("../../3.KEGG_map/SCI_I-vs-NC-Up/rno04610.html","rno04610")</f>
        <v>rno04610</v>
      </c>
    </row>
    <row r="148" spans="1:13" x14ac:dyDescent="0.25">
      <c r="A148" t="s">
        <v>483</v>
      </c>
      <c r="B148" t="s">
        <v>484</v>
      </c>
      <c r="C148" t="s">
        <v>281</v>
      </c>
      <c r="D148" t="s">
        <v>330</v>
      </c>
      <c r="E148">
        <v>24</v>
      </c>
      <c r="F148">
        <v>795</v>
      </c>
      <c r="G148">
        <v>124</v>
      </c>
      <c r="H148">
        <v>7679</v>
      </c>
      <c r="I148">
        <v>1.7726175215304E-3</v>
      </c>
      <c r="J148">
        <v>1.2037309681090199E-2</v>
      </c>
      <c r="K148">
        <v>1.86950699939136</v>
      </c>
      <c r="L148" t="s">
        <v>485</v>
      </c>
      <c r="M148" t="str">
        <f>HYPERLINK("../../3.KEGG_map/SCI_I-vs-NC-Up/rno04611.html","rno04611")</f>
        <v>rno04611</v>
      </c>
    </row>
    <row r="149" spans="1:13" x14ac:dyDescent="0.25">
      <c r="A149" t="s">
        <v>486</v>
      </c>
      <c r="B149" t="s">
        <v>487</v>
      </c>
      <c r="C149" t="s">
        <v>281</v>
      </c>
      <c r="D149" t="s">
        <v>330</v>
      </c>
      <c r="E149">
        <v>14</v>
      </c>
      <c r="F149">
        <v>795</v>
      </c>
      <c r="G149">
        <v>78</v>
      </c>
      <c r="H149">
        <v>7679</v>
      </c>
      <c r="I149">
        <v>2.7822347569255501E-2</v>
      </c>
      <c r="J149">
        <v>0.114424302679192</v>
      </c>
      <c r="K149">
        <v>1.7336881148201899</v>
      </c>
      <c r="L149" t="s">
        <v>488</v>
      </c>
      <c r="M149" t="str">
        <f>HYPERLINK("../../3.KEGG_map/SCI_I-vs-NC-Up/rno04612.html","rno04612")</f>
        <v>rno04612</v>
      </c>
    </row>
    <row r="150" spans="1:13" x14ac:dyDescent="0.25">
      <c r="A150" t="s">
        <v>489</v>
      </c>
      <c r="B150" t="s">
        <v>490</v>
      </c>
      <c r="C150" t="s">
        <v>281</v>
      </c>
      <c r="D150" t="s">
        <v>282</v>
      </c>
      <c r="E150">
        <v>4</v>
      </c>
      <c r="F150">
        <v>795</v>
      </c>
      <c r="G150">
        <v>35</v>
      </c>
      <c r="H150">
        <v>7679</v>
      </c>
      <c r="I150">
        <v>0.49724179934073998</v>
      </c>
      <c r="J150">
        <v>0.90182984725152804</v>
      </c>
      <c r="K150">
        <v>1.10389937106918</v>
      </c>
      <c r="L150" t="s">
        <v>491</v>
      </c>
      <c r="M150" t="str">
        <f>HYPERLINK("../../3.KEGG_map/SCI_I-vs-NC-Up/rno04614.html","rno04614")</f>
        <v>rno04614</v>
      </c>
    </row>
    <row r="151" spans="1:13" x14ac:dyDescent="0.25">
      <c r="A151" t="s">
        <v>492</v>
      </c>
      <c r="B151" t="s">
        <v>493</v>
      </c>
      <c r="C151" t="s">
        <v>281</v>
      </c>
      <c r="D151" t="s">
        <v>330</v>
      </c>
      <c r="E151">
        <v>20</v>
      </c>
      <c r="F151">
        <v>795</v>
      </c>
      <c r="G151">
        <v>91</v>
      </c>
      <c r="H151">
        <v>7679</v>
      </c>
      <c r="I151">
        <v>8.3002871394139799E-4</v>
      </c>
      <c r="J151">
        <v>6.7324551241913404E-3</v>
      </c>
      <c r="K151">
        <v>2.1228834059022699</v>
      </c>
      <c r="L151" t="s">
        <v>494</v>
      </c>
      <c r="M151" t="str">
        <f>HYPERLINK("../../3.KEGG_map/SCI_I-vs-NC-Up/rno04620.html","rno04620")</f>
        <v>rno04620</v>
      </c>
    </row>
    <row r="152" spans="1:13" x14ac:dyDescent="0.25">
      <c r="A152" t="s">
        <v>495</v>
      </c>
      <c r="B152" t="s">
        <v>496</v>
      </c>
      <c r="C152" t="s">
        <v>281</v>
      </c>
      <c r="D152" t="s">
        <v>330</v>
      </c>
      <c r="E152">
        <v>31</v>
      </c>
      <c r="F152">
        <v>795</v>
      </c>
      <c r="G152">
        <v>154</v>
      </c>
      <c r="H152">
        <v>7679</v>
      </c>
      <c r="I152">
        <v>1.97321845568475E-4</v>
      </c>
      <c r="J152">
        <v>2.0180565952905801E-3</v>
      </c>
      <c r="K152">
        <v>1.9443682104059501</v>
      </c>
      <c r="L152" t="s">
        <v>497</v>
      </c>
      <c r="M152" t="str">
        <f>HYPERLINK("../../3.KEGG_map/SCI_I-vs-NC-Up/rno04621.html","rno04621")</f>
        <v>rno04621</v>
      </c>
    </row>
    <row r="153" spans="1:13" x14ac:dyDescent="0.25">
      <c r="A153" t="s">
        <v>498</v>
      </c>
      <c r="B153" t="s">
        <v>499</v>
      </c>
      <c r="C153" t="s">
        <v>281</v>
      </c>
      <c r="D153" t="s">
        <v>330</v>
      </c>
      <c r="E153">
        <v>3</v>
      </c>
      <c r="F153">
        <v>795</v>
      </c>
      <c r="G153">
        <v>60</v>
      </c>
      <c r="H153">
        <v>7679</v>
      </c>
      <c r="I153">
        <v>0.95581154583038797</v>
      </c>
      <c r="J153">
        <v>1</v>
      </c>
      <c r="K153">
        <v>0.48295597484276698</v>
      </c>
      <c r="L153" t="s">
        <v>500</v>
      </c>
      <c r="M153" t="str">
        <f>HYPERLINK("../../3.KEGG_map/SCI_I-vs-NC-Up/rno04622.html","rno04622")</f>
        <v>rno04622</v>
      </c>
    </row>
    <row r="154" spans="1:13" x14ac:dyDescent="0.25">
      <c r="A154" t="s">
        <v>501</v>
      </c>
      <c r="B154" t="s">
        <v>502</v>
      </c>
      <c r="C154" t="s">
        <v>281</v>
      </c>
      <c r="D154" t="s">
        <v>330</v>
      </c>
      <c r="E154">
        <v>10</v>
      </c>
      <c r="F154">
        <v>795</v>
      </c>
      <c r="G154">
        <v>52</v>
      </c>
      <c r="H154">
        <v>7679</v>
      </c>
      <c r="I154">
        <v>3.8189257251836597E-2</v>
      </c>
      <c r="J154">
        <v>0.14482159892904301</v>
      </c>
      <c r="K154">
        <v>1.8575229801644899</v>
      </c>
      <c r="L154" t="s">
        <v>503</v>
      </c>
      <c r="M154" t="str">
        <f>HYPERLINK("../../3.KEGG_map/SCI_I-vs-NC-Up/rno04623.html","rno04623")</f>
        <v>rno04623</v>
      </c>
    </row>
    <row r="155" spans="1:13" x14ac:dyDescent="0.25">
      <c r="A155" t="s">
        <v>504</v>
      </c>
      <c r="B155" t="s">
        <v>505</v>
      </c>
      <c r="C155" t="s">
        <v>281</v>
      </c>
      <c r="D155" t="s">
        <v>330</v>
      </c>
      <c r="E155">
        <v>19</v>
      </c>
      <c r="F155">
        <v>795</v>
      </c>
      <c r="G155">
        <v>108</v>
      </c>
      <c r="H155">
        <v>7679</v>
      </c>
      <c r="I155">
        <v>1.42645460243694E-2</v>
      </c>
      <c r="J155">
        <v>6.6115038716124994E-2</v>
      </c>
      <c r="K155">
        <v>1.6992895411134401</v>
      </c>
      <c r="L155" t="s">
        <v>506</v>
      </c>
      <c r="M155" t="str">
        <f>HYPERLINK("../../3.KEGG_map/SCI_I-vs-NC-Up/rno04625.html","rno04625")</f>
        <v>rno04625</v>
      </c>
    </row>
    <row r="156" spans="1:13" x14ac:dyDescent="0.25">
      <c r="A156" t="s">
        <v>507</v>
      </c>
      <c r="B156" t="s">
        <v>508</v>
      </c>
      <c r="C156" t="s">
        <v>249</v>
      </c>
      <c r="D156" t="s">
        <v>304</v>
      </c>
      <c r="E156">
        <v>19</v>
      </c>
      <c r="F156">
        <v>795</v>
      </c>
      <c r="G156">
        <v>151</v>
      </c>
      <c r="H156">
        <v>7679</v>
      </c>
      <c r="I156">
        <v>0.215434019631459</v>
      </c>
      <c r="J156">
        <v>0.53766439087509499</v>
      </c>
      <c r="K156">
        <v>1.21538589695531</v>
      </c>
      <c r="L156" t="s">
        <v>509</v>
      </c>
      <c r="M156" t="str">
        <f>HYPERLINK("../../3.KEGG_map/SCI_I-vs-NC-Up/rno04630.html","rno04630")</f>
        <v>rno04630</v>
      </c>
    </row>
    <row r="157" spans="1:13" x14ac:dyDescent="0.25">
      <c r="A157" t="s">
        <v>510</v>
      </c>
      <c r="B157" t="s">
        <v>511</v>
      </c>
      <c r="C157" t="s">
        <v>281</v>
      </c>
      <c r="D157" t="s">
        <v>330</v>
      </c>
      <c r="E157">
        <v>35</v>
      </c>
      <c r="F157">
        <v>795</v>
      </c>
      <c r="G157">
        <v>87</v>
      </c>
      <c r="H157">
        <v>7679</v>
      </c>
      <c r="I157" s="1">
        <v>2.1677502074802699E-13</v>
      </c>
      <c r="J157" s="1">
        <v>1.5824576514605999E-11</v>
      </c>
      <c r="K157">
        <v>3.8858526711487</v>
      </c>
      <c r="L157" t="s">
        <v>512</v>
      </c>
      <c r="M157" t="str">
        <f>HYPERLINK("../../3.KEGG_map/SCI_I-vs-NC-Up/rno04640.html","rno04640")</f>
        <v>rno04640</v>
      </c>
    </row>
    <row r="158" spans="1:13" x14ac:dyDescent="0.25">
      <c r="A158" t="s">
        <v>513</v>
      </c>
      <c r="B158" t="s">
        <v>514</v>
      </c>
      <c r="C158" t="s">
        <v>281</v>
      </c>
      <c r="D158" t="s">
        <v>330</v>
      </c>
      <c r="E158">
        <v>24</v>
      </c>
      <c r="F158">
        <v>795</v>
      </c>
      <c r="G158">
        <v>125</v>
      </c>
      <c r="H158">
        <v>7679</v>
      </c>
      <c r="I158">
        <v>1.98492413890268E-3</v>
      </c>
      <c r="J158">
        <v>1.3172678376354101E-2</v>
      </c>
      <c r="K158">
        <v>1.8545509433962299</v>
      </c>
      <c r="L158" t="s">
        <v>515</v>
      </c>
      <c r="M158" t="str">
        <f>HYPERLINK("../../3.KEGG_map/SCI_I-vs-NC-Up/rno04650.html","rno04650")</f>
        <v>rno04650</v>
      </c>
    </row>
    <row r="159" spans="1:13" x14ac:dyDescent="0.25">
      <c r="A159" t="s">
        <v>516</v>
      </c>
      <c r="B159" t="s">
        <v>517</v>
      </c>
      <c r="C159" t="s">
        <v>281</v>
      </c>
      <c r="D159" t="s">
        <v>330</v>
      </c>
      <c r="E159">
        <v>22</v>
      </c>
      <c r="F159">
        <v>795</v>
      </c>
      <c r="G159">
        <v>91</v>
      </c>
      <c r="H159">
        <v>7679</v>
      </c>
      <c r="I159">
        <v>1.08319609398913E-4</v>
      </c>
      <c r="J159">
        <v>1.21651253632625E-3</v>
      </c>
      <c r="K159">
        <v>2.3351717464925001</v>
      </c>
      <c r="L159" t="s">
        <v>518</v>
      </c>
      <c r="M159" t="str">
        <f>HYPERLINK("../../3.KEGG_map/SCI_I-vs-NC-Up/rno04657.html","rno04657")</f>
        <v>rno04657</v>
      </c>
    </row>
    <row r="160" spans="1:13" x14ac:dyDescent="0.25">
      <c r="A160" t="s">
        <v>519</v>
      </c>
      <c r="B160" t="s">
        <v>520</v>
      </c>
      <c r="C160" t="s">
        <v>281</v>
      </c>
      <c r="D160" t="s">
        <v>330</v>
      </c>
      <c r="E160">
        <v>16</v>
      </c>
      <c r="F160">
        <v>795</v>
      </c>
      <c r="G160">
        <v>88</v>
      </c>
      <c r="H160">
        <v>7679</v>
      </c>
      <c r="I160">
        <v>1.7416853990782299E-2</v>
      </c>
      <c r="J160">
        <v>7.7056384322854998E-2</v>
      </c>
      <c r="K160">
        <v>1.75620354488279</v>
      </c>
      <c r="L160" t="s">
        <v>521</v>
      </c>
      <c r="M160" t="str">
        <f>HYPERLINK("../../3.KEGG_map/SCI_I-vs-NC-Up/rno04658.html","rno04658")</f>
        <v>rno04658</v>
      </c>
    </row>
    <row r="161" spans="1:13" x14ac:dyDescent="0.25">
      <c r="A161" t="s">
        <v>522</v>
      </c>
      <c r="B161" t="s">
        <v>523</v>
      </c>
      <c r="C161" t="s">
        <v>281</v>
      </c>
      <c r="D161" t="s">
        <v>330</v>
      </c>
      <c r="E161">
        <v>21</v>
      </c>
      <c r="F161">
        <v>795</v>
      </c>
      <c r="G161">
        <v>102</v>
      </c>
      <c r="H161">
        <v>7679</v>
      </c>
      <c r="I161">
        <v>1.5126422685466101E-3</v>
      </c>
      <c r="J161">
        <v>1.0772964449161201E-2</v>
      </c>
      <c r="K161">
        <v>1.9886422493525699</v>
      </c>
      <c r="L161" t="s">
        <v>524</v>
      </c>
      <c r="M161" t="str">
        <f>HYPERLINK("../../3.KEGG_map/SCI_I-vs-NC-Up/rno04659.html","rno04659")</f>
        <v>rno04659</v>
      </c>
    </row>
    <row r="162" spans="1:13" x14ac:dyDescent="0.25">
      <c r="A162" t="s">
        <v>525</v>
      </c>
      <c r="B162" t="s">
        <v>526</v>
      </c>
      <c r="C162" t="s">
        <v>281</v>
      </c>
      <c r="D162" t="s">
        <v>330</v>
      </c>
      <c r="E162">
        <v>13</v>
      </c>
      <c r="F162">
        <v>795</v>
      </c>
      <c r="G162">
        <v>101</v>
      </c>
      <c r="H162">
        <v>7679</v>
      </c>
      <c r="I162">
        <v>0.243427566786351</v>
      </c>
      <c r="J162">
        <v>0.58262991394765995</v>
      </c>
      <c r="K162">
        <v>1.2432530045457399</v>
      </c>
      <c r="L162" t="s">
        <v>527</v>
      </c>
      <c r="M162" t="str">
        <f>HYPERLINK("../../3.KEGG_map/SCI_I-vs-NC-Up/rno04660.html","rno04660")</f>
        <v>rno04660</v>
      </c>
    </row>
    <row r="163" spans="1:13" x14ac:dyDescent="0.25">
      <c r="A163" t="s">
        <v>528</v>
      </c>
      <c r="B163" t="s">
        <v>529</v>
      </c>
      <c r="C163" t="s">
        <v>281</v>
      </c>
      <c r="D163" t="s">
        <v>330</v>
      </c>
      <c r="E163">
        <v>12</v>
      </c>
      <c r="F163">
        <v>795</v>
      </c>
      <c r="G163">
        <v>70</v>
      </c>
      <c r="H163">
        <v>7679</v>
      </c>
      <c r="I163">
        <v>5.4049761230156403E-2</v>
      </c>
      <c r="J163">
        <v>0.19246988145372801</v>
      </c>
      <c r="K163">
        <v>1.65584905660377</v>
      </c>
      <c r="L163" t="s">
        <v>530</v>
      </c>
      <c r="M163" t="str">
        <f>HYPERLINK("../../3.KEGG_map/SCI_I-vs-NC-Up/rno04662.html","rno04662")</f>
        <v>rno04662</v>
      </c>
    </row>
    <row r="164" spans="1:13" x14ac:dyDescent="0.25">
      <c r="A164" t="s">
        <v>531</v>
      </c>
      <c r="B164" t="s">
        <v>532</v>
      </c>
      <c r="C164" t="s">
        <v>281</v>
      </c>
      <c r="D164" t="s">
        <v>330</v>
      </c>
      <c r="E164">
        <v>11</v>
      </c>
      <c r="F164">
        <v>795</v>
      </c>
      <c r="G164">
        <v>65</v>
      </c>
      <c r="H164">
        <v>7679</v>
      </c>
      <c r="I164">
        <v>6.8440741448464695E-2</v>
      </c>
      <c r="J164">
        <v>0.227098823897178</v>
      </c>
      <c r="K164">
        <v>1.6346202225447499</v>
      </c>
      <c r="L164" t="s">
        <v>533</v>
      </c>
      <c r="M164" t="str">
        <f>HYPERLINK("../../3.KEGG_map/SCI_I-vs-NC-Up/rno04664.html","rno04664")</f>
        <v>rno04664</v>
      </c>
    </row>
    <row r="165" spans="1:13" x14ac:dyDescent="0.25">
      <c r="A165" t="s">
        <v>534</v>
      </c>
      <c r="B165" t="s">
        <v>535</v>
      </c>
      <c r="C165" t="s">
        <v>281</v>
      </c>
      <c r="D165" t="s">
        <v>330</v>
      </c>
      <c r="E165">
        <v>19</v>
      </c>
      <c r="F165">
        <v>795</v>
      </c>
      <c r="G165">
        <v>85</v>
      </c>
      <c r="H165">
        <v>7679</v>
      </c>
      <c r="I165">
        <v>8.93529861579671E-4</v>
      </c>
      <c r="J165">
        <v>7.05164106976389E-3</v>
      </c>
      <c r="K165">
        <v>2.1590972992970801</v>
      </c>
      <c r="L165" t="s">
        <v>536</v>
      </c>
      <c r="M165" t="str">
        <f>HYPERLINK("../../3.KEGG_map/SCI_I-vs-NC-Up/rno04666.html","rno04666")</f>
        <v>rno04666</v>
      </c>
    </row>
    <row r="166" spans="1:13" x14ac:dyDescent="0.25">
      <c r="A166" t="s">
        <v>537</v>
      </c>
      <c r="B166" t="s">
        <v>538</v>
      </c>
      <c r="C166" t="s">
        <v>249</v>
      </c>
      <c r="D166" t="s">
        <v>304</v>
      </c>
      <c r="E166">
        <v>23</v>
      </c>
      <c r="F166">
        <v>795</v>
      </c>
      <c r="G166">
        <v>106</v>
      </c>
      <c r="H166">
        <v>7679</v>
      </c>
      <c r="I166">
        <v>4.2352416156619298E-4</v>
      </c>
      <c r="J166">
        <v>3.63732515227437E-3</v>
      </c>
      <c r="K166">
        <v>2.0958466832799298</v>
      </c>
      <c r="L166" t="s">
        <v>539</v>
      </c>
      <c r="M166" t="str">
        <f>HYPERLINK("../../3.KEGG_map/SCI_I-vs-NC-Up/rno04668.html","rno04668")</f>
        <v>rno04668</v>
      </c>
    </row>
    <row r="167" spans="1:13" x14ac:dyDescent="0.25">
      <c r="A167" t="s">
        <v>540</v>
      </c>
      <c r="B167" t="s">
        <v>541</v>
      </c>
      <c r="C167" t="s">
        <v>281</v>
      </c>
      <c r="D167" t="s">
        <v>330</v>
      </c>
      <c r="E167">
        <v>21</v>
      </c>
      <c r="F167">
        <v>795</v>
      </c>
      <c r="G167">
        <v>113</v>
      </c>
      <c r="H167">
        <v>7679</v>
      </c>
      <c r="I167">
        <v>5.48078606746973E-3</v>
      </c>
      <c r="J167">
        <v>2.85783844946636E-2</v>
      </c>
      <c r="K167">
        <v>1.79505760561029</v>
      </c>
      <c r="L167" t="s">
        <v>542</v>
      </c>
      <c r="M167" t="str">
        <f>HYPERLINK("../../3.KEGG_map/SCI_I-vs-NC-Up/rno04670.html","rno04670")</f>
        <v>rno04670</v>
      </c>
    </row>
    <row r="168" spans="1:13" x14ac:dyDescent="0.25">
      <c r="A168" t="s">
        <v>543</v>
      </c>
      <c r="B168" t="s">
        <v>544</v>
      </c>
      <c r="C168" t="s">
        <v>281</v>
      </c>
      <c r="D168" t="s">
        <v>330</v>
      </c>
      <c r="E168">
        <v>13</v>
      </c>
      <c r="F168">
        <v>795</v>
      </c>
      <c r="G168">
        <v>42</v>
      </c>
      <c r="H168">
        <v>7679</v>
      </c>
      <c r="I168">
        <v>2.0885062207997199E-4</v>
      </c>
      <c r="J168">
        <v>2.0328127215784001E-3</v>
      </c>
      <c r="K168">
        <v>2.98972746331237</v>
      </c>
      <c r="L168" t="s">
        <v>545</v>
      </c>
      <c r="M168" t="str">
        <f>HYPERLINK("../../3.KEGG_map/SCI_I-vs-NC-Up/rno04672.html","rno04672")</f>
        <v>rno04672</v>
      </c>
    </row>
    <row r="169" spans="1:13" x14ac:dyDescent="0.25">
      <c r="A169" t="s">
        <v>546</v>
      </c>
      <c r="B169" t="s">
        <v>547</v>
      </c>
      <c r="C169" t="s">
        <v>281</v>
      </c>
      <c r="D169" t="s">
        <v>548</v>
      </c>
      <c r="E169">
        <v>1</v>
      </c>
      <c r="F169">
        <v>795</v>
      </c>
      <c r="G169">
        <v>30</v>
      </c>
      <c r="H169">
        <v>7679</v>
      </c>
      <c r="I169">
        <v>0.96256852463277098</v>
      </c>
      <c r="J169">
        <v>1</v>
      </c>
      <c r="K169">
        <v>0.32197064989517798</v>
      </c>
      <c r="L169" t="s">
        <v>549</v>
      </c>
      <c r="M169" t="str">
        <f>HYPERLINK("../../3.KEGG_map/SCI_I-vs-NC-Up/rno04710.html","rno04710")</f>
        <v>rno04710</v>
      </c>
    </row>
    <row r="170" spans="1:13" x14ac:dyDescent="0.25">
      <c r="A170" t="s">
        <v>550</v>
      </c>
      <c r="B170" t="s">
        <v>551</v>
      </c>
      <c r="C170" t="s">
        <v>281</v>
      </c>
      <c r="D170" t="s">
        <v>548</v>
      </c>
      <c r="E170">
        <v>11</v>
      </c>
      <c r="F170">
        <v>795</v>
      </c>
      <c r="G170">
        <v>96</v>
      </c>
      <c r="H170">
        <v>7679</v>
      </c>
      <c r="I170">
        <v>0.40860924437240398</v>
      </c>
      <c r="J170">
        <v>0.82285447832235903</v>
      </c>
      <c r="K170">
        <v>1.1067741090146801</v>
      </c>
      <c r="L170" t="s">
        <v>552</v>
      </c>
      <c r="M170" t="str">
        <f>HYPERLINK("../../3.KEGG_map/SCI_I-vs-NC-Up/rno04713.html","rno04713")</f>
        <v>rno04713</v>
      </c>
    </row>
    <row r="171" spans="1:13" x14ac:dyDescent="0.25">
      <c r="A171" t="s">
        <v>553</v>
      </c>
      <c r="B171" t="s">
        <v>554</v>
      </c>
      <c r="C171" t="s">
        <v>281</v>
      </c>
      <c r="D171" t="s">
        <v>548</v>
      </c>
      <c r="E171">
        <v>7</v>
      </c>
      <c r="F171">
        <v>795</v>
      </c>
      <c r="G171">
        <v>214</v>
      </c>
      <c r="H171">
        <v>7679</v>
      </c>
      <c r="I171">
        <v>0.99997775639119402</v>
      </c>
      <c r="J171">
        <v>1</v>
      </c>
      <c r="K171">
        <v>0.31595250690648302</v>
      </c>
      <c r="L171" t="s">
        <v>555</v>
      </c>
      <c r="M171" t="str">
        <f>HYPERLINK("../../3.KEGG_map/SCI_I-vs-NC-Up/rno04714.html","rno04714")</f>
        <v>rno04714</v>
      </c>
    </row>
    <row r="172" spans="1:13" x14ac:dyDescent="0.25">
      <c r="A172" t="s">
        <v>556</v>
      </c>
      <c r="B172" t="s">
        <v>557</v>
      </c>
      <c r="C172" t="s">
        <v>281</v>
      </c>
      <c r="D172" t="s">
        <v>558</v>
      </c>
      <c r="E172">
        <v>2</v>
      </c>
      <c r="F172">
        <v>795</v>
      </c>
      <c r="G172">
        <v>66</v>
      </c>
      <c r="H172">
        <v>7679</v>
      </c>
      <c r="I172">
        <v>0.99379777438648098</v>
      </c>
      <c r="J172">
        <v>1</v>
      </c>
      <c r="K172">
        <v>0.29270059081379801</v>
      </c>
      <c r="L172" t="s">
        <v>559</v>
      </c>
      <c r="M172" t="str">
        <f>HYPERLINK("../../3.KEGG_map/SCI_I-vs-NC-Up/rno04720.html","rno04720")</f>
        <v>rno04720</v>
      </c>
    </row>
    <row r="173" spans="1:13" x14ac:dyDescent="0.25">
      <c r="A173" t="s">
        <v>560</v>
      </c>
      <c r="B173" t="s">
        <v>561</v>
      </c>
      <c r="C173" t="s">
        <v>281</v>
      </c>
      <c r="D173" t="s">
        <v>558</v>
      </c>
      <c r="E173">
        <v>2</v>
      </c>
      <c r="F173">
        <v>795</v>
      </c>
      <c r="G173">
        <v>62</v>
      </c>
      <c r="H173">
        <v>7679</v>
      </c>
      <c r="I173">
        <v>0.99088175864325601</v>
      </c>
      <c r="J173">
        <v>1</v>
      </c>
      <c r="K173">
        <v>0.31158449989856002</v>
      </c>
      <c r="L173" t="s">
        <v>562</v>
      </c>
      <c r="M173" t="str">
        <f>HYPERLINK("../../3.KEGG_map/SCI_I-vs-NC-Up/rno04721.html","rno04721")</f>
        <v>rno04721</v>
      </c>
    </row>
    <row r="174" spans="1:13" x14ac:dyDescent="0.25">
      <c r="A174" t="s">
        <v>563</v>
      </c>
      <c r="B174" t="s">
        <v>564</v>
      </c>
      <c r="C174" t="s">
        <v>281</v>
      </c>
      <c r="D174" t="s">
        <v>558</v>
      </c>
      <c r="E174">
        <v>8</v>
      </c>
      <c r="F174">
        <v>795</v>
      </c>
      <c r="G174">
        <v>119</v>
      </c>
      <c r="H174">
        <v>7679</v>
      </c>
      <c r="I174">
        <v>0.93565960642608004</v>
      </c>
      <c r="J174">
        <v>1</v>
      </c>
      <c r="K174">
        <v>0.64935257121716605</v>
      </c>
      <c r="L174" t="s">
        <v>565</v>
      </c>
      <c r="M174" t="str">
        <f>HYPERLINK("../../3.KEGG_map/SCI_I-vs-NC-Up/rno04722.html","rno04722")</f>
        <v>rno04722</v>
      </c>
    </row>
    <row r="175" spans="1:13" x14ac:dyDescent="0.25">
      <c r="A175" t="s">
        <v>566</v>
      </c>
      <c r="B175" t="s">
        <v>567</v>
      </c>
      <c r="C175" t="s">
        <v>281</v>
      </c>
      <c r="D175" t="s">
        <v>558</v>
      </c>
      <c r="E175">
        <v>15</v>
      </c>
      <c r="F175">
        <v>795</v>
      </c>
      <c r="G175">
        <v>138</v>
      </c>
      <c r="H175">
        <v>7679</v>
      </c>
      <c r="I175">
        <v>0.46173877748033099</v>
      </c>
      <c r="J175">
        <v>0.875504694962705</v>
      </c>
      <c r="K175">
        <v>1.04990429313645</v>
      </c>
      <c r="L175" t="s">
        <v>568</v>
      </c>
      <c r="M175" t="str">
        <f>HYPERLINK("../../3.KEGG_map/SCI_I-vs-NC-Up/rno04723.html","rno04723")</f>
        <v>rno04723</v>
      </c>
    </row>
    <row r="176" spans="1:13" x14ac:dyDescent="0.25">
      <c r="A176" t="s">
        <v>569</v>
      </c>
      <c r="B176" t="s">
        <v>570</v>
      </c>
      <c r="C176" t="s">
        <v>281</v>
      </c>
      <c r="D176" t="s">
        <v>558</v>
      </c>
      <c r="E176">
        <v>11</v>
      </c>
      <c r="F176">
        <v>795</v>
      </c>
      <c r="G176">
        <v>112</v>
      </c>
      <c r="H176">
        <v>7679</v>
      </c>
      <c r="I176">
        <v>0.62006819653776402</v>
      </c>
      <c r="J176">
        <v>0.98939843381981996</v>
      </c>
      <c r="K176">
        <v>0.94866352201257897</v>
      </c>
      <c r="L176" t="s">
        <v>571</v>
      </c>
      <c r="M176" t="str">
        <f>HYPERLINK("../../3.KEGG_map/SCI_I-vs-NC-Up/rno04724.html","rno04724")</f>
        <v>rno04724</v>
      </c>
    </row>
    <row r="177" spans="1:13" x14ac:dyDescent="0.25">
      <c r="A177" t="s">
        <v>572</v>
      </c>
      <c r="B177" t="s">
        <v>573</v>
      </c>
      <c r="C177" t="s">
        <v>281</v>
      </c>
      <c r="D177" t="s">
        <v>558</v>
      </c>
      <c r="E177">
        <v>15</v>
      </c>
      <c r="F177">
        <v>795</v>
      </c>
      <c r="G177">
        <v>111</v>
      </c>
      <c r="H177">
        <v>7679</v>
      </c>
      <c r="I177">
        <v>0.17097690413050801</v>
      </c>
      <c r="J177">
        <v>0.466591177627181</v>
      </c>
      <c r="K177">
        <v>1.3052864184939701</v>
      </c>
      <c r="L177" t="s">
        <v>574</v>
      </c>
      <c r="M177" t="str">
        <f>HYPERLINK("../../3.KEGG_map/SCI_I-vs-NC-Up/rno04725.html","rno04725")</f>
        <v>rno04725</v>
      </c>
    </row>
    <row r="178" spans="1:13" x14ac:dyDescent="0.25">
      <c r="A178" t="s">
        <v>575</v>
      </c>
      <c r="B178" t="s">
        <v>576</v>
      </c>
      <c r="C178" t="s">
        <v>281</v>
      </c>
      <c r="D178" t="s">
        <v>558</v>
      </c>
      <c r="E178">
        <v>14</v>
      </c>
      <c r="F178">
        <v>795</v>
      </c>
      <c r="G178">
        <v>119</v>
      </c>
      <c r="H178">
        <v>7679</v>
      </c>
      <c r="I178">
        <v>0.34771312863986098</v>
      </c>
      <c r="J178">
        <v>0.75770323554357899</v>
      </c>
      <c r="K178">
        <v>1.1363669996300401</v>
      </c>
      <c r="L178" t="s">
        <v>577</v>
      </c>
      <c r="M178" t="str">
        <f>HYPERLINK("../../3.KEGG_map/SCI_I-vs-NC-Up/rno04726.html","rno04726")</f>
        <v>rno04726</v>
      </c>
    </row>
    <row r="179" spans="1:13" x14ac:dyDescent="0.25">
      <c r="A179" t="s">
        <v>578</v>
      </c>
      <c r="B179" t="s">
        <v>579</v>
      </c>
      <c r="C179" t="s">
        <v>281</v>
      </c>
      <c r="D179" t="s">
        <v>558</v>
      </c>
      <c r="E179">
        <v>9</v>
      </c>
      <c r="F179">
        <v>795</v>
      </c>
      <c r="G179">
        <v>87</v>
      </c>
      <c r="H179">
        <v>7679</v>
      </c>
      <c r="I179">
        <v>0.55328920769781997</v>
      </c>
      <c r="J179">
        <v>0.93930493399862502</v>
      </c>
      <c r="K179">
        <v>0.99921925829538105</v>
      </c>
      <c r="L179" t="s">
        <v>580</v>
      </c>
      <c r="M179" t="str">
        <f>HYPERLINK("../../3.KEGG_map/SCI_I-vs-NC-Up/rno04727.html","rno04727")</f>
        <v>rno04727</v>
      </c>
    </row>
    <row r="180" spans="1:13" x14ac:dyDescent="0.25">
      <c r="A180" t="s">
        <v>581</v>
      </c>
      <c r="B180" t="s">
        <v>582</v>
      </c>
      <c r="C180" t="s">
        <v>281</v>
      </c>
      <c r="D180" t="s">
        <v>558</v>
      </c>
      <c r="E180">
        <v>12</v>
      </c>
      <c r="F180">
        <v>795</v>
      </c>
      <c r="G180">
        <v>129</v>
      </c>
      <c r="H180">
        <v>7679</v>
      </c>
      <c r="I180">
        <v>0.69619056395853096</v>
      </c>
      <c r="J180">
        <v>1</v>
      </c>
      <c r="K180">
        <v>0.89852274389352105</v>
      </c>
      <c r="L180" t="s">
        <v>583</v>
      </c>
      <c r="M180" t="str">
        <f>HYPERLINK("../../3.KEGG_map/SCI_I-vs-NC-Up/rno04728.html","rno04728")</f>
        <v>rno04728</v>
      </c>
    </row>
    <row r="181" spans="1:13" x14ac:dyDescent="0.25">
      <c r="A181" t="s">
        <v>584</v>
      </c>
      <c r="B181" t="s">
        <v>585</v>
      </c>
      <c r="C181" t="s">
        <v>281</v>
      </c>
      <c r="D181" t="s">
        <v>558</v>
      </c>
      <c r="E181">
        <v>7</v>
      </c>
      <c r="F181">
        <v>795</v>
      </c>
      <c r="G181">
        <v>60</v>
      </c>
      <c r="H181">
        <v>7679</v>
      </c>
      <c r="I181">
        <v>0.42948703610300698</v>
      </c>
      <c r="J181">
        <v>0.84436073897090402</v>
      </c>
      <c r="K181">
        <v>1.1268972746331201</v>
      </c>
      <c r="L181" t="s">
        <v>586</v>
      </c>
      <c r="M181" t="str">
        <f>HYPERLINK("../../3.KEGG_map/SCI_I-vs-NC-Up/rno04730.html","rno04730")</f>
        <v>rno04730</v>
      </c>
    </row>
    <row r="182" spans="1:13" x14ac:dyDescent="0.25">
      <c r="A182" t="s">
        <v>587</v>
      </c>
      <c r="B182" t="s">
        <v>588</v>
      </c>
      <c r="C182" t="s">
        <v>281</v>
      </c>
      <c r="D182" t="s">
        <v>589</v>
      </c>
      <c r="E182">
        <v>6</v>
      </c>
      <c r="F182">
        <v>795</v>
      </c>
      <c r="G182">
        <v>1088</v>
      </c>
      <c r="H182">
        <v>7679</v>
      </c>
      <c r="I182">
        <v>1</v>
      </c>
      <c r="J182">
        <v>1</v>
      </c>
      <c r="K182">
        <v>5.3267203107658201E-2</v>
      </c>
      <c r="L182" t="s">
        <v>590</v>
      </c>
      <c r="M182" t="str">
        <f>HYPERLINK("../../3.KEGG_map/SCI_I-vs-NC-Up/rno04740.html","rno04740")</f>
        <v>rno04740</v>
      </c>
    </row>
    <row r="183" spans="1:13" x14ac:dyDescent="0.25">
      <c r="A183" t="s">
        <v>591</v>
      </c>
      <c r="B183" t="s">
        <v>592</v>
      </c>
      <c r="C183" t="s">
        <v>281</v>
      </c>
      <c r="D183" t="s">
        <v>589</v>
      </c>
      <c r="E183">
        <v>3</v>
      </c>
      <c r="F183">
        <v>795</v>
      </c>
      <c r="G183">
        <v>86</v>
      </c>
      <c r="H183">
        <v>7679</v>
      </c>
      <c r="I183">
        <v>0.99522378562421798</v>
      </c>
      <c r="J183">
        <v>1</v>
      </c>
      <c r="K183">
        <v>0.33694602896006998</v>
      </c>
      <c r="L183" t="s">
        <v>593</v>
      </c>
      <c r="M183" t="str">
        <f>HYPERLINK("../../3.KEGG_map/SCI_I-vs-NC-Up/rno04742.html","rno04742")</f>
        <v>rno04742</v>
      </c>
    </row>
    <row r="184" spans="1:13" x14ac:dyDescent="0.25">
      <c r="A184" t="s">
        <v>594</v>
      </c>
      <c r="B184" t="s">
        <v>595</v>
      </c>
      <c r="C184" t="s">
        <v>281</v>
      </c>
      <c r="D184" t="s">
        <v>589</v>
      </c>
      <c r="E184">
        <v>17</v>
      </c>
      <c r="F184">
        <v>795</v>
      </c>
      <c r="G184">
        <v>111</v>
      </c>
      <c r="H184">
        <v>7679</v>
      </c>
      <c r="I184">
        <v>6.3648494998791702E-2</v>
      </c>
      <c r="J184">
        <v>0.21610884348427001</v>
      </c>
      <c r="K184">
        <v>1.4793246076264901</v>
      </c>
      <c r="L184" t="s">
        <v>596</v>
      </c>
      <c r="M184" t="str">
        <f>HYPERLINK("../../3.KEGG_map/SCI_I-vs-NC-Up/rno04750.html","rno04750")</f>
        <v>rno04750</v>
      </c>
    </row>
    <row r="185" spans="1:13" x14ac:dyDescent="0.25">
      <c r="A185" t="s">
        <v>597</v>
      </c>
      <c r="B185" t="s">
        <v>598</v>
      </c>
      <c r="C185" t="s">
        <v>355</v>
      </c>
      <c r="D185" t="s">
        <v>599</v>
      </c>
      <c r="E185">
        <v>36</v>
      </c>
      <c r="F185">
        <v>795</v>
      </c>
      <c r="G185">
        <v>208</v>
      </c>
      <c r="H185">
        <v>7679</v>
      </c>
      <c r="I185">
        <v>1.29892546421097E-3</v>
      </c>
      <c r="J185">
        <v>9.7252880910154507E-3</v>
      </c>
      <c r="K185">
        <v>1.67177068214804</v>
      </c>
      <c r="L185" t="s">
        <v>600</v>
      </c>
      <c r="M185" t="str">
        <f>HYPERLINK("../../3.KEGG_map/SCI_I-vs-NC-Up/rno04810.html","rno04810")</f>
        <v>rno04810</v>
      </c>
    </row>
    <row r="186" spans="1:13" x14ac:dyDescent="0.25">
      <c r="A186" t="s">
        <v>601</v>
      </c>
      <c r="B186" t="s">
        <v>602</v>
      </c>
      <c r="C186" t="s">
        <v>281</v>
      </c>
      <c r="D186" t="s">
        <v>282</v>
      </c>
      <c r="E186">
        <v>4</v>
      </c>
      <c r="F186">
        <v>795</v>
      </c>
      <c r="G186">
        <v>134</v>
      </c>
      <c r="H186">
        <v>7679</v>
      </c>
      <c r="I186">
        <v>0.99970366902250796</v>
      </c>
      <c r="J186">
        <v>1</v>
      </c>
      <c r="K186">
        <v>0.28833192527926399</v>
      </c>
      <c r="L186" t="s">
        <v>603</v>
      </c>
      <c r="M186" t="str">
        <f>HYPERLINK("../../3.KEGG_map/SCI_I-vs-NC-Up/rno04910.html","rno04910")</f>
        <v>rno04910</v>
      </c>
    </row>
    <row r="187" spans="1:13" x14ac:dyDescent="0.25">
      <c r="A187" t="s">
        <v>604</v>
      </c>
      <c r="B187" t="s">
        <v>605</v>
      </c>
      <c r="C187" t="s">
        <v>281</v>
      </c>
      <c r="D187" t="s">
        <v>282</v>
      </c>
      <c r="E187">
        <v>8</v>
      </c>
      <c r="F187">
        <v>795</v>
      </c>
      <c r="G187">
        <v>85</v>
      </c>
      <c r="H187">
        <v>7679</v>
      </c>
      <c r="I187">
        <v>0.66548055493480296</v>
      </c>
      <c r="J187">
        <v>1</v>
      </c>
      <c r="K187">
        <v>0.90909359970403203</v>
      </c>
      <c r="L187" t="s">
        <v>606</v>
      </c>
      <c r="M187" t="str">
        <f>HYPERLINK("../../3.KEGG_map/SCI_I-vs-NC-Up/rno04911.html","rno04911")</f>
        <v>rno04911</v>
      </c>
    </row>
    <row r="188" spans="1:13" x14ac:dyDescent="0.25">
      <c r="A188" t="s">
        <v>607</v>
      </c>
      <c r="B188" t="s">
        <v>608</v>
      </c>
      <c r="C188" t="s">
        <v>281</v>
      </c>
      <c r="D188" t="s">
        <v>282</v>
      </c>
      <c r="E188">
        <v>9</v>
      </c>
      <c r="F188">
        <v>795</v>
      </c>
      <c r="G188">
        <v>89</v>
      </c>
      <c r="H188">
        <v>7679</v>
      </c>
      <c r="I188">
        <v>0.58167211563427001</v>
      </c>
      <c r="J188">
        <v>0.96251965230943404</v>
      </c>
      <c r="K188">
        <v>0.97676489294042801</v>
      </c>
      <c r="L188" t="s">
        <v>609</v>
      </c>
      <c r="M188" t="str">
        <f>HYPERLINK("../../3.KEGG_map/SCI_I-vs-NC-Up/rno04912.html","rno04912")</f>
        <v>rno04912</v>
      </c>
    </row>
    <row r="189" spans="1:13" x14ac:dyDescent="0.25">
      <c r="A189" t="s">
        <v>610</v>
      </c>
      <c r="B189" t="s">
        <v>611</v>
      </c>
      <c r="C189" t="s">
        <v>281</v>
      </c>
      <c r="D189" t="s">
        <v>282</v>
      </c>
      <c r="E189">
        <v>7</v>
      </c>
      <c r="F189">
        <v>795</v>
      </c>
      <c r="G189">
        <v>51</v>
      </c>
      <c r="H189">
        <v>7679</v>
      </c>
      <c r="I189">
        <v>0.27299348748945601</v>
      </c>
      <c r="J189">
        <v>0.63265157418191298</v>
      </c>
      <c r="K189">
        <v>1.32576149956838</v>
      </c>
      <c r="L189" t="s">
        <v>612</v>
      </c>
      <c r="M189" t="str">
        <f>HYPERLINK("../../3.KEGG_map/SCI_I-vs-NC-Up/rno04913.html","rno04913")</f>
        <v>rno04913</v>
      </c>
    </row>
    <row r="190" spans="1:13" x14ac:dyDescent="0.25">
      <c r="A190" t="s">
        <v>613</v>
      </c>
      <c r="B190" t="s">
        <v>614</v>
      </c>
      <c r="C190" t="s">
        <v>281</v>
      </c>
      <c r="D190" t="s">
        <v>282</v>
      </c>
      <c r="E190">
        <v>16</v>
      </c>
      <c r="F190">
        <v>795</v>
      </c>
      <c r="G190">
        <v>88</v>
      </c>
      <c r="H190">
        <v>7679</v>
      </c>
      <c r="I190">
        <v>1.7416853990782299E-2</v>
      </c>
      <c r="J190">
        <v>7.7056384322854998E-2</v>
      </c>
      <c r="K190">
        <v>1.75620354488279</v>
      </c>
      <c r="L190" t="s">
        <v>615</v>
      </c>
      <c r="M190" t="str">
        <f>HYPERLINK("../../3.KEGG_map/SCI_I-vs-NC-Up/rno04914.html","rno04914")</f>
        <v>rno04914</v>
      </c>
    </row>
    <row r="191" spans="1:13" x14ac:dyDescent="0.25">
      <c r="A191" t="s">
        <v>616</v>
      </c>
      <c r="B191" t="s">
        <v>617</v>
      </c>
      <c r="C191" t="s">
        <v>281</v>
      </c>
      <c r="D191" t="s">
        <v>282</v>
      </c>
      <c r="E191">
        <v>10</v>
      </c>
      <c r="F191">
        <v>795</v>
      </c>
      <c r="G191">
        <v>130</v>
      </c>
      <c r="H191">
        <v>7679</v>
      </c>
      <c r="I191">
        <v>0.87811774876382798</v>
      </c>
      <c r="J191">
        <v>1</v>
      </c>
      <c r="K191">
        <v>0.74300919206579596</v>
      </c>
      <c r="L191" t="s">
        <v>618</v>
      </c>
      <c r="M191" t="str">
        <f>HYPERLINK("../../3.KEGG_map/SCI_I-vs-NC-Up/rno04915.html","rno04915")</f>
        <v>rno04915</v>
      </c>
    </row>
    <row r="192" spans="1:13" x14ac:dyDescent="0.25">
      <c r="A192" t="s">
        <v>619</v>
      </c>
      <c r="B192" t="s">
        <v>620</v>
      </c>
      <c r="C192" t="s">
        <v>281</v>
      </c>
      <c r="D192" t="s">
        <v>282</v>
      </c>
      <c r="E192">
        <v>9</v>
      </c>
      <c r="F192">
        <v>795</v>
      </c>
      <c r="G192">
        <v>98</v>
      </c>
      <c r="H192">
        <v>7679</v>
      </c>
      <c r="I192">
        <v>0.69774681199656596</v>
      </c>
      <c r="J192">
        <v>1</v>
      </c>
      <c r="K192">
        <v>0.88706199460916402</v>
      </c>
      <c r="L192" t="s">
        <v>621</v>
      </c>
      <c r="M192" t="str">
        <f>HYPERLINK("../../3.KEGG_map/SCI_I-vs-NC-Up/rno04916.html","rno04916")</f>
        <v>rno04916</v>
      </c>
    </row>
    <row r="193" spans="1:13" x14ac:dyDescent="0.25">
      <c r="A193" t="s">
        <v>622</v>
      </c>
      <c r="B193" t="s">
        <v>623</v>
      </c>
      <c r="C193" t="s">
        <v>281</v>
      </c>
      <c r="D193" t="s">
        <v>282</v>
      </c>
      <c r="E193">
        <v>2</v>
      </c>
      <c r="F193">
        <v>795</v>
      </c>
      <c r="G193">
        <v>72</v>
      </c>
      <c r="H193">
        <v>7679</v>
      </c>
      <c r="I193">
        <v>0.99654058721246597</v>
      </c>
      <c r="J193">
        <v>1</v>
      </c>
      <c r="K193">
        <v>0.26830887491264799</v>
      </c>
      <c r="L193" t="s">
        <v>624</v>
      </c>
      <c r="M193" t="str">
        <f>HYPERLINK("../../3.KEGG_map/SCI_I-vs-NC-Up/rno04917.html","rno04917")</f>
        <v>rno04917</v>
      </c>
    </row>
    <row r="194" spans="1:13" x14ac:dyDescent="0.25">
      <c r="A194" t="s">
        <v>625</v>
      </c>
      <c r="B194" t="s">
        <v>626</v>
      </c>
      <c r="C194" t="s">
        <v>281</v>
      </c>
      <c r="D194" t="s">
        <v>282</v>
      </c>
      <c r="E194">
        <v>10</v>
      </c>
      <c r="F194">
        <v>795</v>
      </c>
      <c r="G194">
        <v>72</v>
      </c>
      <c r="H194">
        <v>7679</v>
      </c>
      <c r="I194">
        <v>0.20754997237349099</v>
      </c>
      <c r="J194">
        <v>0.52699645159181996</v>
      </c>
      <c r="K194">
        <v>1.34154437456324</v>
      </c>
      <c r="L194" t="s">
        <v>627</v>
      </c>
      <c r="M194" t="str">
        <f>HYPERLINK("../../3.KEGG_map/SCI_I-vs-NC-Up/rno04918.html","rno04918")</f>
        <v>rno04918</v>
      </c>
    </row>
    <row r="195" spans="1:13" x14ac:dyDescent="0.25">
      <c r="A195" t="s">
        <v>628</v>
      </c>
      <c r="B195" t="s">
        <v>629</v>
      </c>
      <c r="C195" t="s">
        <v>281</v>
      </c>
      <c r="D195" t="s">
        <v>282</v>
      </c>
      <c r="E195">
        <v>9</v>
      </c>
      <c r="F195">
        <v>795</v>
      </c>
      <c r="G195">
        <v>117</v>
      </c>
      <c r="H195">
        <v>7679</v>
      </c>
      <c r="I195">
        <v>0.86808369598671797</v>
      </c>
      <c r="J195">
        <v>1</v>
      </c>
      <c r="K195">
        <v>0.74300919206579596</v>
      </c>
      <c r="L195" t="s">
        <v>630</v>
      </c>
      <c r="M195" t="str">
        <f>HYPERLINK("../../3.KEGG_map/SCI_I-vs-NC-Up/rno04919.html","rno04919")</f>
        <v>rno04919</v>
      </c>
    </row>
    <row r="196" spans="1:13" x14ac:dyDescent="0.25">
      <c r="A196" t="s">
        <v>631</v>
      </c>
      <c r="B196" t="s">
        <v>632</v>
      </c>
      <c r="C196" t="s">
        <v>281</v>
      </c>
      <c r="D196" t="s">
        <v>282</v>
      </c>
      <c r="E196">
        <v>6</v>
      </c>
      <c r="F196">
        <v>795</v>
      </c>
      <c r="G196">
        <v>71</v>
      </c>
      <c r="H196">
        <v>7679</v>
      </c>
      <c r="I196">
        <v>0.75776989764865998</v>
      </c>
      <c r="J196">
        <v>1</v>
      </c>
      <c r="K196">
        <v>0.81626361945256398</v>
      </c>
      <c r="L196" t="s">
        <v>633</v>
      </c>
      <c r="M196" t="str">
        <f>HYPERLINK("../../3.KEGG_map/SCI_I-vs-NC-Up/rno04920.html","rno04920")</f>
        <v>rno04920</v>
      </c>
    </row>
    <row r="197" spans="1:13" x14ac:dyDescent="0.25">
      <c r="A197" t="s">
        <v>634</v>
      </c>
      <c r="B197" t="s">
        <v>635</v>
      </c>
      <c r="C197" t="s">
        <v>281</v>
      </c>
      <c r="D197" t="s">
        <v>282</v>
      </c>
      <c r="E197">
        <v>12</v>
      </c>
      <c r="F197">
        <v>795</v>
      </c>
      <c r="G197">
        <v>152</v>
      </c>
      <c r="H197">
        <v>7679</v>
      </c>
      <c r="I197">
        <v>0.87551380381648403</v>
      </c>
      <c r="J197">
        <v>1</v>
      </c>
      <c r="K197">
        <v>0.76256206554121198</v>
      </c>
      <c r="L197" t="s">
        <v>636</v>
      </c>
      <c r="M197" t="str">
        <f>HYPERLINK("../../3.KEGG_map/SCI_I-vs-NC-Up/rno04921.html","rno04921")</f>
        <v>rno04921</v>
      </c>
    </row>
    <row r="198" spans="1:13" x14ac:dyDescent="0.25">
      <c r="A198" t="s">
        <v>637</v>
      </c>
      <c r="B198" t="s">
        <v>638</v>
      </c>
      <c r="C198" t="s">
        <v>281</v>
      </c>
      <c r="D198" t="s">
        <v>282</v>
      </c>
      <c r="E198">
        <v>6</v>
      </c>
      <c r="F198">
        <v>795</v>
      </c>
      <c r="G198">
        <v>100</v>
      </c>
      <c r="H198">
        <v>7679</v>
      </c>
      <c r="I198">
        <v>0.95489080490629497</v>
      </c>
      <c r="J198">
        <v>1</v>
      </c>
      <c r="K198">
        <v>0.57954716981132104</v>
      </c>
      <c r="L198" t="s">
        <v>639</v>
      </c>
      <c r="M198" t="str">
        <f>HYPERLINK("../../3.KEGG_map/SCI_I-vs-NC-Up/rno04922.html","rno04922")</f>
        <v>rno04922</v>
      </c>
    </row>
    <row r="199" spans="1:13" x14ac:dyDescent="0.25">
      <c r="A199" t="s">
        <v>640</v>
      </c>
      <c r="B199" t="s">
        <v>641</v>
      </c>
      <c r="C199" t="s">
        <v>281</v>
      </c>
      <c r="D199" t="s">
        <v>282</v>
      </c>
      <c r="E199">
        <v>6</v>
      </c>
      <c r="F199">
        <v>795</v>
      </c>
      <c r="G199">
        <v>55</v>
      </c>
      <c r="H199">
        <v>7679</v>
      </c>
      <c r="I199">
        <v>0.51077874479404795</v>
      </c>
      <c r="J199">
        <v>0.91501468392553398</v>
      </c>
      <c r="K199">
        <v>1.0537221269296699</v>
      </c>
      <c r="L199" t="s">
        <v>642</v>
      </c>
      <c r="M199" t="str">
        <f>HYPERLINK("../../3.KEGG_map/SCI_I-vs-NC-Up/rno04923.html","rno04923")</f>
        <v>rno04923</v>
      </c>
    </row>
    <row r="200" spans="1:13" x14ac:dyDescent="0.25">
      <c r="A200" t="s">
        <v>643</v>
      </c>
      <c r="B200" t="s">
        <v>644</v>
      </c>
      <c r="C200" t="s">
        <v>281</v>
      </c>
      <c r="D200" t="s">
        <v>282</v>
      </c>
      <c r="E200">
        <v>11</v>
      </c>
      <c r="F200">
        <v>795</v>
      </c>
      <c r="G200">
        <v>68</v>
      </c>
      <c r="H200">
        <v>7679</v>
      </c>
      <c r="I200">
        <v>8.8714255113164706E-2</v>
      </c>
      <c r="J200">
        <v>0.281571331446132</v>
      </c>
      <c r="K200">
        <v>1.5625046244913099</v>
      </c>
      <c r="L200" t="s">
        <v>645</v>
      </c>
      <c r="M200" t="str">
        <f>HYPERLINK("../../3.KEGG_map/SCI_I-vs-NC-Up/rno04924.html","rno04924")</f>
        <v>rno04924</v>
      </c>
    </row>
    <row r="201" spans="1:13" x14ac:dyDescent="0.25">
      <c r="A201" t="s">
        <v>646</v>
      </c>
      <c r="B201" t="s">
        <v>647</v>
      </c>
      <c r="C201" t="s">
        <v>281</v>
      </c>
      <c r="D201" t="s">
        <v>282</v>
      </c>
      <c r="E201">
        <v>9</v>
      </c>
      <c r="F201">
        <v>795</v>
      </c>
      <c r="G201">
        <v>94</v>
      </c>
      <c r="H201">
        <v>7679</v>
      </c>
      <c r="I201">
        <v>0.64873294587107999</v>
      </c>
      <c r="J201">
        <v>1</v>
      </c>
      <c r="K201">
        <v>0.92480931352870299</v>
      </c>
      <c r="L201" t="s">
        <v>648</v>
      </c>
      <c r="M201" t="str">
        <f>HYPERLINK("../../3.KEGG_map/SCI_I-vs-NC-Up/rno04925.html","rno04925")</f>
        <v>rno04925</v>
      </c>
    </row>
    <row r="202" spans="1:13" x14ac:dyDescent="0.25">
      <c r="A202" t="s">
        <v>649</v>
      </c>
      <c r="B202" t="s">
        <v>650</v>
      </c>
      <c r="C202" t="s">
        <v>281</v>
      </c>
      <c r="D202" t="s">
        <v>282</v>
      </c>
      <c r="E202">
        <v>23</v>
      </c>
      <c r="F202">
        <v>795</v>
      </c>
      <c r="G202">
        <v>126</v>
      </c>
      <c r="H202">
        <v>7679</v>
      </c>
      <c r="I202">
        <v>4.7292323087238901E-3</v>
      </c>
      <c r="J202">
        <v>2.64421755242303E-2</v>
      </c>
      <c r="K202">
        <v>1.76317260656883</v>
      </c>
      <c r="L202" t="s">
        <v>651</v>
      </c>
      <c r="M202" t="str">
        <f>HYPERLINK("../../3.KEGG_map/SCI_I-vs-NC-Up/rno04926.html","rno04926")</f>
        <v>rno04926</v>
      </c>
    </row>
    <row r="203" spans="1:13" x14ac:dyDescent="0.25">
      <c r="A203" t="s">
        <v>652</v>
      </c>
      <c r="B203" t="s">
        <v>653</v>
      </c>
      <c r="C203" t="s">
        <v>281</v>
      </c>
      <c r="D203" t="s">
        <v>282</v>
      </c>
      <c r="E203">
        <v>7</v>
      </c>
      <c r="F203">
        <v>795</v>
      </c>
      <c r="G203">
        <v>63</v>
      </c>
      <c r="H203">
        <v>7679</v>
      </c>
      <c r="I203">
        <v>0.48173723531908402</v>
      </c>
      <c r="J203">
        <v>0.90171328662289996</v>
      </c>
      <c r="K203">
        <v>1.07323549965059</v>
      </c>
      <c r="L203" t="s">
        <v>654</v>
      </c>
      <c r="M203" t="str">
        <f>HYPERLINK("../../3.KEGG_map/SCI_I-vs-NC-Up/rno04927.html","rno04927")</f>
        <v>rno04927</v>
      </c>
    </row>
    <row r="204" spans="1:13" x14ac:dyDescent="0.25">
      <c r="A204" t="s">
        <v>655</v>
      </c>
      <c r="B204" t="s">
        <v>656</v>
      </c>
      <c r="C204" t="s">
        <v>235</v>
      </c>
      <c r="D204" t="s">
        <v>657</v>
      </c>
      <c r="E204">
        <v>3</v>
      </c>
      <c r="F204">
        <v>795</v>
      </c>
      <c r="G204">
        <v>47</v>
      </c>
      <c r="H204">
        <v>7679</v>
      </c>
      <c r="I204">
        <v>0.87824782566544402</v>
      </c>
      <c r="J204">
        <v>1</v>
      </c>
      <c r="K204">
        <v>0.61653954235246899</v>
      </c>
      <c r="L204" t="s">
        <v>658</v>
      </c>
      <c r="M204" t="str">
        <f>HYPERLINK("../../3.KEGG_map/SCI_I-vs-NC-Up/rno04930.html","rno04930")</f>
        <v>rno04930</v>
      </c>
    </row>
    <row r="205" spans="1:13" x14ac:dyDescent="0.25">
      <c r="A205" t="s">
        <v>659</v>
      </c>
      <c r="B205" t="s">
        <v>660</v>
      </c>
      <c r="C205" t="s">
        <v>235</v>
      </c>
      <c r="D205" t="s">
        <v>657</v>
      </c>
      <c r="E205">
        <v>7</v>
      </c>
      <c r="F205">
        <v>795</v>
      </c>
      <c r="G205">
        <v>108</v>
      </c>
      <c r="H205">
        <v>7679</v>
      </c>
      <c r="I205">
        <v>0.94003592869102803</v>
      </c>
      <c r="J205">
        <v>1</v>
      </c>
      <c r="K205">
        <v>0.62605404146284604</v>
      </c>
      <c r="L205" t="s">
        <v>661</v>
      </c>
      <c r="M205" t="str">
        <f>HYPERLINK("../../3.KEGG_map/SCI_I-vs-NC-Up/rno04931.html","rno04931")</f>
        <v>rno04931</v>
      </c>
    </row>
    <row r="206" spans="1:13" x14ac:dyDescent="0.25">
      <c r="A206" t="s">
        <v>662</v>
      </c>
      <c r="B206" t="s">
        <v>663</v>
      </c>
      <c r="C206" t="s">
        <v>235</v>
      </c>
      <c r="D206" t="s">
        <v>657</v>
      </c>
      <c r="E206">
        <v>9</v>
      </c>
      <c r="F206">
        <v>795</v>
      </c>
      <c r="G206">
        <v>145</v>
      </c>
      <c r="H206">
        <v>7679</v>
      </c>
      <c r="I206">
        <v>0.97082594563945301</v>
      </c>
      <c r="J206">
        <v>1</v>
      </c>
      <c r="K206">
        <v>0.59953155497722799</v>
      </c>
      <c r="L206" t="s">
        <v>664</v>
      </c>
      <c r="M206" t="str">
        <f>HYPERLINK("../../3.KEGG_map/SCI_I-vs-NC-Up/rno04932.html","rno04932")</f>
        <v>rno04932</v>
      </c>
    </row>
    <row r="207" spans="1:13" x14ac:dyDescent="0.25">
      <c r="A207" t="s">
        <v>665</v>
      </c>
      <c r="B207" t="s">
        <v>666</v>
      </c>
      <c r="C207" t="s">
        <v>235</v>
      </c>
      <c r="D207" t="s">
        <v>657</v>
      </c>
      <c r="E207">
        <v>26</v>
      </c>
      <c r="F207">
        <v>795</v>
      </c>
      <c r="G207">
        <v>99</v>
      </c>
      <c r="H207">
        <v>7679</v>
      </c>
      <c r="I207" s="1">
        <v>5.3064581819499701E-6</v>
      </c>
      <c r="J207" s="1">
        <v>8.1551883638388906E-5</v>
      </c>
      <c r="K207">
        <v>2.5367384537195901</v>
      </c>
      <c r="L207" t="s">
        <v>667</v>
      </c>
      <c r="M207" t="str">
        <f>HYPERLINK("../../3.KEGG_map/SCI_I-vs-NC-Up/rno04933.html","rno04933")</f>
        <v>rno04933</v>
      </c>
    </row>
    <row r="208" spans="1:13" x14ac:dyDescent="0.25">
      <c r="A208" t="s">
        <v>668</v>
      </c>
      <c r="B208" t="s">
        <v>669</v>
      </c>
      <c r="C208" t="s">
        <v>235</v>
      </c>
      <c r="D208" t="s">
        <v>657</v>
      </c>
      <c r="E208">
        <v>13</v>
      </c>
      <c r="F208">
        <v>795</v>
      </c>
      <c r="G208">
        <v>153</v>
      </c>
      <c r="H208">
        <v>7679</v>
      </c>
      <c r="I208">
        <v>0.81307304914864897</v>
      </c>
      <c r="J208">
        <v>1</v>
      </c>
      <c r="K208">
        <v>0.82070949973280705</v>
      </c>
      <c r="L208" t="s">
        <v>670</v>
      </c>
      <c r="M208" t="str">
        <f>HYPERLINK("../../3.KEGG_map/SCI_I-vs-NC-Up/rno04934.html","rno04934")</f>
        <v>rno04934</v>
      </c>
    </row>
    <row r="209" spans="1:13" x14ac:dyDescent="0.25">
      <c r="A209" t="s">
        <v>671</v>
      </c>
      <c r="B209" t="s">
        <v>672</v>
      </c>
      <c r="C209" t="s">
        <v>235</v>
      </c>
      <c r="D209" t="s">
        <v>657</v>
      </c>
      <c r="E209">
        <v>12</v>
      </c>
      <c r="F209">
        <v>795</v>
      </c>
      <c r="G209">
        <v>60</v>
      </c>
      <c r="H209">
        <v>7679</v>
      </c>
      <c r="I209">
        <v>1.83364560293179E-2</v>
      </c>
      <c r="J209">
        <v>7.8738899420012096E-2</v>
      </c>
      <c r="K209">
        <v>1.9318238993710699</v>
      </c>
      <c r="L209" t="s">
        <v>673</v>
      </c>
      <c r="M209" t="str">
        <f>HYPERLINK("../../3.KEGG_map/SCI_I-vs-NC-Up/rno04940.html","rno04940")</f>
        <v>rno04940</v>
      </c>
    </row>
    <row r="210" spans="1:13" x14ac:dyDescent="0.25">
      <c r="A210" t="s">
        <v>674</v>
      </c>
      <c r="B210" t="s">
        <v>675</v>
      </c>
      <c r="C210" t="s">
        <v>281</v>
      </c>
      <c r="D210" t="s">
        <v>676</v>
      </c>
      <c r="E210">
        <v>4</v>
      </c>
      <c r="F210">
        <v>795</v>
      </c>
      <c r="G210">
        <v>38</v>
      </c>
      <c r="H210">
        <v>7679</v>
      </c>
      <c r="I210">
        <v>0.56416350576139696</v>
      </c>
      <c r="J210">
        <v>0.94675714759958496</v>
      </c>
      <c r="K210">
        <v>1.0167494207216199</v>
      </c>
      <c r="L210" t="s">
        <v>677</v>
      </c>
      <c r="M210" t="str">
        <f>HYPERLINK("../../3.KEGG_map/SCI_I-vs-NC-Up/rno04960.html","rno04960")</f>
        <v>rno04960</v>
      </c>
    </row>
    <row r="211" spans="1:13" x14ac:dyDescent="0.25">
      <c r="A211" t="s">
        <v>678</v>
      </c>
      <c r="B211" t="s">
        <v>679</v>
      </c>
      <c r="C211" t="s">
        <v>281</v>
      </c>
      <c r="D211" t="s">
        <v>676</v>
      </c>
      <c r="E211">
        <v>3</v>
      </c>
      <c r="F211">
        <v>795</v>
      </c>
      <c r="G211">
        <v>52</v>
      </c>
      <c r="H211">
        <v>7679</v>
      </c>
      <c r="I211">
        <v>0.91669398996323603</v>
      </c>
      <c r="J211">
        <v>1</v>
      </c>
      <c r="K211">
        <v>0.55725689404934697</v>
      </c>
      <c r="L211" t="s">
        <v>680</v>
      </c>
      <c r="M211" t="str">
        <f>HYPERLINK("../../3.KEGG_map/SCI_I-vs-NC-Up/rno04961.html","rno04961")</f>
        <v>rno04961</v>
      </c>
    </row>
    <row r="212" spans="1:13" x14ac:dyDescent="0.25">
      <c r="A212" t="s">
        <v>681</v>
      </c>
      <c r="B212" t="s">
        <v>682</v>
      </c>
      <c r="C212" t="s">
        <v>281</v>
      </c>
      <c r="D212" t="s">
        <v>676</v>
      </c>
      <c r="E212">
        <v>1</v>
      </c>
      <c r="F212">
        <v>795</v>
      </c>
      <c r="G212">
        <v>42</v>
      </c>
      <c r="H212">
        <v>7679</v>
      </c>
      <c r="I212">
        <v>0.98997982983524402</v>
      </c>
      <c r="J212">
        <v>1</v>
      </c>
      <c r="K212">
        <v>0.22997903563941299</v>
      </c>
      <c r="L212" t="s">
        <v>683</v>
      </c>
      <c r="M212" t="str">
        <f>HYPERLINK("../../3.KEGG_map/SCI_I-vs-NC-Up/rno04962.html","rno04962")</f>
        <v>rno04962</v>
      </c>
    </row>
    <row r="213" spans="1:13" x14ac:dyDescent="0.25">
      <c r="A213" t="s">
        <v>684</v>
      </c>
      <c r="B213" t="s">
        <v>685</v>
      </c>
      <c r="C213" t="s">
        <v>281</v>
      </c>
      <c r="D213" t="s">
        <v>676</v>
      </c>
      <c r="E213">
        <v>3</v>
      </c>
      <c r="F213">
        <v>795</v>
      </c>
      <c r="G213">
        <v>22</v>
      </c>
      <c r="H213">
        <v>7679</v>
      </c>
      <c r="I213">
        <v>0.40200121677018802</v>
      </c>
      <c r="J213">
        <v>0.81516913400621305</v>
      </c>
      <c r="K213">
        <v>1.3171526586620901</v>
      </c>
      <c r="L213" t="s">
        <v>686</v>
      </c>
      <c r="M213" t="str">
        <f>HYPERLINK("../../3.KEGG_map/SCI_I-vs-NC-Up/rno04964.html","rno04964")</f>
        <v>rno04964</v>
      </c>
    </row>
    <row r="214" spans="1:13" x14ac:dyDescent="0.25">
      <c r="A214" t="s">
        <v>687</v>
      </c>
      <c r="B214" t="s">
        <v>688</v>
      </c>
      <c r="C214" t="s">
        <v>281</v>
      </c>
      <c r="D214" t="s">
        <v>676</v>
      </c>
      <c r="E214">
        <v>3</v>
      </c>
      <c r="F214">
        <v>795</v>
      </c>
      <c r="G214">
        <v>27</v>
      </c>
      <c r="H214">
        <v>7679</v>
      </c>
      <c r="I214">
        <v>0.54012922407946695</v>
      </c>
      <c r="J214">
        <v>0.93930493399862502</v>
      </c>
      <c r="K214">
        <v>1.07323549965059</v>
      </c>
      <c r="L214" t="s">
        <v>689</v>
      </c>
      <c r="M214" t="str">
        <f>HYPERLINK("../../3.KEGG_map/SCI_I-vs-NC-Up/rno04966.html","rno04966")</f>
        <v>rno04966</v>
      </c>
    </row>
    <row r="215" spans="1:13" x14ac:dyDescent="0.25">
      <c r="A215" t="s">
        <v>690</v>
      </c>
      <c r="B215" t="s">
        <v>691</v>
      </c>
      <c r="C215" t="s">
        <v>281</v>
      </c>
      <c r="D215" t="s">
        <v>692</v>
      </c>
      <c r="E215">
        <v>12</v>
      </c>
      <c r="F215">
        <v>795</v>
      </c>
      <c r="G215">
        <v>76</v>
      </c>
      <c r="H215">
        <v>7679</v>
      </c>
      <c r="I215">
        <v>8.9807962916672798E-2</v>
      </c>
      <c r="J215">
        <v>0.28197769001793999</v>
      </c>
      <c r="K215">
        <v>1.52512413108242</v>
      </c>
      <c r="L215" t="s">
        <v>693</v>
      </c>
      <c r="M215" t="str">
        <f>HYPERLINK("../../3.KEGG_map/SCI_I-vs-NC-Up/rno04970.html","rno04970")</f>
        <v>rno04970</v>
      </c>
    </row>
    <row r="216" spans="1:13" x14ac:dyDescent="0.25">
      <c r="A216" t="s">
        <v>694</v>
      </c>
      <c r="B216" t="s">
        <v>695</v>
      </c>
      <c r="C216" t="s">
        <v>281</v>
      </c>
      <c r="D216" t="s">
        <v>692</v>
      </c>
      <c r="E216">
        <v>10</v>
      </c>
      <c r="F216">
        <v>795</v>
      </c>
      <c r="G216">
        <v>74</v>
      </c>
      <c r="H216">
        <v>7679</v>
      </c>
      <c r="I216">
        <v>0.23250796529564699</v>
      </c>
      <c r="J216">
        <v>0.56576938221940698</v>
      </c>
      <c r="K216">
        <v>1.3052864184939701</v>
      </c>
      <c r="L216" t="s">
        <v>696</v>
      </c>
      <c r="M216" t="str">
        <f>HYPERLINK("../../3.KEGG_map/SCI_I-vs-NC-Up/rno04971.html","rno04971")</f>
        <v>rno04971</v>
      </c>
    </row>
    <row r="217" spans="1:13" x14ac:dyDescent="0.25">
      <c r="A217" t="s">
        <v>697</v>
      </c>
      <c r="B217" t="s">
        <v>698</v>
      </c>
      <c r="C217" t="s">
        <v>281</v>
      </c>
      <c r="D217" t="s">
        <v>692</v>
      </c>
      <c r="E217">
        <v>17</v>
      </c>
      <c r="F217">
        <v>795</v>
      </c>
      <c r="G217">
        <v>98</v>
      </c>
      <c r="H217">
        <v>7679</v>
      </c>
      <c r="I217">
        <v>2.2466605844261099E-2</v>
      </c>
      <c r="J217">
        <v>9.5076071109046797E-2</v>
      </c>
      <c r="K217">
        <v>1.6755615453728701</v>
      </c>
      <c r="L217" t="s">
        <v>699</v>
      </c>
      <c r="M217" t="str">
        <f>HYPERLINK("../../3.KEGG_map/SCI_I-vs-NC-Up/rno04972.html","rno04972")</f>
        <v>rno04972</v>
      </c>
    </row>
    <row r="218" spans="1:13" x14ac:dyDescent="0.25">
      <c r="A218" t="s">
        <v>700</v>
      </c>
      <c r="B218" t="s">
        <v>701</v>
      </c>
      <c r="C218" t="s">
        <v>281</v>
      </c>
      <c r="D218" t="s">
        <v>692</v>
      </c>
      <c r="E218">
        <v>4</v>
      </c>
      <c r="F218">
        <v>795</v>
      </c>
      <c r="G218">
        <v>39</v>
      </c>
      <c r="H218">
        <v>7679</v>
      </c>
      <c r="I218">
        <v>0.58535926885315503</v>
      </c>
      <c r="J218">
        <v>0.96251965230943404</v>
      </c>
      <c r="K218">
        <v>0.99067892275439395</v>
      </c>
      <c r="L218" t="s">
        <v>702</v>
      </c>
      <c r="M218" t="str">
        <f>HYPERLINK("../../3.KEGG_map/SCI_I-vs-NC-Up/rno04973.html","rno04973")</f>
        <v>rno04973</v>
      </c>
    </row>
    <row r="219" spans="1:13" x14ac:dyDescent="0.25">
      <c r="A219" t="s">
        <v>703</v>
      </c>
      <c r="B219" t="s">
        <v>704</v>
      </c>
      <c r="C219" t="s">
        <v>281</v>
      </c>
      <c r="D219" t="s">
        <v>692</v>
      </c>
      <c r="E219">
        <v>22</v>
      </c>
      <c r="F219">
        <v>795</v>
      </c>
      <c r="G219">
        <v>87</v>
      </c>
      <c r="H219">
        <v>7679</v>
      </c>
      <c r="I219" s="1">
        <v>5.2364217322440001E-5</v>
      </c>
      <c r="J219">
        <v>6.6479788948489E-4</v>
      </c>
      <c r="K219">
        <v>2.4425359647220399</v>
      </c>
      <c r="L219" t="s">
        <v>705</v>
      </c>
      <c r="M219" t="str">
        <f>HYPERLINK("../../3.KEGG_map/SCI_I-vs-NC-Up/rno04974.html","rno04974")</f>
        <v>rno04974</v>
      </c>
    </row>
    <row r="220" spans="1:13" x14ac:dyDescent="0.25">
      <c r="A220" t="s">
        <v>706</v>
      </c>
      <c r="B220" t="s">
        <v>707</v>
      </c>
      <c r="C220" t="s">
        <v>281</v>
      </c>
      <c r="D220" t="s">
        <v>692</v>
      </c>
      <c r="E220">
        <v>3</v>
      </c>
      <c r="F220">
        <v>795</v>
      </c>
      <c r="G220">
        <v>40</v>
      </c>
      <c r="H220">
        <v>7679</v>
      </c>
      <c r="I220">
        <v>0.798360266414463</v>
      </c>
      <c r="J220">
        <v>1</v>
      </c>
      <c r="K220">
        <v>0.72443396226415102</v>
      </c>
      <c r="L220" t="s">
        <v>708</v>
      </c>
      <c r="M220" t="str">
        <f>HYPERLINK("../../3.KEGG_map/SCI_I-vs-NC-Up/rno04975.html","rno04975")</f>
        <v>rno04975</v>
      </c>
    </row>
    <row r="221" spans="1:13" x14ac:dyDescent="0.25">
      <c r="A221" t="s">
        <v>709</v>
      </c>
      <c r="B221" t="s">
        <v>710</v>
      </c>
      <c r="C221" t="s">
        <v>281</v>
      </c>
      <c r="D221" t="s">
        <v>692</v>
      </c>
      <c r="E221">
        <v>13</v>
      </c>
      <c r="F221">
        <v>795</v>
      </c>
      <c r="G221">
        <v>71</v>
      </c>
      <c r="H221">
        <v>7679</v>
      </c>
      <c r="I221">
        <v>2.8711549799580301E-2</v>
      </c>
      <c r="J221">
        <v>0.116441285298298</v>
      </c>
      <c r="K221">
        <v>1.76857117548056</v>
      </c>
      <c r="L221" t="s">
        <v>711</v>
      </c>
      <c r="M221" t="str">
        <f>HYPERLINK("../../3.KEGG_map/SCI_I-vs-NC-Up/rno04976.html","rno04976")</f>
        <v>rno04976</v>
      </c>
    </row>
    <row r="222" spans="1:13" x14ac:dyDescent="0.25">
      <c r="A222" t="s">
        <v>712</v>
      </c>
      <c r="B222" t="s">
        <v>713</v>
      </c>
      <c r="C222" t="s">
        <v>281</v>
      </c>
      <c r="D222" t="s">
        <v>692</v>
      </c>
      <c r="E222">
        <v>3</v>
      </c>
      <c r="F222">
        <v>795</v>
      </c>
      <c r="G222">
        <v>24</v>
      </c>
      <c r="H222">
        <v>7679</v>
      </c>
      <c r="I222">
        <v>0.45918822632657003</v>
      </c>
      <c r="J222">
        <v>0.875504694962705</v>
      </c>
      <c r="K222">
        <v>1.2073899371069201</v>
      </c>
      <c r="L222" t="s">
        <v>714</v>
      </c>
      <c r="M222" t="str">
        <f>HYPERLINK("../../3.KEGG_map/SCI_I-vs-NC-Up/rno04977.html","rno04977")</f>
        <v>rno04977</v>
      </c>
    </row>
    <row r="223" spans="1:13" x14ac:dyDescent="0.25">
      <c r="A223" t="s">
        <v>715</v>
      </c>
      <c r="B223" t="s">
        <v>716</v>
      </c>
      <c r="C223" t="s">
        <v>281</v>
      </c>
      <c r="D223" t="s">
        <v>692</v>
      </c>
      <c r="E223">
        <v>7</v>
      </c>
      <c r="F223">
        <v>795</v>
      </c>
      <c r="G223">
        <v>43</v>
      </c>
      <c r="H223">
        <v>7679</v>
      </c>
      <c r="I223">
        <v>0.151235660086392</v>
      </c>
      <c r="J223">
        <v>0.42462319947333199</v>
      </c>
      <c r="K223">
        <v>1.5724148018136599</v>
      </c>
      <c r="L223" t="s">
        <v>717</v>
      </c>
      <c r="M223" t="str">
        <f>HYPERLINK("../../3.KEGG_map/SCI_I-vs-NC-Up/rno04978.html","rno04978")</f>
        <v>rno04978</v>
      </c>
    </row>
    <row r="224" spans="1:13" x14ac:dyDescent="0.25">
      <c r="A224" t="s">
        <v>718</v>
      </c>
      <c r="B224" t="s">
        <v>719</v>
      </c>
      <c r="C224" t="s">
        <v>281</v>
      </c>
      <c r="D224" t="s">
        <v>692</v>
      </c>
      <c r="E224">
        <v>7</v>
      </c>
      <c r="F224">
        <v>795</v>
      </c>
      <c r="G224">
        <v>49</v>
      </c>
      <c r="H224">
        <v>7679</v>
      </c>
      <c r="I224">
        <v>0.240176797204082</v>
      </c>
      <c r="J224">
        <v>0.57960020482307295</v>
      </c>
      <c r="K224">
        <v>1.3798742138364799</v>
      </c>
      <c r="L224" t="s">
        <v>720</v>
      </c>
      <c r="M224" t="str">
        <f>HYPERLINK("../../3.KEGG_map/SCI_I-vs-NC-Up/rno04979.html","rno04979")</f>
        <v>rno04979</v>
      </c>
    </row>
    <row r="225" spans="1:13" x14ac:dyDescent="0.25">
      <c r="A225" t="s">
        <v>721</v>
      </c>
      <c r="B225" t="s">
        <v>722</v>
      </c>
      <c r="C225" t="s">
        <v>235</v>
      </c>
      <c r="D225" t="s">
        <v>723</v>
      </c>
      <c r="E225">
        <v>6</v>
      </c>
      <c r="F225">
        <v>795</v>
      </c>
      <c r="G225">
        <v>164</v>
      </c>
      <c r="H225">
        <v>7679</v>
      </c>
      <c r="I225">
        <v>0.99962112322322105</v>
      </c>
      <c r="J225">
        <v>1</v>
      </c>
      <c r="K225">
        <v>0.35338242061665898</v>
      </c>
      <c r="L225" t="s">
        <v>724</v>
      </c>
      <c r="M225" t="str">
        <f>HYPERLINK("../../3.KEGG_map/SCI_I-vs-NC-Up/rno05010.html","rno05010")</f>
        <v>rno05010</v>
      </c>
    </row>
    <row r="226" spans="1:13" x14ac:dyDescent="0.25">
      <c r="A226" t="s">
        <v>725</v>
      </c>
      <c r="B226" t="s">
        <v>726</v>
      </c>
      <c r="C226" t="s">
        <v>235</v>
      </c>
      <c r="D226" t="s">
        <v>723</v>
      </c>
      <c r="E226">
        <v>6</v>
      </c>
      <c r="F226">
        <v>795</v>
      </c>
      <c r="G226">
        <v>127</v>
      </c>
      <c r="H226">
        <v>7679</v>
      </c>
      <c r="I226">
        <v>0.99312775106986995</v>
      </c>
      <c r="J226">
        <v>1</v>
      </c>
      <c r="K226">
        <v>0.45633635418214202</v>
      </c>
      <c r="L226" t="s">
        <v>727</v>
      </c>
      <c r="M226" t="str">
        <f>HYPERLINK("../../3.KEGG_map/SCI_I-vs-NC-Up/rno05012.html","rno05012")</f>
        <v>rno05012</v>
      </c>
    </row>
    <row r="227" spans="1:13" x14ac:dyDescent="0.25">
      <c r="A227" t="s">
        <v>728</v>
      </c>
      <c r="B227" t="s">
        <v>729</v>
      </c>
      <c r="C227" t="s">
        <v>235</v>
      </c>
      <c r="D227" t="s">
        <v>723</v>
      </c>
      <c r="E227">
        <v>3</v>
      </c>
      <c r="F227">
        <v>795</v>
      </c>
      <c r="G227">
        <v>53</v>
      </c>
      <c r="H227">
        <v>7679</v>
      </c>
      <c r="I227">
        <v>0.92291046917686603</v>
      </c>
      <c r="J227">
        <v>1</v>
      </c>
      <c r="K227">
        <v>0.54674261302954796</v>
      </c>
      <c r="L227" t="s">
        <v>730</v>
      </c>
      <c r="M227" t="str">
        <f>HYPERLINK("../../3.KEGG_map/SCI_I-vs-NC-Up/rno05014.html","rno05014")</f>
        <v>rno05014</v>
      </c>
    </row>
    <row r="228" spans="1:13" x14ac:dyDescent="0.25">
      <c r="A228" t="s">
        <v>731</v>
      </c>
      <c r="B228" t="s">
        <v>732</v>
      </c>
      <c r="C228" t="s">
        <v>235</v>
      </c>
      <c r="D228" t="s">
        <v>723</v>
      </c>
      <c r="E228">
        <v>7</v>
      </c>
      <c r="F228">
        <v>795</v>
      </c>
      <c r="G228">
        <v>181</v>
      </c>
      <c r="H228">
        <v>7679</v>
      </c>
      <c r="I228">
        <v>0.99966405000881697</v>
      </c>
      <c r="J228">
        <v>1</v>
      </c>
      <c r="K228">
        <v>0.37355710761319</v>
      </c>
      <c r="L228" t="s">
        <v>733</v>
      </c>
      <c r="M228" t="str">
        <f>HYPERLINK("../../3.KEGG_map/SCI_I-vs-NC-Up/rno05016.html","rno05016")</f>
        <v>rno05016</v>
      </c>
    </row>
    <row r="229" spans="1:13" x14ac:dyDescent="0.25">
      <c r="A229" t="s">
        <v>734</v>
      </c>
      <c r="B229" t="s">
        <v>735</v>
      </c>
      <c r="C229" t="s">
        <v>235</v>
      </c>
      <c r="D229" t="s">
        <v>723</v>
      </c>
      <c r="E229">
        <v>11</v>
      </c>
      <c r="F229">
        <v>795</v>
      </c>
      <c r="G229">
        <v>34</v>
      </c>
      <c r="H229">
        <v>7679</v>
      </c>
      <c r="I229">
        <v>4.1674490919654599E-4</v>
      </c>
      <c r="J229">
        <v>3.63732515227437E-3</v>
      </c>
      <c r="K229">
        <v>3.12500924898261</v>
      </c>
      <c r="L229" t="s">
        <v>736</v>
      </c>
      <c r="M229" t="str">
        <f>HYPERLINK("../../3.KEGG_map/SCI_I-vs-NC-Up/rno05020.html","rno05020")</f>
        <v>rno05020</v>
      </c>
    </row>
    <row r="230" spans="1:13" x14ac:dyDescent="0.25">
      <c r="A230" t="s">
        <v>737</v>
      </c>
      <c r="B230" t="s">
        <v>738</v>
      </c>
      <c r="C230" t="s">
        <v>235</v>
      </c>
      <c r="D230" t="s">
        <v>739</v>
      </c>
      <c r="E230">
        <v>3</v>
      </c>
      <c r="F230">
        <v>795</v>
      </c>
      <c r="G230">
        <v>47</v>
      </c>
      <c r="H230">
        <v>7679</v>
      </c>
      <c r="I230">
        <v>0.87824782566544402</v>
      </c>
      <c r="J230">
        <v>1</v>
      </c>
      <c r="K230">
        <v>0.61653954235246899</v>
      </c>
      <c r="L230" t="s">
        <v>740</v>
      </c>
      <c r="M230" t="str">
        <f>HYPERLINK("../../3.KEGG_map/SCI_I-vs-NC-Up/rno05030.html","rno05030")</f>
        <v>rno05030</v>
      </c>
    </row>
    <row r="231" spans="1:13" x14ac:dyDescent="0.25">
      <c r="A231" t="s">
        <v>741</v>
      </c>
      <c r="B231" t="s">
        <v>742</v>
      </c>
      <c r="C231" t="s">
        <v>235</v>
      </c>
      <c r="D231" t="s">
        <v>739</v>
      </c>
      <c r="E231">
        <v>4</v>
      </c>
      <c r="F231">
        <v>795</v>
      </c>
      <c r="G231">
        <v>66</v>
      </c>
      <c r="H231">
        <v>7679</v>
      </c>
      <c r="I231">
        <v>0.92151976849200201</v>
      </c>
      <c r="J231">
        <v>1</v>
      </c>
      <c r="K231">
        <v>0.58540118162759702</v>
      </c>
      <c r="L231" t="s">
        <v>743</v>
      </c>
      <c r="M231" t="str">
        <f>HYPERLINK("../../3.KEGG_map/SCI_I-vs-NC-Up/rno05031.html","rno05031")</f>
        <v>rno05031</v>
      </c>
    </row>
    <row r="232" spans="1:13" x14ac:dyDescent="0.25">
      <c r="A232" t="s">
        <v>744</v>
      </c>
      <c r="B232" t="s">
        <v>745</v>
      </c>
      <c r="C232" t="s">
        <v>235</v>
      </c>
      <c r="D232" t="s">
        <v>739</v>
      </c>
      <c r="E232">
        <v>11</v>
      </c>
      <c r="F232">
        <v>795</v>
      </c>
      <c r="G232">
        <v>90</v>
      </c>
      <c r="H232">
        <v>7679</v>
      </c>
      <c r="I232">
        <v>0.32686604207417802</v>
      </c>
      <c r="J232">
        <v>0.72306730519439399</v>
      </c>
      <c r="K232">
        <v>1.1805590496156499</v>
      </c>
      <c r="L232" t="s">
        <v>746</v>
      </c>
      <c r="M232" t="str">
        <f>HYPERLINK("../../3.KEGG_map/SCI_I-vs-NC-Up/rno05032.html","rno05032")</f>
        <v>rno05032</v>
      </c>
    </row>
    <row r="233" spans="1:13" x14ac:dyDescent="0.25">
      <c r="A233" t="s">
        <v>747</v>
      </c>
      <c r="B233" t="s">
        <v>748</v>
      </c>
      <c r="C233" t="s">
        <v>235</v>
      </c>
      <c r="D233" t="s">
        <v>739</v>
      </c>
      <c r="E233">
        <v>5</v>
      </c>
      <c r="F233">
        <v>795</v>
      </c>
      <c r="G233">
        <v>40</v>
      </c>
      <c r="H233">
        <v>7679</v>
      </c>
      <c r="I233">
        <v>0.40009678602584198</v>
      </c>
      <c r="J233">
        <v>0.81516913400621305</v>
      </c>
      <c r="K233">
        <v>1.2073899371069201</v>
      </c>
      <c r="L233" t="s">
        <v>749</v>
      </c>
      <c r="M233" t="str">
        <f>HYPERLINK("../../3.KEGG_map/SCI_I-vs-NC-Up/rno05033.html","rno05033")</f>
        <v>rno05033</v>
      </c>
    </row>
    <row r="234" spans="1:13" x14ac:dyDescent="0.25">
      <c r="A234" t="s">
        <v>750</v>
      </c>
      <c r="B234" t="s">
        <v>751</v>
      </c>
      <c r="C234" t="s">
        <v>235</v>
      </c>
      <c r="D234" t="s">
        <v>739</v>
      </c>
      <c r="E234">
        <v>33</v>
      </c>
      <c r="F234">
        <v>795</v>
      </c>
      <c r="G234">
        <v>143</v>
      </c>
      <c r="H234">
        <v>7679</v>
      </c>
      <c r="I234" s="1">
        <v>6.5910877370556799E-6</v>
      </c>
      <c r="J234" s="1">
        <v>9.6229880961012896E-5</v>
      </c>
      <c r="K234">
        <v>2.2290275761973901</v>
      </c>
      <c r="L234" t="s">
        <v>752</v>
      </c>
      <c r="M234" t="str">
        <f>HYPERLINK("../../3.KEGG_map/SCI_I-vs-NC-Up/rno05034.html","rno05034")</f>
        <v>rno05034</v>
      </c>
    </row>
    <row r="235" spans="1:13" x14ac:dyDescent="0.25">
      <c r="A235" t="s">
        <v>753</v>
      </c>
      <c r="B235" t="s">
        <v>754</v>
      </c>
      <c r="C235" t="s">
        <v>235</v>
      </c>
      <c r="D235" t="s">
        <v>755</v>
      </c>
      <c r="E235">
        <v>9</v>
      </c>
      <c r="F235">
        <v>795</v>
      </c>
      <c r="G235">
        <v>75</v>
      </c>
      <c r="H235">
        <v>7679</v>
      </c>
      <c r="I235">
        <v>0.37241729994911599</v>
      </c>
      <c r="J235">
        <v>0.782344256008216</v>
      </c>
      <c r="K235">
        <v>1.1590943396226401</v>
      </c>
      <c r="L235" t="s">
        <v>756</v>
      </c>
      <c r="M235" t="str">
        <f>HYPERLINK("../../3.KEGG_map/SCI_I-vs-NC-Up/rno05100.html","rno05100")</f>
        <v>rno05100</v>
      </c>
    </row>
    <row r="236" spans="1:13" x14ac:dyDescent="0.25">
      <c r="A236" t="s">
        <v>757</v>
      </c>
      <c r="B236" t="s">
        <v>758</v>
      </c>
      <c r="C236" t="s">
        <v>235</v>
      </c>
      <c r="D236" t="s">
        <v>755</v>
      </c>
      <c r="E236">
        <v>15</v>
      </c>
      <c r="F236">
        <v>795</v>
      </c>
      <c r="G236">
        <v>80</v>
      </c>
      <c r="H236">
        <v>7679</v>
      </c>
      <c r="I236">
        <v>1.60411700250471E-2</v>
      </c>
      <c r="J236">
        <v>7.31878382392772E-2</v>
      </c>
      <c r="K236">
        <v>1.8110849056603799</v>
      </c>
      <c r="L236" t="s">
        <v>759</v>
      </c>
      <c r="M236" t="str">
        <f>HYPERLINK("../../3.KEGG_map/SCI_I-vs-NC-Up/rno05132.html","rno05132")</f>
        <v>rno05132</v>
      </c>
    </row>
    <row r="237" spans="1:13" x14ac:dyDescent="0.25">
      <c r="A237" t="s">
        <v>760</v>
      </c>
      <c r="B237" t="s">
        <v>761</v>
      </c>
      <c r="C237" t="s">
        <v>235</v>
      </c>
      <c r="D237" t="s">
        <v>755</v>
      </c>
      <c r="E237">
        <v>22</v>
      </c>
      <c r="F237">
        <v>795</v>
      </c>
      <c r="G237">
        <v>72</v>
      </c>
      <c r="H237">
        <v>7679</v>
      </c>
      <c r="I237" s="1">
        <v>1.8681682545178601E-6</v>
      </c>
      <c r="J237" s="1">
        <v>3.4094070644950999E-5</v>
      </c>
      <c r="K237">
        <v>2.9513976240391302</v>
      </c>
      <c r="L237" t="s">
        <v>762</v>
      </c>
      <c r="M237" t="str">
        <f>HYPERLINK("../../3.KEGG_map/SCI_I-vs-NC-Up/rno05133.html","rno05133")</f>
        <v>rno05133</v>
      </c>
    </row>
    <row r="238" spans="1:13" x14ac:dyDescent="0.25">
      <c r="A238" t="s">
        <v>763</v>
      </c>
      <c r="B238" t="s">
        <v>764</v>
      </c>
      <c r="C238" t="s">
        <v>235</v>
      </c>
      <c r="D238" t="s">
        <v>755</v>
      </c>
      <c r="E238">
        <v>14</v>
      </c>
      <c r="F238">
        <v>795</v>
      </c>
      <c r="G238">
        <v>53</v>
      </c>
      <c r="H238">
        <v>7679</v>
      </c>
      <c r="I238">
        <v>7.3938874435358105E-4</v>
      </c>
      <c r="J238">
        <v>6.1686146671784499E-3</v>
      </c>
      <c r="K238">
        <v>2.5514655274712199</v>
      </c>
      <c r="L238" t="s">
        <v>765</v>
      </c>
      <c r="M238" t="str">
        <f>HYPERLINK("../../3.KEGG_map/SCI_I-vs-NC-Up/rno05134.html","rno05134")</f>
        <v>rno05134</v>
      </c>
    </row>
    <row r="239" spans="1:13" x14ac:dyDescent="0.25">
      <c r="A239" t="s">
        <v>766</v>
      </c>
      <c r="B239" t="s">
        <v>767</v>
      </c>
      <c r="C239" t="s">
        <v>235</v>
      </c>
      <c r="D239" t="s">
        <v>768</v>
      </c>
      <c r="E239">
        <v>26</v>
      </c>
      <c r="F239">
        <v>795</v>
      </c>
      <c r="G239">
        <v>65</v>
      </c>
      <c r="H239">
        <v>7679</v>
      </c>
      <c r="I239" s="1">
        <v>3.2302982541932801E-10</v>
      </c>
      <c r="J239" s="1">
        <v>1.34749584317777E-8</v>
      </c>
      <c r="K239">
        <v>3.8636477987421398</v>
      </c>
      <c r="L239" t="s">
        <v>769</v>
      </c>
      <c r="M239" t="str">
        <f>HYPERLINK("../../3.KEGG_map/SCI_I-vs-NC-Up/rno05140.html","rno05140")</f>
        <v>rno05140</v>
      </c>
    </row>
    <row r="240" spans="1:13" x14ac:dyDescent="0.25">
      <c r="A240" t="s">
        <v>770</v>
      </c>
      <c r="B240" t="s">
        <v>771</v>
      </c>
      <c r="C240" t="s">
        <v>235</v>
      </c>
      <c r="D240" t="s">
        <v>768</v>
      </c>
      <c r="E240">
        <v>23</v>
      </c>
      <c r="F240">
        <v>795</v>
      </c>
      <c r="G240">
        <v>101</v>
      </c>
      <c r="H240">
        <v>7679</v>
      </c>
      <c r="I240">
        <v>2.0042342898433899E-4</v>
      </c>
      <c r="J240">
        <v>2.0180565952905801E-3</v>
      </c>
      <c r="K240">
        <v>2.1996014695809198</v>
      </c>
      <c r="L240" t="s">
        <v>772</v>
      </c>
      <c r="M240" t="str">
        <f>HYPERLINK("../../3.KEGG_map/SCI_I-vs-NC-Up/rno05142.html","rno05142")</f>
        <v>rno05142</v>
      </c>
    </row>
    <row r="241" spans="1:13" x14ac:dyDescent="0.25">
      <c r="A241" t="s">
        <v>773</v>
      </c>
      <c r="B241" t="s">
        <v>774</v>
      </c>
      <c r="C241" t="s">
        <v>235</v>
      </c>
      <c r="D241" t="s">
        <v>768</v>
      </c>
      <c r="E241">
        <v>11</v>
      </c>
      <c r="F241">
        <v>795</v>
      </c>
      <c r="G241">
        <v>34</v>
      </c>
      <c r="H241">
        <v>7679</v>
      </c>
      <c r="I241">
        <v>4.1674490919654599E-4</v>
      </c>
      <c r="J241">
        <v>3.63732515227437E-3</v>
      </c>
      <c r="K241">
        <v>3.12500924898261</v>
      </c>
      <c r="L241" t="s">
        <v>775</v>
      </c>
      <c r="M241" t="str">
        <f>HYPERLINK("../../3.KEGG_map/SCI_I-vs-NC-Up/rno05143.html","rno05143")</f>
        <v>rno05143</v>
      </c>
    </row>
    <row r="242" spans="1:13" x14ac:dyDescent="0.25">
      <c r="A242" t="s">
        <v>776</v>
      </c>
      <c r="B242" t="s">
        <v>777</v>
      </c>
      <c r="C242" t="s">
        <v>235</v>
      </c>
      <c r="D242" t="s">
        <v>768</v>
      </c>
      <c r="E242">
        <v>26</v>
      </c>
      <c r="F242">
        <v>795</v>
      </c>
      <c r="G242">
        <v>52</v>
      </c>
      <c r="H242">
        <v>7679</v>
      </c>
      <c r="I242" s="1">
        <v>5.9881885200704704E-13</v>
      </c>
      <c r="J242" s="1">
        <v>3.4971020957211599E-11</v>
      </c>
      <c r="K242">
        <v>4.8295597484276698</v>
      </c>
      <c r="L242" t="s">
        <v>778</v>
      </c>
      <c r="M242" t="str">
        <f>HYPERLINK("../../3.KEGG_map/SCI_I-vs-NC-Up/rno05144.html","rno05144")</f>
        <v>rno05144</v>
      </c>
    </row>
    <row r="243" spans="1:13" x14ac:dyDescent="0.25">
      <c r="A243" t="s">
        <v>779</v>
      </c>
      <c r="B243" t="s">
        <v>780</v>
      </c>
      <c r="C243" t="s">
        <v>235</v>
      </c>
      <c r="D243" t="s">
        <v>768</v>
      </c>
      <c r="E243">
        <v>22</v>
      </c>
      <c r="F243">
        <v>795</v>
      </c>
      <c r="G243">
        <v>107</v>
      </c>
      <c r="H243">
        <v>7679</v>
      </c>
      <c r="I243">
        <v>1.2021559839241001E-3</v>
      </c>
      <c r="J243">
        <v>9.2376196659430497E-3</v>
      </c>
      <c r="K243">
        <v>1.9859871862693199</v>
      </c>
      <c r="L243" t="s">
        <v>781</v>
      </c>
      <c r="M243" t="str">
        <f>HYPERLINK("../../3.KEGG_map/SCI_I-vs-NC-Up/rno05145.html","rno05145")</f>
        <v>rno05145</v>
      </c>
    </row>
    <row r="244" spans="1:13" x14ac:dyDescent="0.25">
      <c r="A244" t="s">
        <v>782</v>
      </c>
      <c r="B244" t="s">
        <v>783</v>
      </c>
      <c r="C244" t="s">
        <v>235</v>
      </c>
      <c r="D244" t="s">
        <v>768</v>
      </c>
      <c r="E244">
        <v>28</v>
      </c>
      <c r="F244">
        <v>795</v>
      </c>
      <c r="G244">
        <v>96</v>
      </c>
      <c r="H244">
        <v>7679</v>
      </c>
      <c r="I244" s="1">
        <v>2.2300590982352899E-7</v>
      </c>
      <c r="J244" s="1">
        <v>5.4264771390391997E-6</v>
      </c>
      <c r="K244">
        <v>2.81724318658281</v>
      </c>
      <c r="L244" t="s">
        <v>784</v>
      </c>
      <c r="M244" t="str">
        <f>HYPERLINK("../../3.KEGG_map/SCI_I-vs-NC-Up/rno05146.html","rno05146")</f>
        <v>rno05146</v>
      </c>
    </row>
    <row r="245" spans="1:13" x14ac:dyDescent="0.25">
      <c r="A245" t="s">
        <v>785</v>
      </c>
      <c r="B245" t="s">
        <v>786</v>
      </c>
      <c r="C245" t="s">
        <v>235</v>
      </c>
      <c r="D245" t="s">
        <v>755</v>
      </c>
      <c r="E245">
        <v>27</v>
      </c>
      <c r="F245">
        <v>795</v>
      </c>
      <c r="G245">
        <v>46</v>
      </c>
      <c r="H245">
        <v>7679</v>
      </c>
      <c r="I245" s="1">
        <v>1.02645930630833E-15</v>
      </c>
      <c r="J245" s="1">
        <v>9.99087058140107E-14</v>
      </c>
      <c r="K245">
        <v>5.6694831829368297</v>
      </c>
      <c r="L245" t="s">
        <v>787</v>
      </c>
      <c r="M245" t="str">
        <f>HYPERLINK("../../3.KEGG_map/SCI_I-vs-NC-Up/rno05150.html","rno05150")</f>
        <v>rno05150</v>
      </c>
    </row>
    <row r="246" spans="1:13" x14ac:dyDescent="0.25">
      <c r="A246" t="s">
        <v>788</v>
      </c>
      <c r="B246" t="s">
        <v>789</v>
      </c>
      <c r="C246" t="s">
        <v>235</v>
      </c>
      <c r="D246" t="s">
        <v>755</v>
      </c>
      <c r="E246">
        <v>39</v>
      </c>
      <c r="F246">
        <v>795</v>
      </c>
      <c r="G246">
        <v>169</v>
      </c>
      <c r="H246">
        <v>7679</v>
      </c>
      <c r="I246" s="1">
        <v>9.6422887669989099E-7</v>
      </c>
      <c r="J246" s="1">
        <v>2.0111059428312001E-5</v>
      </c>
      <c r="K246">
        <v>2.2290275761973901</v>
      </c>
      <c r="L246" t="s">
        <v>790</v>
      </c>
      <c r="M246" t="str">
        <f>HYPERLINK("../../3.KEGG_map/SCI_I-vs-NC-Up/rno05152.html","rno05152")</f>
        <v>rno05152</v>
      </c>
    </row>
    <row r="247" spans="1:13" x14ac:dyDescent="0.25">
      <c r="A247" t="s">
        <v>791</v>
      </c>
      <c r="B247" t="s">
        <v>792</v>
      </c>
      <c r="C247" t="s">
        <v>235</v>
      </c>
      <c r="D247" t="s">
        <v>793</v>
      </c>
      <c r="E247">
        <v>9</v>
      </c>
      <c r="F247">
        <v>795</v>
      </c>
      <c r="G247">
        <v>122</v>
      </c>
      <c r="H247">
        <v>7679</v>
      </c>
      <c r="I247">
        <v>0.89691761426677696</v>
      </c>
      <c r="J247">
        <v>1</v>
      </c>
      <c r="K247">
        <v>0.71255799566965705</v>
      </c>
      <c r="L247" t="s">
        <v>794</v>
      </c>
      <c r="M247" t="str">
        <f>HYPERLINK("../../3.KEGG_map/SCI_I-vs-NC-Up/rno05160.html","rno05160")</f>
        <v>rno05160</v>
      </c>
    </row>
    <row r="248" spans="1:13" x14ac:dyDescent="0.25">
      <c r="A248" t="s">
        <v>795</v>
      </c>
      <c r="B248" t="s">
        <v>796</v>
      </c>
      <c r="C248" t="s">
        <v>235</v>
      </c>
      <c r="D248" t="s">
        <v>793</v>
      </c>
      <c r="E248">
        <v>18</v>
      </c>
      <c r="F248">
        <v>795</v>
      </c>
      <c r="G248">
        <v>134</v>
      </c>
      <c r="H248">
        <v>7679</v>
      </c>
      <c r="I248">
        <v>0.14984818318083501</v>
      </c>
      <c r="J248">
        <v>0.42462319947333199</v>
      </c>
      <c r="K248">
        <v>1.2974936637566901</v>
      </c>
      <c r="L248" t="s">
        <v>797</v>
      </c>
      <c r="M248" t="str">
        <f>HYPERLINK("../../3.KEGG_map/SCI_I-vs-NC-Up/rno05161.html","rno05161")</f>
        <v>rno05161</v>
      </c>
    </row>
    <row r="249" spans="1:13" x14ac:dyDescent="0.25">
      <c r="A249" t="s">
        <v>798</v>
      </c>
      <c r="B249" t="s">
        <v>799</v>
      </c>
      <c r="C249" t="s">
        <v>235</v>
      </c>
      <c r="D249" t="s">
        <v>793</v>
      </c>
      <c r="E249">
        <v>20</v>
      </c>
      <c r="F249">
        <v>795</v>
      </c>
      <c r="G249">
        <v>125</v>
      </c>
      <c r="H249">
        <v>7679</v>
      </c>
      <c r="I249">
        <v>3.1572470881849002E-2</v>
      </c>
      <c r="J249">
        <v>0.12458326347972799</v>
      </c>
      <c r="K249">
        <v>1.5454591194968601</v>
      </c>
      <c r="L249" t="s">
        <v>800</v>
      </c>
      <c r="M249" t="str">
        <f>HYPERLINK("../../3.KEGG_map/SCI_I-vs-NC-Up/rno05162.html","rno05162")</f>
        <v>rno05162</v>
      </c>
    </row>
    <row r="250" spans="1:13" x14ac:dyDescent="0.25">
      <c r="A250" t="s">
        <v>801</v>
      </c>
      <c r="B250" t="s">
        <v>802</v>
      </c>
      <c r="C250" t="s">
        <v>235</v>
      </c>
      <c r="D250" t="s">
        <v>793</v>
      </c>
      <c r="E250">
        <v>29</v>
      </c>
      <c r="F250">
        <v>795</v>
      </c>
      <c r="G250">
        <v>158</v>
      </c>
      <c r="H250">
        <v>7679</v>
      </c>
      <c r="I250">
        <v>1.4900029680622699E-3</v>
      </c>
      <c r="J250">
        <v>1.0772964449161201E-2</v>
      </c>
      <c r="K250">
        <v>1.77287636334687</v>
      </c>
      <c r="L250" t="s">
        <v>803</v>
      </c>
      <c r="M250" t="str">
        <f>HYPERLINK("../../3.KEGG_map/SCI_I-vs-NC-Up/rno05164.html","rno05164")</f>
        <v>rno05164</v>
      </c>
    </row>
    <row r="251" spans="1:13" x14ac:dyDescent="0.25">
      <c r="A251" t="s">
        <v>804</v>
      </c>
      <c r="B251" t="s">
        <v>805</v>
      </c>
      <c r="C251" t="s">
        <v>235</v>
      </c>
      <c r="D251" t="s">
        <v>793</v>
      </c>
      <c r="E251">
        <v>39</v>
      </c>
      <c r="F251">
        <v>795</v>
      </c>
      <c r="G251">
        <v>327</v>
      </c>
      <c r="H251">
        <v>7679</v>
      </c>
      <c r="I251">
        <v>0.19269557314880201</v>
      </c>
      <c r="J251">
        <v>0.497939003180974</v>
      </c>
      <c r="K251">
        <v>1.1520050776066</v>
      </c>
      <c r="L251" t="s">
        <v>806</v>
      </c>
      <c r="M251" t="str">
        <f>HYPERLINK("../../3.KEGG_map/SCI_I-vs-NC-Up/rno05165.html","rno05165")</f>
        <v>rno05165</v>
      </c>
    </row>
    <row r="252" spans="1:13" x14ac:dyDescent="0.25">
      <c r="A252" t="s">
        <v>807</v>
      </c>
      <c r="B252" t="s">
        <v>808</v>
      </c>
      <c r="C252" t="s">
        <v>235</v>
      </c>
      <c r="D252" t="s">
        <v>793</v>
      </c>
      <c r="E252">
        <v>48</v>
      </c>
      <c r="F252">
        <v>795</v>
      </c>
      <c r="G252">
        <v>269</v>
      </c>
      <c r="H252">
        <v>7679</v>
      </c>
      <c r="I252">
        <v>1.0187018420824399E-4</v>
      </c>
      <c r="J252">
        <v>1.1898437515522899E-3</v>
      </c>
      <c r="K252">
        <v>1.7235603563162001</v>
      </c>
      <c r="L252" t="s">
        <v>809</v>
      </c>
      <c r="M252" t="str">
        <f>HYPERLINK("../../3.KEGG_map/SCI_I-vs-NC-Up/rno05166.html","rno05166")</f>
        <v>rno05166</v>
      </c>
    </row>
    <row r="253" spans="1:13" x14ac:dyDescent="0.25">
      <c r="A253" t="s">
        <v>810</v>
      </c>
      <c r="B253" t="s">
        <v>811</v>
      </c>
      <c r="C253" t="s">
        <v>235</v>
      </c>
      <c r="D253" t="s">
        <v>793</v>
      </c>
      <c r="E253">
        <v>31</v>
      </c>
      <c r="F253">
        <v>795</v>
      </c>
      <c r="G253">
        <v>194</v>
      </c>
      <c r="H253">
        <v>7679</v>
      </c>
      <c r="I253">
        <v>9.1123876487652303E-3</v>
      </c>
      <c r="J253">
        <v>4.50985964989737E-2</v>
      </c>
      <c r="K253">
        <v>1.5434675484665801</v>
      </c>
      <c r="L253" t="s">
        <v>812</v>
      </c>
      <c r="M253" t="str">
        <f>HYPERLINK("../../3.KEGG_map/SCI_I-vs-NC-Up/rno05167.html","rno05167")</f>
        <v>rno05167</v>
      </c>
    </row>
    <row r="254" spans="1:13" x14ac:dyDescent="0.25">
      <c r="A254" t="s">
        <v>813</v>
      </c>
      <c r="B254" t="s">
        <v>814</v>
      </c>
      <c r="C254" t="s">
        <v>235</v>
      </c>
      <c r="D254" t="s">
        <v>793</v>
      </c>
      <c r="E254">
        <v>25</v>
      </c>
      <c r="F254">
        <v>795</v>
      </c>
      <c r="G254">
        <v>190</v>
      </c>
      <c r="H254">
        <v>7679</v>
      </c>
      <c r="I254">
        <v>0.12377703863652099</v>
      </c>
      <c r="J254">
        <v>0.36142895281864301</v>
      </c>
      <c r="K254">
        <v>1.27093677590202</v>
      </c>
      <c r="L254" t="s">
        <v>815</v>
      </c>
      <c r="M254" t="str">
        <f>HYPERLINK("../../3.KEGG_map/SCI_I-vs-NC-Up/rno05168.html","rno05168")</f>
        <v>rno05168</v>
      </c>
    </row>
    <row r="255" spans="1:13" x14ac:dyDescent="0.25">
      <c r="A255" t="s">
        <v>816</v>
      </c>
      <c r="B255" t="s">
        <v>817</v>
      </c>
      <c r="C255" t="s">
        <v>235</v>
      </c>
      <c r="D255" t="s">
        <v>793</v>
      </c>
      <c r="E255">
        <v>23</v>
      </c>
      <c r="F255">
        <v>795</v>
      </c>
      <c r="G255">
        <v>204</v>
      </c>
      <c r="H255">
        <v>7679</v>
      </c>
      <c r="I255">
        <v>0.36413112674350001</v>
      </c>
      <c r="J255">
        <v>0.77610429933651204</v>
      </c>
      <c r="K255">
        <v>1.08901837464546</v>
      </c>
      <c r="L255" t="s">
        <v>818</v>
      </c>
      <c r="M255" t="str">
        <f>HYPERLINK("../../3.KEGG_map/SCI_I-vs-NC-Up/rno05169.html","rno05169")</f>
        <v>rno05169</v>
      </c>
    </row>
    <row r="256" spans="1:13" x14ac:dyDescent="0.25">
      <c r="A256" t="s">
        <v>819</v>
      </c>
      <c r="B256" t="s">
        <v>820</v>
      </c>
      <c r="C256" t="s">
        <v>235</v>
      </c>
      <c r="D256" t="s">
        <v>821</v>
      </c>
      <c r="E256">
        <v>78</v>
      </c>
      <c r="F256">
        <v>795</v>
      </c>
      <c r="G256">
        <v>508</v>
      </c>
      <c r="H256">
        <v>7679</v>
      </c>
      <c r="I256">
        <v>1.8090892957941E-4</v>
      </c>
      <c r="J256">
        <v>1.9564965717476898E-3</v>
      </c>
      <c r="K256">
        <v>1.48309315109196</v>
      </c>
      <c r="L256" t="s">
        <v>822</v>
      </c>
      <c r="M256" t="str">
        <f>HYPERLINK("../../3.KEGG_map/SCI_I-vs-NC-Up/rno05200.html","rno05200")</f>
        <v>rno05200</v>
      </c>
    </row>
    <row r="257" spans="1:13" x14ac:dyDescent="0.25">
      <c r="A257" t="s">
        <v>823</v>
      </c>
      <c r="B257" t="s">
        <v>824</v>
      </c>
      <c r="C257" t="s">
        <v>235</v>
      </c>
      <c r="D257" t="s">
        <v>821</v>
      </c>
      <c r="E257">
        <v>35</v>
      </c>
      <c r="F257">
        <v>795</v>
      </c>
      <c r="G257">
        <v>168</v>
      </c>
      <c r="H257">
        <v>7679</v>
      </c>
      <c r="I257" s="1">
        <v>3.7048078843936603E-5</v>
      </c>
      <c r="J257">
        <v>5.1514471535378504E-4</v>
      </c>
      <c r="K257">
        <v>2.0123165618448602</v>
      </c>
      <c r="L257" t="s">
        <v>825</v>
      </c>
      <c r="M257" t="str">
        <f>HYPERLINK("../../3.KEGG_map/SCI_I-vs-NC-Up/rno05202.html","rno05202")</f>
        <v>rno05202</v>
      </c>
    </row>
    <row r="258" spans="1:13" x14ac:dyDescent="0.25">
      <c r="A258" t="s">
        <v>826</v>
      </c>
      <c r="B258" t="s">
        <v>827</v>
      </c>
      <c r="C258" t="s">
        <v>235</v>
      </c>
      <c r="D258" t="s">
        <v>821</v>
      </c>
      <c r="E258">
        <v>33</v>
      </c>
      <c r="F258">
        <v>795</v>
      </c>
      <c r="G258">
        <v>201</v>
      </c>
      <c r="H258">
        <v>7679</v>
      </c>
      <c r="I258">
        <v>4.7994359684390697E-3</v>
      </c>
      <c r="J258">
        <v>2.64421755242303E-2</v>
      </c>
      <c r="K258">
        <v>1.5858255890359501</v>
      </c>
      <c r="L258" t="s">
        <v>828</v>
      </c>
      <c r="M258" t="str">
        <f>HYPERLINK("../../3.KEGG_map/SCI_I-vs-NC-Up/rno05203.html","rno05203")</f>
        <v>rno05203</v>
      </c>
    </row>
    <row r="259" spans="1:13" x14ac:dyDescent="0.25">
      <c r="A259" t="s">
        <v>829</v>
      </c>
      <c r="B259" t="s">
        <v>830</v>
      </c>
      <c r="C259" t="s">
        <v>235</v>
      </c>
      <c r="D259" t="s">
        <v>821</v>
      </c>
      <c r="E259">
        <v>10</v>
      </c>
      <c r="F259">
        <v>795</v>
      </c>
      <c r="G259">
        <v>85</v>
      </c>
      <c r="H259">
        <v>7679</v>
      </c>
      <c r="I259">
        <v>0.38440995504694703</v>
      </c>
      <c r="J259">
        <v>0.80176933481220403</v>
      </c>
      <c r="K259">
        <v>1.1363669996300401</v>
      </c>
      <c r="L259" t="s">
        <v>831</v>
      </c>
      <c r="M259" t="str">
        <f>HYPERLINK("../../3.KEGG_map/SCI_I-vs-NC-Up/rno05204.html","rno05204")</f>
        <v>rno05204</v>
      </c>
    </row>
    <row r="260" spans="1:13" x14ac:dyDescent="0.25">
      <c r="A260" t="s">
        <v>832</v>
      </c>
      <c r="B260" t="s">
        <v>833</v>
      </c>
      <c r="C260" t="s">
        <v>235</v>
      </c>
      <c r="D260" t="s">
        <v>821</v>
      </c>
      <c r="E260">
        <v>28</v>
      </c>
      <c r="F260">
        <v>795</v>
      </c>
      <c r="G260">
        <v>198</v>
      </c>
      <c r="H260">
        <v>7679</v>
      </c>
      <c r="I260">
        <v>5.3529171334542797E-2</v>
      </c>
      <c r="J260">
        <v>0.19246988145372801</v>
      </c>
      <c r="K260">
        <v>1.36593609046439</v>
      </c>
      <c r="L260" t="s">
        <v>834</v>
      </c>
      <c r="M260" t="str">
        <f>HYPERLINK("../../3.KEGG_map/SCI_I-vs-NC-Up/rno05205.html","rno05205")</f>
        <v>rno05205</v>
      </c>
    </row>
    <row r="261" spans="1:13" x14ac:dyDescent="0.25">
      <c r="A261" t="s">
        <v>835</v>
      </c>
      <c r="B261" t="s">
        <v>836</v>
      </c>
      <c r="C261" t="s">
        <v>235</v>
      </c>
      <c r="D261" t="s">
        <v>821</v>
      </c>
      <c r="E261">
        <v>24</v>
      </c>
      <c r="F261">
        <v>795</v>
      </c>
      <c r="G261">
        <v>141</v>
      </c>
      <c r="H261">
        <v>7679</v>
      </c>
      <c r="I261">
        <v>9.6292794217692507E-3</v>
      </c>
      <c r="J261">
        <v>4.6862493185943703E-2</v>
      </c>
      <c r="K261">
        <v>1.6441054462732501</v>
      </c>
      <c r="L261" t="s">
        <v>837</v>
      </c>
      <c r="M261" t="str">
        <f>HYPERLINK("../../3.KEGG_map/SCI_I-vs-NC-Up/rno05206.html","rno05206")</f>
        <v>rno05206</v>
      </c>
    </row>
    <row r="262" spans="1:13" x14ac:dyDescent="0.25">
      <c r="A262" t="s">
        <v>838</v>
      </c>
      <c r="B262" t="s">
        <v>839</v>
      </c>
      <c r="C262" t="s">
        <v>235</v>
      </c>
      <c r="D262" t="s">
        <v>840</v>
      </c>
      <c r="E262">
        <v>12</v>
      </c>
      <c r="F262">
        <v>795</v>
      </c>
      <c r="G262">
        <v>86</v>
      </c>
      <c r="H262">
        <v>7679</v>
      </c>
      <c r="I262">
        <v>0.17538051054832701</v>
      </c>
      <c r="J262">
        <v>0.46939085066956898</v>
      </c>
      <c r="K262">
        <v>1.3477841158402799</v>
      </c>
      <c r="L262" t="s">
        <v>841</v>
      </c>
      <c r="M262" t="str">
        <f>HYPERLINK("../../3.KEGG_map/SCI_I-vs-NC-Up/rno05210.html","rno05210")</f>
        <v>rno05210</v>
      </c>
    </row>
    <row r="263" spans="1:13" x14ac:dyDescent="0.25">
      <c r="A263" t="s">
        <v>842</v>
      </c>
      <c r="B263" t="s">
        <v>843</v>
      </c>
      <c r="C263" t="s">
        <v>235</v>
      </c>
      <c r="D263" t="s">
        <v>840</v>
      </c>
      <c r="E263">
        <v>7</v>
      </c>
      <c r="F263">
        <v>795</v>
      </c>
      <c r="G263">
        <v>66</v>
      </c>
      <c r="H263">
        <v>7679</v>
      </c>
      <c r="I263">
        <v>0.53258203901087697</v>
      </c>
      <c r="J263">
        <v>0.93683105657334897</v>
      </c>
      <c r="K263">
        <v>1.02445206784829</v>
      </c>
      <c r="L263" t="s">
        <v>844</v>
      </c>
      <c r="M263" t="str">
        <f>HYPERLINK("../../3.KEGG_map/SCI_I-vs-NC-Up/rno05211.html","rno05211")</f>
        <v>rno05211</v>
      </c>
    </row>
    <row r="264" spans="1:13" x14ac:dyDescent="0.25">
      <c r="A264" t="s">
        <v>845</v>
      </c>
      <c r="B264" t="s">
        <v>846</v>
      </c>
      <c r="C264" t="s">
        <v>235</v>
      </c>
      <c r="D264" t="s">
        <v>840</v>
      </c>
      <c r="E264">
        <v>11</v>
      </c>
      <c r="F264">
        <v>795</v>
      </c>
      <c r="G264">
        <v>74</v>
      </c>
      <c r="H264">
        <v>7679</v>
      </c>
      <c r="I264">
        <v>0.13911786301870899</v>
      </c>
      <c r="J264">
        <v>0.39825898040649899</v>
      </c>
      <c r="K264">
        <v>1.4358150603433599</v>
      </c>
      <c r="L264" t="s">
        <v>847</v>
      </c>
      <c r="M264" t="str">
        <f>HYPERLINK("../../3.KEGG_map/SCI_I-vs-NC-Up/rno05212.html","rno05212")</f>
        <v>rno05212</v>
      </c>
    </row>
    <row r="265" spans="1:13" x14ac:dyDescent="0.25">
      <c r="A265" t="s">
        <v>848</v>
      </c>
      <c r="B265" t="s">
        <v>849</v>
      </c>
      <c r="C265" t="s">
        <v>235</v>
      </c>
      <c r="D265" t="s">
        <v>840</v>
      </c>
      <c r="E265">
        <v>3</v>
      </c>
      <c r="F265">
        <v>795</v>
      </c>
      <c r="G265">
        <v>57</v>
      </c>
      <c r="H265">
        <v>7679</v>
      </c>
      <c r="I265">
        <v>0.94375319338084196</v>
      </c>
      <c r="J265">
        <v>1</v>
      </c>
      <c r="K265">
        <v>0.50837471036080795</v>
      </c>
      <c r="L265" t="s">
        <v>850</v>
      </c>
      <c r="M265" t="str">
        <f>HYPERLINK("../../3.KEGG_map/SCI_I-vs-NC-Up/rno05213.html","rno05213")</f>
        <v>rno05213</v>
      </c>
    </row>
    <row r="266" spans="1:13" x14ac:dyDescent="0.25">
      <c r="A266" t="s">
        <v>851</v>
      </c>
      <c r="B266" t="s">
        <v>852</v>
      </c>
      <c r="C266" t="s">
        <v>235</v>
      </c>
      <c r="D266" t="s">
        <v>840</v>
      </c>
      <c r="E266">
        <v>8</v>
      </c>
      <c r="F266">
        <v>795</v>
      </c>
      <c r="G266">
        <v>71</v>
      </c>
      <c r="H266">
        <v>7679</v>
      </c>
      <c r="I266">
        <v>0.45631835701173801</v>
      </c>
      <c r="J266">
        <v>0.875504694962705</v>
      </c>
      <c r="K266">
        <v>1.0883514926034199</v>
      </c>
      <c r="L266" t="s">
        <v>853</v>
      </c>
      <c r="M266" t="str">
        <f>HYPERLINK("../../3.KEGG_map/SCI_I-vs-NC-Up/rno05214.html","rno05214")</f>
        <v>rno05214</v>
      </c>
    </row>
    <row r="267" spans="1:13" x14ac:dyDescent="0.25">
      <c r="A267" t="s">
        <v>854</v>
      </c>
      <c r="B267" t="s">
        <v>855</v>
      </c>
      <c r="C267" t="s">
        <v>235</v>
      </c>
      <c r="D267" t="s">
        <v>840</v>
      </c>
      <c r="E267">
        <v>13</v>
      </c>
      <c r="F267">
        <v>795</v>
      </c>
      <c r="G267">
        <v>96</v>
      </c>
      <c r="H267">
        <v>7679</v>
      </c>
      <c r="I267">
        <v>0.19054009176471401</v>
      </c>
      <c r="J267">
        <v>0.49676523924372001</v>
      </c>
      <c r="K267">
        <v>1.3080057651991599</v>
      </c>
      <c r="L267" t="s">
        <v>856</v>
      </c>
      <c r="M267" t="str">
        <f>HYPERLINK("../../3.KEGG_map/SCI_I-vs-NC-Up/rno05215.html","rno05215")</f>
        <v>rno05215</v>
      </c>
    </row>
    <row r="268" spans="1:13" x14ac:dyDescent="0.25">
      <c r="A268" t="s">
        <v>857</v>
      </c>
      <c r="B268" t="s">
        <v>858</v>
      </c>
      <c r="C268" t="s">
        <v>235</v>
      </c>
      <c r="D268" t="s">
        <v>840</v>
      </c>
      <c r="E268">
        <v>7</v>
      </c>
      <c r="F268">
        <v>795</v>
      </c>
      <c r="G268">
        <v>37</v>
      </c>
      <c r="H268">
        <v>7679</v>
      </c>
      <c r="I268">
        <v>8.1879245410718601E-2</v>
      </c>
      <c r="J268">
        <v>0.268637524268874</v>
      </c>
      <c r="K268">
        <v>1.8274009858915501</v>
      </c>
      <c r="L268" t="s">
        <v>859</v>
      </c>
      <c r="M268" t="str">
        <f>HYPERLINK("../../3.KEGG_map/SCI_I-vs-NC-Up/rno05216.html","rno05216")</f>
        <v>rno05216</v>
      </c>
    </row>
    <row r="269" spans="1:13" x14ac:dyDescent="0.25">
      <c r="A269" t="s">
        <v>860</v>
      </c>
      <c r="B269" t="s">
        <v>861</v>
      </c>
      <c r="C269" t="s">
        <v>235</v>
      </c>
      <c r="D269" t="s">
        <v>840</v>
      </c>
      <c r="E269">
        <v>4</v>
      </c>
      <c r="F269">
        <v>795</v>
      </c>
      <c r="G269">
        <v>60</v>
      </c>
      <c r="H269">
        <v>7679</v>
      </c>
      <c r="I269">
        <v>0.88137443637694901</v>
      </c>
      <c r="J269">
        <v>1</v>
      </c>
      <c r="K269">
        <v>0.64394129979035597</v>
      </c>
      <c r="L269" t="s">
        <v>862</v>
      </c>
      <c r="M269" t="str">
        <f>HYPERLINK("../../3.KEGG_map/SCI_I-vs-NC-Up/rno05217.html","rno05217")</f>
        <v>rno05217</v>
      </c>
    </row>
    <row r="270" spans="1:13" x14ac:dyDescent="0.25">
      <c r="A270" t="s">
        <v>863</v>
      </c>
      <c r="B270" t="s">
        <v>864</v>
      </c>
      <c r="C270" t="s">
        <v>235</v>
      </c>
      <c r="D270" t="s">
        <v>840</v>
      </c>
      <c r="E270">
        <v>10</v>
      </c>
      <c r="F270">
        <v>795</v>
      </c>
      <c r="G270">
        <v>72</v>
      </c>
      <c r="H270">
        <v>7679</v>
      </c>
      <c r="I270">
        <v>0.20754997237349099</v>
      </c>
      <c r="J270">
        <v>0.52699645159181996</v>
      </c>
      <c r="K270">
        <v>1.34154437456324</v>
      </c>
      <c r="L270" t="s">
        <v>865</v>
      </c>
      <c r="M270" t="str">
        <f>HYPERLINK("../../3.KEGG_map/SCI_I-vs-NC-Up/rno05218.html","rno05218")</f>
        <v>rno05218</v>
      </c>
    </row>
    <row r="271" spans="1:13" x14ac:dyDescent="0.25">
      <c r="A271" t="s">
        <v>866</v>
      </c>
      <c r="B271" t="s">
        <v>867</v>
      </c>
      <c r="C271" t="s">
        <v>235</v>
      </c>
      <c r="D271" t="s">
        <v>840</v>
      </c>
      <c r="E271">
        <v>6</v>
      </c>
      <c r="F271">
        <v>795</v>
      </c>
      <c r="G271">
        <v>40</v>
      </c>
      <c r="H271">
        <v>7679</v>
      </c>
      <c r="I271">
        <v>0.22892712748718799</v>
      </c>
      <c r="J271">
        <v>0.56173715316184103</v>
      </c>
      <c r="K271">
        <v>1.4488679245283</v>
      </c>
      <c r="L271" t="s">
        <v>868</v>
      </c>
      <c r="M271" t="str">
        <f>HYPERLINK("../../3.KEGG_map/SCI_I-vs-NC-Up/rno05219.html","rno05219")</f>
        <v>rno05219</v>
      </c>
    </row>
    <row r="272" spans="1:13" x14ac:dyDescent="0.25">
      <c r="A272" t="s">
        <v>869</v>
      </c>
      <c r="B272" t="s">
        <v>870</v>
      </c>
      <c r="C272" t="s">
        <v>235</v>
      </c>
      <c r="D272" t="s">
        <v>840</v>
      </c>
      <c r="E272">
        <v>8</v>
      </c>
      <c r="F272">
        <v>795</v>
      </c>
      <c r="G272">
        <v>77</v>
      </c>
      <c r="H272">
        <v>7679</v>
      </c>
      <c r="I272">
        <v>0.55122482789609195</v>
      </c>
      <c r="J272">
        <v>0.93930493399862502</v>
      </c>
      <c r="K272">
        <v>1.0035448827901701</v>
      </c>
      <c r="L272" t="s">
        <v>871</v>
      </c>
      <c r="M272" t="str">
        <f>HYPERLINK("../../3.KEGG_map/SCI_I-vs-NC-Up/rno05220.html","rno05220")</f>
        <v>rno05220</v>
      </c>
    </row>
    <row r="273" spans="1:13" x14ac:dyDescent="0.25">
      <c r="A273" t="s">
        <v>872</v>
      </c>
      <c r="B273" t="s">
        <v>873</v>
      </c>
      <c r="C273" t="s">
        <v>235</v>
      </c>
      <c r="D273" t="s">
        <v>840</v>
      </c>
      <c r="E273">
        <v>7</v>
      </c>
      <c r="F273">
        <v>795</v>
      </c>
      <c r="G273">
        <v>66</v>
      </c>
      <c r="H273">
        <v>7679</v>
      </c>
      <c r="I273">
        <v>0.53258203901087697</v>
      </c>
      <c r="J273">
        <v>0.93683105657334897</v>
      </c>
      <c r="K273">
        <v>1.02445206784829</v>
      </c>
      <c r="L273" t="s">
        <v>874</v>
      </c>
      <c r="M273" t="str">
        <f>HYPERLINK("../../3.KEGG_map/SCI_I-vs-NC-Up/rno05221.html","rno05221")</f>
        <v>rno05221</v>
      </c>
    </row>
    <row r="274" spans="1:13" x14ac:dyDescent="0.25">
      <c r="A274" t="s">
        <v>875</v>
      </c>
      <c r="B274" t="s">
        <v>876</v>
      </c>
      <c r="C274" t="s">
        <v>235</v>
      </c>
      <c r="D274" t="s">
        <v>840</v>
      </c>
      <c r="E274">
        <v>19</v>
      </c>
      <c r="F274">
        <v>795</v>
      </c>
      <c r="G274">
        <v>91</v>
      </c>
      <c r="H274">
        <v>7679</v>
      </c>
      <c r="I274">
        <v>2.1012807096486702E-3</v>
      </c>
      <c r="J274">
        <v>1.36349770492758E-2</v>
      </c>
      <c r="K274">
        <v>2.0167392356071598</v>
      </c>
      <c r="L274" t="s">
        <v>877</v>
      </c>
      <c r="M274" t="str">
        <f>HYPERLINK("../../3.KEGG_map/SCI_I-vs-NC-Up/rno05222.html","rno05222")</f>
        <v>rno05222</v>
      </c>
    </row>
    <row r="275" spans="1:13" x14ac:dyDescent="0.25">
      <c r="A275" t="s">
        <v>878</v>
      </c>
      <c r="B275" t="s">
        <v>879</v>
      </c>
      <c r="C275" t="s">
        <v>235</v>
      </c>
      <c r="D275" t="s">
        <v>840</v>
      </c>
      <c r="E275">
        <v>6</v>
      </c>
      <c r="F275">
        <v>795</v>
      </c>
      <c r="G275">
        <v>66</v>
      </c>
      <c r="H275">
        <v>7679</v>
      </c>
      <c r="I275">
        <v>0.69193910480875498</v>
      </c>
      <c r="J275">
        <v>1</v>
      </c>
      <c r="K275">
        <v>0.87810177244139498</v>
      </c>
      <c r="L275" t="s">
        <v>880</v>
      </c>
      <c r="M275" t="str">
        <f>HYPERLINK("../../3.KEGG_map/SCI_I-vs-NC-Up/rno05223.html","rno05223")</f>
        <v>rno05223</v>
      </c>
    </row>
    <row r="276" spans="1:13" x14ac:dyDescent="0.25">
      <c r="A276" t="s">
        <v>881</v>
      </c>
      <c r="B276" t="s">
        <v>882</v>
      </c>
      <c r="C276" t="s">
        <v>235</v>
      </c>
      <c r="D276" t="s">
        <v>840</v>
      </c>
      <c r="E276">
        <v>13</v>
      </c>
      <c r="F276">
        <v>795</v>
      </c>
      <c r="G276">
        <v>145</v>
      </c>
      <c r="H276">
        <v>7679</v>
      </c>
      <c r="I276">
        <v>0.74938106293225504</v>
      </c>
      <c r="J276">
        <v>1</v>
      </c>
      <c r="K276">
        <v>0.86599002385599699</v>
      </c>
      <c r="L276" t="s">
        <v>883</v>
      </c>
      <c r="M276" t="str">
        <f>HYPERLINK("../../3.KEGG_map/SCI_I-vs-NC-Up/rno05224.html","rno05224")</f>
        <v>rno05224</v>
      </c>
    </row>
    <row r="277" spans="1:13" x14ac:dyDescent="0.25">
      <c r="A277" t="s">
        <v>884</v>
      </c>
      <c r="B277" t="s">
        <v>885</v>
      </c>
      <c r="C277" t="s">
        <v>235</v>
      </c>
      <c r="D277" t="s">
        <v>840</v>
      </c>
      <c r="E277">
        <v>19</v>
      </c>
      <c r="F277">
        <v>795</v>
      </c>
      <c r="G277">
        <v>169</v>
      </c>
      <c r="H277">
        <v>7679</v>
      </c>
      <c r="I277">
        <v>0.38734168533524399</v>
      </c>
      <c r="J277">
        <v>0.80215441218362604</v>
      </c>
      <c r="K277">
        <v>1.08593651148078</v>
      </c>
      <c r="L277" t="s">
        <v>886</v>
      </c>
      <c r="M277" t="str">
        <f>HYPERLINK("../../3.KEGG_map/SCI_I-vs-NC-Up/rno05225.html","rno05225")</f>
        <v>rno05225</v>
      </c>
    </row>
    <row r="278" spans="1:13" x14ac:dyDescent="0.25">
      <c r="A278" t="s">
        <v>887</v>
      </c>
      <c r="B278" t="s">
        <v>888</v>
      </c>
      <c r="C278" t="s">
        <v>235</v>
      </c>
      <c r="D278" t="s">
        <v>840</v>
      </c>
      <c r="E278">
        <v>16</v>
      </c>
      <c r="F278">
        <v>795</v>
      </c>
      <c r="G278">
        <v>147</v>
      </c>
      <c r="H278">
        <v>7679</v>
      </c>
      <c r="I278">
        <v>0.45558385906808502</v>
      </c>
      <c r="J278">
        <v>0.875504694962705</v>
      </c>
      <c r="K278">
        <v>1.0513327343515999</v>
      </c>
      <c r="L278" t="s">
        <v>889</v>
      </c>
      <c r="M278" t="str">
        <f>HYPERLINK("../../3.KEGG_map/SCI_I-vs-NC-Up/rno05226.html","rno05226")</f>
        <v>rno05226</v>
      </c>
    </row>
    <row r="279" spans="1:13" x14ac:dyDescent="0.25">
      <c r="A279" t="s">
        <v>890</v>
      </c>
      <c r="B279" t="s">
        <v>891</v>
      </c>
      <c r="C279" t="s">
        <v>235</v>
      </c>
      <c r="D279" t="s">
        <v>821</v>
      </c>
      <c r="E279">
        <v>9</v>
      </c>
      <c r="F279">
        <v>795</v>
      </c>
      <c r="G279">
        <v>61</v>
      </c>
      <c r="H279">
        <v>7679</v>
      </c>
      <c r="I279">
        <v>0.17537231221094299</v>
      </c>
      <c r="J279">
        <v>0.46939085066956898</v>
      </c>
      <c r="K279">
        <v>1.4251159913393101</v>
      </c>
      <c r="L279" t="s">
        <v>892</v>
      </c>
      <c r="M279" t="str">
        <f>HYPERLINK("../../3.KEGG_map/SCI_I-vs-NC-Up/rno05230.html","rno05230")</f>
        <v>rno05230</v>
      </c>
    </row>
    <row r="280" spans="1:13" x14ac:dyDescent="0.25">
      <c r="A280" t="s">
        <v>893</v>
      </c>
      <c r="B280" t="s">
        <v>894</v>
      </c>
      <c r="C280" t="s">
        <v>235</v>
      </c>
      <c r="D280" t="s">
        <v>821</v>
      </c>
      <c r="E280">
        <v>8</v>
      </c>
      <c r="F280">
        <v>795</v>
      </c>
      <c r="G280">
        <v>97</v>
      </c>
      <c r="H280">
        <v>7679</v>
      </c>
      <c r="I280">
        <v>0.79996544435839401</v>
      </c>
      <c r="J280">
        <v>1</v>
      </c>
      <c r="K280">
        <v>0.79662841211178104</v>
      </c>
      <c r="L280" t="s">
        <v>895</v>
      </c>
      <c r="M280" t="str">
        <f>HYPERLINK("../../3.KEGG_map/SCI_I-vs-NC-Up/rno05231.html","rno05231")</f>
        <v>rno05231</v>
      </c>
    </row>
    <row r="281" spans="1:13" x14ac:dyDescent="0.25">
      <c r="A281" t="s">
        <v>896</v>
      </c>
      <c r="B281" t="s">
        <v>897</v>
      </c>
      <c r="C281" t="s">
        <v>235</v>
      </c>
      <c r="D281" t="s">
        <v>898</v>
      </c>
      <c r="E281">
        <v>9</v>
      </c>
      <c r="F281">
        <v>795</v>
      </c>
      <c r="G281">
        <v>24</v>
      </c>
      <c r="H281">
        <v>7679</v>
      </c>
      <c r="I281">
        <v>4.0596892514775098E-4</v>
      </c>
      <c r="J281">
        <v>3.63732515227437E-3</v>
      </c>
      <c r="K281">
        <v>3.6221698113207501</v>
      </c>
      <c r="L281" t="s">
        <v>899</v>
      </c>
      <c r="M281" t="str">
        <f>HYPERLINK("../../3.KEGG_map/SCI_I-vs-NC-Up/rno05310.html","rno05310")</f>
        <v>rno05310</v>
      </c>
    </row>
    <row r="282" spans="1:13" x14ac:dyDescent="0.25">
      <c r="A282" t="s">
        <v>900</v>
      </c>
      <c r="B282" t="s">
        <v>901</v>
      </c>
      <c r="C282" t="s">
        <v>235</v>
      </c>
      <c r="D282" t="s">
        <v>898</v>
      </c>
      <c r="E282">
        <v>13</v>
      </c>
      <c r="F282">
        <v>795</v>
      </c>
      <c r="G282">
        <v>60</v>
      </c>
      <c r="H282">
        <v>7679</v>
      </c>
      <c r="I282">
        <v>7.3407498305184202E-3</v>
      </c>
      <c r="J282">
        <v>3.7605244745813698E-2</v>
      </c>
      <c r="K282">
        <v>2.09280922431866</v>
      </c>
      <c r="L282" t="s">
        <v>902</v>
      </c>
      <c r="M282" t="str">
        <f>HYPERLINK("../../3.KEGG_map/SCI_I-vs-NC-Up/rno05320.html","rno05320")</f>
        <v>rno05320</v>
      </c>
    </row>
    <row r="283" spans="1:13" x14ac:dyDescent="0.25">
      <c r="A283" t="s">
        <v>903</v>
      </c>
      <c r="B283" t="s">
        <v>904</v>
      </c>
      <c r="C283" t="s">
        <v>235</v>
      </c>
      <c r="D283" t="s">
        <v>898</v>
      </c>
      <c r="E283">
        <v>19</v>
      </c>
      <c r="F283">
        <v>795</v>
      </c>
      <c r="G283">
        <v>59</v>
      </c>
      <c r="H283">
        <v>7679</v>
      </c>
      <c r="I283" s="1">
        <v>3.9412626168775801E-6</v>
      </c>
      <c r="J283" s="1">
        <v>6.3936038007125204E-5</v>
      </c>
      <c r="K283">
        <v>3.1105639057669801</v>
      </c>
      <c r="L283" t="s">
        <v>905</v>
      </c>
      <c r="M283" t="str">
        <f>HYPERLINK("../../3.KEGG_map/SCI_I-vs-NC-Up/rno05321.html","rno05321")</f>
        <v>rno05321</v>
      </c>
    </row>
    <row r="284" spans="1:13" x14ac:dyDescent="0.25">
      <c r="A284" t="s">
        <v>906</v>
      </c>
      <c r="B284" t="s">
        <v>907</v>
      </c>
      <c r="C284" t="s">
        <v>235</v>
      </c>
      <c r="D284" t="s">
        <v>898</v>
      </c>
      <c r="E284">
        <v>40</v>
      </c>
      <c r="F284">
        <v>795</v>
      </c>
      <c r="G284">
        <v>91</v>
      </c>
      <c r="H284">
        <v>7679</v>
      </c>
      <c r="I284" s="1">
        <v>9.8354978958457494E-17</v>
      </c>
      <c r="J284" s="1">
        <v>2.8719653855869599E-14</v>
      </c>
      <c r="K284">
        <v>4.2457668118045504</v>
      </c>
      <c r="L284" t="s">
        <v>908</v>
      </c>
      <c r="M284" t="str">
        <f>HYPERLINK("../../3.KEGG_map/SCI_I-vs-NC-Up/rno05322.html","rno05322")</f>
        <v>rno05322</v>
      </c>
    </row>
    <row r="285" spans="1:13" x14ac:dyDescent="0.25">
      <c r="A285" t="s">
        <v>909</v>
      </c>
      <c r="B285" t="s">
        <v>910</v>
      </c>
      <c r="C285" t="s">
        <v>235</v>
      </c>
      <c r="D285" t="s">
        <v>898</v>
      </c>
      <c r="E285">
        <v>25</v>
      </c>
      <c r="F285">
        <v>795</v>
      </c>
      <c r="G285">
        <v>81</v>
      </c>
      <c r="H285">
        <v>7679</v>
      </c>
      <c r="I285" s="1">
        <v>3.0106247204916401E-7</v>
      </c>
      <c r="J285" s="1">
        <v>6.7623262952581297E-6</v>
      </c>
      <c r="K285">
        <v>2.9812097212516502</v>
      </c>
      <c r="L285" t="s">
        <v>911</v>
      </c>
      <c r="M285" t="str">
        <f>HYPERLINK("../../3.KEGG_map/SCI_I-vs-NC-Up/rno05323.html","rno05323")</f>
        <v>rno05323</v>
      </c>
    </row>
    <row r="286" spans="1:13" x14ac:dyDescent="0.25">
      <c r="A286" t="s">
        <v>912</v>
      </c>
      <c r="B286" t="s">
        <v>913</v>
      </c>
      <c r="C286" t="s">
        <v>235</v>
      </c>
      <c r="D286" t="s">
        <v>898</v>
      </c>
      <c r="E286">
        <v>11</v>
      </c>
      <c r="F286">
        <v>795</v>
      </c>
      <c r="G286">
        <v>53</v>
      </c>
      <c r="H286">
        <v>7679</v>
      </c>
      <c r="I286">
        <v>1.7994724179640001E-2</v>
      </c>
      <c r="J286">
        <v>7.8424768066490902E-2</v>
      </c>
      <c r="K286">
        <v>2.0047229144416798</v>
      </c>
      <c r="L286" t="s">
        <v>914</v>
      </c>
      <c r="M286" t="str">
        <f>HYPERLINK("../../3.KEGG_map/SCI_I-vs-NC-Up/rno05330.html","rno05330")</f>
        <v>rno05330</v>
      </c>
    </row>
    <row r="287" spans="1:13" x14ac:dyDescent="0.25">
      <c r="A287" t="s">
        <v>915</v>
      </c>
      <c r="B287" t="s">
        <v>916</v>
      </c>
      <c r="C287" t="s">
        <v>235</v>
      </c>
      <c r="D287" t="s">
        <v>898</v>
      </c>
      <c r="E287">
        <v>12</v>
      </c>
      <c r="F287">
        <v>795</v>
      </c>
      <c r="G287">
        <v>51</v>
      </c>
      <c r="H287">
        <v>7679</v>
      </c>
      <c r="I287">
        <v>4.9270128963334403E-3</v>
      </c>
      <c r="J287">
        <v>2.66423660320253E-2</v>
      </c>
      <c r="K287">
        <v>2.2727339992600801</v>
      </c>
      <c r="L287" t="s">
        <v>917</v>
      </c>
      <c r="M287" t="str">
        <f>HYPERLINK("../../3.KEGG_map/SCI_I-vs-NC-Up/rno05332.html","rno05332")</f>
        <v>rno05332</v>
      </c>
    </row>
    <row r="288" spans="1:13" x14ac:dyDescent="0.25">
      <c r="A288" t="s">
        <v>918</v>
      </c>
      <c r="B288" t="s">
        <v>919</v>
      </c>
      <c r="C288" t="s">
        <v>235</v>
      </c>
      <c r="D288" t="s">
        <v>898</v>
      </c>
      <c r="E288">
        <v>10</v>
      </c>
      <c r="F288">
        <v>795</v>
      </c>
      <c r="G288">
        <v>36</v>
      </c>
      <c r="H288">
        <v>7679</v>
      </c>
      <c r="I288">
        <v>2.7734455088828701E-3</v>
      </c>
      <c r="J288">
        <v>1.6196921771876E-2</v>
      </c>
      <c r="K288">
        <v>2.6830887491264801</v>
      </c>
      <c r="L288" t="s">
        <v>920</v>
      </c>
      <c r="M288" t="str">
        <f>HYPERLINK("../../3.KEGG_map/SCI_I-vs-NC-Up/rno05340.html","rno05340")</f>
        <v>rno05340</v>
      </c>
    </row>
    <row r="289" spans="1:13" x14ac:dyDescent="0.25">
      <c r="A289" t="s">
        <v>921</v>
      </c>
      <c r="B289" t="s">
        <v>922</v>
      </c>
      <c r="C289" t="s">
        <v>235</v>
      </c>
      <c r="D289" t="s">
        <v>923</v>
      </c>
      <c r="E289">
        <v>18</v>
      </c>
      <c r="F289">
        <v>795</v>
      </c>
      <c r="G289">
        <v>86</v>
      </c>
      <c r="H289">
        <v>7679</v>
      </c>
      <c r="I289">
        <v>2.6460420422275998E-3</v>
      </c>
      <c r="J289">
        <v>1.60967557568845E-2</v>
      </c>
      <c r="K289">
        <v>2.0216761737604201</v>
      </c>
      <c r="L289" t="s">
        <v>924</v>
      </c>
      <c r="M289" t="str">
        <f>HYPERLINK("../../3.KEGG_map/SCI_I-vs-NC-Up/rno05410.html","rno05410")</f>
        <v>rno05410</v>
      </c>
    </row>
    <row r="290" spans="1:13" x14ac:dyDescent="0.25">
      <c r="A290" t="s">
        <v>925</v>
      </c>
      <c r="B290" t="s">
        <v>926</v>
      </c>
      <c r="C290" t="s">
        <v>235</v>
      </c>
      <c r="D290" t="s">
        <v>923</v>
      </c>
      <c r="E290">
        <v>11</v>
      </c>
      <c r="F290">
        <v>795</v>
      </c>
      <c r="G290">
        <v>72</v>
      </c>
      <c r="H290">
        <v>7679</v>
      </c>
      <c r="I290">
        <v>0.120878381671012</v>
      </c>
      <c r="J290">
        <v>0.35658755492149502</v>
      </c>
      <c r="K290">
        <v>1.47569881201957</v>
      </c>
      <c r="L290" t="s">
        <v>927</v>
      </c>
      <c r="M290" t="str">
        <f>HYPERLINK("../../3.KEGG_map/SCI_I-vs-NC-Up/rno05412.html","rno05412")</f>
        <v>rno05412</v>
      </c>
    </row>
    <row r="291" spans="1:13" x14ac:dyDescent="0.25">
      <c r="A291" t="s">
        <v>928</v>
      </c>
      <c r="B291" t="s">
        <v>929</v>
      </c>
      <c r="C291" t="s">
        <v>235</v>
      </c>
      <c r="D291" t="s">
        <v>923</v>
      </c>
      <c r="E291">
        <v>18</v>
      </c>
      <c r="F291">
        <v>795</v>
      </c>
      <c r="G291">
        <v>88</v>
      </c>
      <c r="H291">
        <v>7679</v>
      </c>
      <c r="I291">
        <v>3.4425136184024901E-3</v>
      </c>
      <c r="J291">
        <v>1.9710077972030001E-2</v>
      </c>
      <c r="K291">
        <v>1.9757289879931399</v>
      </c>
      <c r="L291" t="s">
        <v>930</v>
      </c>
      <c r="M291" t="str">
        <f>HYPERLINK("../../3.KEGG_map/SCI_I-vs-NC-Up/rno05414.html","rno05414")</f>
        <v>rno05414</v>
      </c>
    </row>
    <row r="292" spans="1:13" x14ac:dyDescent="0.25">
      <c r="A292" t="s">
        <v>931</v>
      </c>
      <c r="B292" t="s">
        <v>932</v>
      </c>
      <c r="C292" t="s">
        <v>235</v>
      </c>
      <c r="D292" t="s">
        <v>923</v>
      </c>
      <c r="E292">
        <v>16</v>
      </c>
      <c r="F292">
        <v>795</v>
      </c>
      <c r="G292">
        <v>73</v>
      </c>
      <c r="H292">
        <v>7679</v>
      </c>
      <c r="I292">
        <v>2.7467162729842899E-3</v>
      </c>
      <c r="J292">
        <v>1.6196921771876E-2</v>
      </c>
      <c r="K292">
        <v>2.1170672869819902</v>
      </c>
      <c r="L292" t="s">
        <v>933</v>
      </c>
      <c r="M292" t="str">
        <f>HYPERLINK("../../3.KEGG_map/SCI_I-vs-NC-Up/rno05416.html","rno05416")</f>
        <v>rno05416</v>
      </c>
    </row>
    <row r="293" spans="1:13" x14ac:dyDescent="0.25">
      <c r="A293" t="s">
        <v>934</v>
      </c>
      <c r="B293" t="s">
        <v>935</v>
      </c>
      <c r="C293" t="s">
        <v>235</v>
      </c>
      <c r="D293" t="s">
        <v>923</v>
      </c>
      <c r="E293">
        <v>26</v>
      </c>
      <c r="F293">
        <v>795</v>
      </c>
      <c r="G293">
        <v>141</v>
      </c>
      <c r="H293">
        <v>7679</v>
      </c>
      <c r="I293">
        <v>2.39374966153847E-3</v>
      </c>
      <c r="J293">
        <v>1.51951065471573E-2</v>
      </c>
      <c r="K293">
        <v>1.7811142334626899</v>
      </c>
      <c r="L293" t="s">
        <v>936</v>
      </c>
      <c r="M293" t="str">
        <f>HYPERLINK("../../3.KEGG_map/SCI_I-vs-NC-Up/rno05418.html","rno05418")</f>
        <v>rno05418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0"/>
  <sheetViews>
    <sheetView workbookViewId="0"/>
  </sheetViews>
  <sheetFormatPr defaultRowHeight="13.8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>
        <v>6</v>
      </c>
      <c r="F2">
        <v>893</v>
      </c>
      <c r="G2">
        <v>64</v>
      </c>
      <c r="H2">
        <v>7679</v>
      </c>
      <c r="I2">
        <v>0.77011910592098498</v>
      </c>
      <c r="J2">
        <v>1</v>
      </c>
      <c r="K2">
        <v>0.80616601343784999</v>
      </c>
      <c r="L2" t="s">
        <v>937</v>
      </c>
      <c r="M2" t="str">
        <f>HYPERLINK("../../3.KEGG_map/SCI_II-vs-NC-Up/rno00010.html","rno00010")</f>
        <v>rno00010</v>
      </c>
    </row>
    <row r="3" spans="1:13" x14ac:dyDescent="0.25">
      <c r="A3" t="s">
        <v>18</v>
      </c>
      <c r="B3" t="s">
        <v>19</v>
      </c>
      <c r="C3" t="s">
        <v>15</v>
      </c>
      <c r="D3" t="s">
        <v>16</v>
      </c>
      <c r="E3">
        <v>2</v>
      </c>
      <c r="F3">
        <v>893</v>
      </c>
      <c r="G3">
        <v>31</v>
      </c>
      <c r="H3">
        <v>7679</v>
      </c>
      <c r="I3">
        <v>0.89048460770103</v>
      </c>
      <c r="J3">
        <v>1</v>
      </c>
      <c r="K3">
        <v>0.55478091247335903</v>
      </c>
      <c r="L3" t="s">
        <v>938</v>
      </c>
      <c r="M3" t="str">
        <f>HYPERLINK("../../3.KEGG_map/SCI_II-vs-NC-Up/rno00020.html","rno00020")</f>
        <v>rno00020</v>
      </c>
    </row>
    <row r="4" spans="1:13" x14ac:dyDescent="0.25">
      <c r="A4" t="s">
        <v>21</v>
      </c>
      <c r="B4" t="s">
        <v>22</v>
      </c>
      <c r="C4" t="s">
        <v>15</v>
      </c>
      <c r="D4" t="s">
        <v>16</v>
      </c>
      <c r="E4">
        <v>5</v>
      </c>
      <c r="F4">
        <v>893</v>
      </c>
      <c r="G4">
        <v>29</v>
      </c>
      <c r="H4">
        <v>7679</v>
      </c>
      <c r="I4">
        <v>0.242771984615547</v>
      </c>
      <c r="J4">
        <v>0.59966755174267505</v>
      </c>
      <c r="K4">
        <v>1.48260416264432</v>
      </c>
      <c r="L4" t="s">
        <v>939</v>
      </c>
      <c r="M4" t="str">
        <f>HYPERLINK("../../3.KEGG_map/SCI_II-vs-NC-Up/rno00030.html","rno00030")</f>
        <v>rno00030</v>
      </c>
    </row>
    <row r="5" spans="1:13" x14ac:dyDescent="0.25">
      <c r="A5" t="s">
        <v>24</v>
      </c>
      <c r="B5" t="s">
        <v>25</v>
      </c>
      <c r="C5" t="s">
        <v>15</v>
      </c>
      <c r="D5" t="s">
        <v>16</v>
      </c>
      <c r="E5">
        <v>6</v>
      </c>
      <c r="F5">
        <v>893</v>
      </c>
      <c r="G5">
        <v>33</v>
      </c>
      <c r="H5">
        <v>7679</v>
      </c>
      <c r="I5">
        <v>0.17837790198320799</v>
      </c>
      <c r="J5">
        <v>0.46442534840673</v>
      </c>
      <c r="K5">
        <v>1.5634734806067401</v>
      </c>
      <c r="L5" t="s">
        <v>940</v>
      </c>
      <c r="M5" t="str">
        <f>HYPERLINK("../../3.KEGG_map/SCI_II-vs-NC-Up/rno00040.html","rno00040")</f>
        <v>rno00040</v>
      </c>
    </row>
    <row r="6" spans="1:13" x14ac:dyDescent="0.25">
      <c r="A6" t="s">
        <v>27</v>
      </c>
      <c r="B6" t="s">
        <v>28</v>
      </c>
      <c r="C6" t="s">
        <v>15</v>
      </c>
      <c r="D6" t="s">
        <v>16</v>
      </c>
      <c r="E6">
        <v>5</v>
      </c>
      <c r="F6">
        <v>893</v>
      </c>
      <c r="G6">
        <v>34</v>
      </c>
      <c r="H6">
        <v>7679</v>
      </c>
      <c r="I6">
        <v>0.36125628126666798</v>
      </c>
      <c r="J6">
        <v>0.75110118910839696</v>
      </c>
      <c r="K6">
        <v>1.2645741387260401</v>
      </c>
      <c r="L6" t="s">
        <v>941</v>
      </c>
      <c r="M6" t="str">
        <f>HYPERLINK("../../3.KEGG_map/SCI_II-vs-NC-Up/rno00051.html","rno00051")</f>
        <v>rno00051</v>
      </c>
    </row>
    <row r="7" spans="1:13" x14ac:dyDescent="0.25">
      <c r="A7" t="s">
        <v>30</v>
      </c>
      <c r="B7" t="s">
        <v>31</v>
      </c>
      <c r="C7" t="s">
        <v>15</v>
      </c>
      <c r="D7" t="s">
        <v>16</v>
      </c>
      <c r="E7">
        <v>4</v>
      </c>
      <c r="F7">
        <v>893</v>
      </c>
      <c r="G7">
        <v>30</v>
      </c>
      <c r="H7">
        <v>7679</v>
      </c>
      <c r="I7">
        <v>0.46757932914516298</v>
      </c>
      <c r="J7">
        <v>0.90691561156343703</v>
      </c>
      <c r="K7">
        <v>1.1465472191116099</v>
      </c>
      <c r="L7" t="s">
        <v>942</v>
      </c>
      <c r="M7" t="str">
        <f>HYPERLINK("../../3.KEGG_map/SCI_II-vs-NC-Up/rno00052.html","rno00052")</f>
        <v>rno00052</v>
      </c>
    </row>
    <row r="8" spans="1:13" x14ac:dyDescent="0.25">
      <c r="A8" t="s">
        <v>33</v>
      </c>
      <c r="B8" t="s">
        <v>34</v>
      </c>
      <c r="C8" t="s">
        <v>15</v>
      </c>
      <c r="D8" t="s">
        <v>16</v>
      </c>
      <c r="E8">
        <v>4</v>
      </c>
      <c r="F8">
        <v>893</v>
      </c>
      <c r="G8">
        <v>26</v>
      </c>
      <c r="H8">
        <v>7679</v>
      </c>
      <c r="I8">
        <v>0.35806476973318901</v>
      </c>
      <c r="J8">
        <v>0.75110118910839696</v>
      </c>
      <c r="K8">
        <v>1.3229390989749299</v>
      </c>
      <c r="L8" t="s">
        <v>943</v>
      </c>
      <c r="M8" t="str">
        <f>HYPERLINK("../../3.KEGG_map/SCI_II-vs-NC-Up/rno00053.html","rno00053")</f>
        <v>rno00053</v>
      </c>
    </row>
    <row r="9" spans="1:13" x14ac:dyDescent="0.25">
      <c r="A9" t="s">
        <v>46</v>
      </c>
      <c r="B9" t="s">
        <v>47</v>
      </c>
      <c r="C9" t="s">
        <v>15</v>
      </c>
      <c r="D9" t="s">
        <v>38</v>
      </c>
      <c r="E9">
        <v>2</v>
      </c>
      <c r="F9">
        <v>893</v>
      </c>
      <c r="G9">
        <v>10</v>
      </c>
      <c r="H9">
        <v>7679</v>
      </c>
      <c r="I9">
        <v>0.32731393782572499</v>
      </c>
      <c r="J9">
        <v>0.70592334351966202</v>
      </c>
      <c r="K9">
        <v>1.7198208286674099</v>
      </c>
      <c r="L9" t="s">
        <v>944</v>
      </c>
      <c r="M9" t="str">
        <f>HYPERLINK("../../3.KEGG_map/SCI_II-vs-NC-Up/rno00072.html","rno00072")</f>
        <v>rno00072</v>
      </c>
    </row>
    <row r="10" spans="1:13" x14ac:dyDescent="0.25">
      <c r="A10" t="s">
        <v>49</v>
      </c>
      <c r="B10" t="s">
        <v>50</v>
      </c>
      <c r="C10" t="s">
        <v>15</v>
      </c>
      <c r="D10" t="s">
        <v>38</v>
      </c>
      <c r="E10">
        <v>2</v>
      </c>
      <c r="F10">
        <v>893</v>
      </c>
      <c r="G10">
        <v>19</v>
      </c>
      <c r="H10">
        <v>7679</v>
      </c>
      <c r="I10">
        <v>0.66616750588259199</v>
      </c>
      <c r="J10">
        <v>1</v>
      </c>
      <c r="K10">
        <v>0.90516885719337503</v>
      </c>
      <c r="L10" t="s">
        <v>945</v>
      </c>
      <c r="M10" t="str">
        <f>HYPERLINK("../../3.KEGG_map/SCI_II-vs-NC-Up/rno00100.html","rno00100")</f>
        <v>rno00100</v>
      </c>
    </row>
    <row r="11" spans="1:13" x14ac:dyDescent="0.25">
      <c r="A11" t="s">
        <v>52</v>
      </c>
      <c r="B11" t="s">
        <v>53</v>
      </c>
      <c r="C11" t="s">
        <v>15</v>
      </c>
      <c r="D11" t="s">
        <v>38</v>
      </c>
      <c r="E11">
        <v>1</v>
      </c>
      <c r="F11">
        <v>893</v>
      </c>
      <c r="G11">
        <v>16</v>
      </c>
      <c r="H11">
        <v>7679</v>
      </c>
      <c r="I11">
        <v>0.86194484628623003</v>
      </c>
      <c r="J11">
        <v>1</v>
      </c>
      <c r="K11">
        <v>0.53744400895856703</v>
      </c>
      <c r="L11" t="s">
        <v>946</v>
      </c>
      <c r="M11" t="str">
        <f>HYPERLINK("../../3.KEGG_map/SCI_II-vs-NC-Up/rno00120.html","rno00120")</f>
        <v>rno00120</v>
      </c>
    </row>
    <row r="12" spans="1:13" x14ac:dyDescent="0.25">
      <c r="A12" t="s">
        <v>55</v>
      </c>
      <c r="B12" t="s">
        <v>56</v>
      </c>
      <c r="C12" t="s">
        <v>15</v>
      </c>
      <c r="D12" t="s">
        <v>57</v>
      </c>
      <c r="E12">
        <v>1</v>
      </c>
      <c r="F12">
        <v>893</v>
      </c>
      <c r="G12">
        <v>11</v>
      </c>
      <c r="H12">
        <v>7679</v>
      </c>
      <c r="I12">
        <v>0.74355671541122803</v>
      </c>
      <c r="J12">
        <v>1</v>
      </c>
      <c r="K12">
        <v>0.78173674030337004</v>
      </c>
      <c r="L12" t="s">
        <v>947</v>
      </c>
      <c r="M12" t="str">
        <f>HYPERLINK("../../3.KEGG_map/SCI_II-vs-NC-Up/rno00130.html","rno00130")</f>
        <v>rno00130</v>
      </c>
    </row>
    <row r="13" spans="1:13" x14ac:dyDescent="0.25">
      <c r="A13" t="s">
        <v>59</v>
      </c>
      <c r="B13" t="s">
        <v>60</v>
      </c>
      <c r="C13" t="s">
        <v>15</v>
      </c>
      <c r="D13" t="s">
        <v>38</v>
      </c>
      <c r="E13">
        <v>9</v>
      </c>
      <c r="F13">
        <v>893</v>
      </c>
      <c r="G13">
        <v>75</v>
      </c>
      <c r="H13">
        <v>7679</v>
      </c>
      <c r="I13">
        <v>0.51365876090428397</v>
      </c>
      <c r="J13">
        <v>0.93898926738243105</v>
      </c>
      <c r="K13">
        <v>1.03189249720045</v>
      </c>
      <c r="L13" t="s">
        <v>948</v>
      </c>
      <c r="M13" t="str">
        <f>HYPERLINK("../../3.KEGG_map/SCI_II-vs-NC-Up/rno00140.html","rno00140")</f>
        <v>rno00140</v>
      </c>
    </row>
    <row r="14" spans="1:13" x14ac:dyDescent="0.25">
      <c r="A14" t="s">
        <v>62</v>
      </c>
      <c r="B14" t="s">
        <v>63</v>
      </c>
      <c r="C14" t="s">
        <v>15</v>
      </c>
      <c r="D14" t="s">
        <v>64</v>
      </c>
      <c r="E14">
        <v>1</v>
      </c>
      <c r="F14">
        <v>893</v>
      </c>
      <c r="G14">
        <v>119</v>
      </c>
      <c r="H14">
        <v>7679</v>
      </c>
      <c r="I14">
        <v>0.99999963862373797</v>
      </c>
      <c r="J14">
        <v>1</v>
      </c>
      <c r="K14">
        <v>7.2261379355773703E-2</v>
      </c>
      <c r="L14" t="s">
        <v>949</v>
      </c>
      <c r="M14" t="str">
        <f>HYPERLINK("../../3.KEGG_map/SCI_II-vs-NC-Up/rno00190.html","rno00190")</f>
        <v>rno00190</v>
      </c>
    </row>
    <row r="15" spans="1:13" x14ac:dyDescent="0.25">
      <c r="A15" t="s">
        <v>66</v>
      </c>
      <c r="B15" t="s">
        <v>67</v>
      </c>
      <c r="C15" t="s">
        <v>15</v>
      </c>
      <c r="D15" t="s">
        <v>68</v>
      </c>
      <c r="E15">
        <v>2</v>
      </c>
      <c r="F15">
        <v>893</v>
      </c>
      <c r="G15">
        <v>19</v>
      </c>
      <c r="H15">
        <v>7679</v>
      </c>
      <c r="I15">
        <v>0.66616750588259199</v>
      </c>
      <c r="J15">
        <v>1</v>
      </c>
      <c r="K15">
        <v>0.90516885719337503</v>
      </c>
      <c r="L15" t="s">
        <v>950</v>
      </c>
      <c r="M15" t="str">
        <f>HYPERLINK("../../3.KEGG_map/SCI_II-vs-NC-Up/rno00220.html","rno00220")</f>
        <v>rno00220</v>
      </c>
    </row>
    <row r="16" spans="1:13" x14ac:dyDescent="0.25">
      <c r="A16" t="s">
        <v>70</v>
      </c>
      <c r="B16" t="s">
        <v>71</v>
      </c>
      <c r="C16" t="s">
        <v>15</v>
      </c>
      <c r="D16" t="s">
        <v>72</v>
      </c>
      <c r="E16">
        <v>16</v>
      </c>
      <c r="F16">
        <v>893</v>
      </c>
      <c r="G16">
        <v>169</v>
      </c>
      <c r="H16">
        <v>7679</v>
      </c>
      <c r="I16">
        <v>0.84363961476013904</v>
      </c>
      <c r="J16">
        <v>1</v>
      </c>
      <c r="K16">
        <v>0.81411636859995895</v>
      </c>
      <c r="L16" t="s">
        <v>951</v>
      </c>
      <c r="M16" t="str">
        <f>HYPERLINK("../../3.KEGG_map/SCI_II-vs-NC-Up/rno00230.html","rno00230")</f>
        <v>rno00230</v>
      </c>
    </row>
    <row r="17" spans="1:13" x14ac:dyDescent="0.25">
      <c r="A17" t="s">
        <v>74</v>
      </c>
      <c r="B17" t="s">
        <v>75</v>
      </c>
      <c r="C17" t="s">
        <v>15</v>
      </c>
      <c r="D17" t="s">
        <v>72</v>
      </c>
      <c r="E17">
        <v>12</v>
      </c>
      <c r="F17">
        <v>893</v>
      </c>
      <c r="G17">
        <v>96</v>
      </c>
      <c r="H17">
        <v>7679</v>
      </c>
      <c r="I17">
        <v>0.44143139768549899</v>
      </c>
      <c r="J17">
        <v>0.892123593923841</v>
      </c>
      <c r="K17">
        <v>1.0748880179171301</v>
      </c>
      <c r="L17" t="s">
        <v>952</v>
      </c>
      <c r="M17" t="str">
        <f>HYPERLINK("../../3.KEGG_map/SCI_II-vs-NC-Up/rno00240.html","rno00240")</f>
        <v>rno00240</v>
      </c>
    </row>
    <row r="18" spans="1:13" x14ac:dyDescent="0.25">
      <c r="A18" t="s">
        <v>953</v>
      </c>
      <c r="B18" t="s">
        <v>954</v>
      </c>
      <c r="C18" t="s">
        <v>15</v>
      </c>
      <c r="D18" t="s">
        <v>68</v>
      </c>
      <c r="E18">
        <v>2</v>
      </c>
      <c r="F18">
        <v>893</v>
      </c>
      <c r="G18">
        <v>35</v>
      </c>
      <c r="H18">
        <v>7679</v>
      </c>
      <c r="I18">
        <v>0.92641144603064796</v>
      </c>
      <c r="J18">
        <v>1</v>
      </c>
      <c r="K18">
        <v>0.49137737961926098</v>
      </c>
      <c r="L18" t="s">
        <v>955</v>
      </c>
      <c r="M18" t="str">
        <f>HYPERLINK("../../3.KEGG_map/SCI_II-vs-NC-Up/rno00250.html","rno00250")</f>
        <v>rno00250</v>
      </c>
    </row>
    <row r="19" spans="1:13" x14ac:dyDescent="0.25">
      <c r="A19" t="s">
        <v>77</v>
      </c>
      <c r="B19" t="s">
        <v>78</v>
      </c>
      <c r="C19" t="s">
        <v>15</v>
      </c>
      <c r="D19" t="s">
        <v>68</v>
      </c>
      <c r="E19">
        <v>5</v>
      </c>
      <c r="F19">
        <v>893</v>
      </c>
      <c r="G19">
        <v>38</v>
      </c>
      <c r="H19">
        <v>7679</v>
      </c>
      <c r="I19">
        <v>0.45750528436616</v>
      </c>
      <c r="J19">
        <v>0.90048013966467499</v>
      </c>
      <c r="K19">
        <v>1.1314610714917199</v>
      </c>
      <c r="L19" t="s">
        <v>956</v>
      </c>
      <c r="M19" t="str">
        <f>HYPERLINK("../../3.KEGG_map/SCI_II-vs-NC-Up/rno00260.html","rno00260")</f>
        <v>rno00260</v>
      </c>
    </row>
    <row r="20" spans="1:13" x14ac:dyDescent="0.25">
      <c r="A20" t="s">
        <v>80</v>
      </c>
      <c r="B20" t="s">
        <v>81</v>
      </c>
      <c r="C20" t="s">
        <v>15</v>
      </c>
      <c r="D20" t="s">
        <v>68</v>
      </c>
      <c r="E20">
        <v>4</v>
      </c>
      <c r="F20">
        <v>893</v>
      </c>
      <c r="G20">
        <v>45</v>
      </c>
      <c r="H20">
        <v>7679</v>
      </c>
      <c r="I20">
        <v>0.78443795833847396</v>
      </c>
      <c r="J20">
        <v>1</v>
      </c>
      <c r="K20">
        <v>0.76436481274107304</v>
      </c>
      <c r="L20" t="s">
        <v>957</v>
      </c>
      <c r="M20" t="str">
        <f>HYPERLINK("../../3.KEGG_map/SCI_II-vs-NC-Up/rno00270.html","rno00270")</f>
        <v>rno00270</v>
      </c>
    </row>
    <row r="21" spans="1:13" x14ac:dyDescent="0.25">
      <c r="A21" t="s">
        <v>83</v>
      </c>
      <c r="B21" t="s">
        <v>84</v>
      </c>
      <c r="C21" t="s">
        <v>15</v>
      </c>
      <c r="D21" t="s">
        <v>68</v>
      </c>
      <c r="E21">
        <v>3</v>
      </c>
      <c r="F21">
        <v>893</v>
      </c>
      <c r="G21">
        <v>53</v>
      </c>
      <c r="H21">
        <v>7679</v>
      </c>
      <c r="I21">
        <v>0.95508938457491599</v>
      </c>
      <c r="J21">
        <v>1</v>
      </c>
      <c r="K21">
        <v>0.48674174396247499</v>
      </c>
      <c r="L21" t="s">
        <v>958</v>
      </c>
      <c r="M21" t="str">
        <f>HYPERLINK("../../3.KEGG_map/SCI_II-vs-NC-Up/rno00280.html","rno00280")</f>
        <v>rno00280</v>
      </c>
    </row>
    <row r="22" spans="1:13" x14ac:dyDescent="0.25">
      <c r="A22" t="s">
        <v>86</v>
      </c>
      <c r="B22" t="s">
        <v>87</v>
      </c>
      <c r="C22" t="s">
        <v>15</v>
      </c>
      <c r="D22" t="s">
        <v>68</v>
      </c>
      <c r="E22">
        <v>1</v>
      </c>
      <c r="F22">
        <v>893</v>
      </c>
      <c r="G22">
        <v>54</v>
      </c>
      <c r="H22">
        <v>7679</v>
      </c>
      <c r="I22">
        <v>0.998769751225423</v>
      </c>
      <c r="J22">
        <v>1</v>
      </c>
      <c r="K22">
        <v>0.15924266932105699</v>
      </c>
      <c r="L22" t="s">
        <v>959</v>
      </c>
      <c r="M22" t="str">
        <f>HYPERLINK("../../3.KEGG_map/SCI_II-vs-NC-Up/rno00310.html","rno00310")</f>
        <v>rno00310</v>
      </c>
    </row>
    <row r="23" spans="1:13" x14ac:dyDescent="0.25">
      <c r="A23" t="s">
        <v>89</v>
      </c>
      <c r="B23" t="s">
        <v>90</v>
      </c>
      <c r="C23" t="s">
        <v>15</v>
      </c>
      <c r="D23" t="s">
        <v>68</v>
      </c>
      <c r="E23">
        <v>6</v>
      </c>
      <c r="F23">
        <v>893</v>
      </c>
      <c r="G23">
        <v>48</v>
      </c>
      <c r="H23">
        <v>7679</v>
      </c>
      <c r="I23">
        <v>0.49144026450328399</v>
      </c>
      <c r="J23">
        <v>0.935467399742967</v>
      </c>
      <c r="K23">
        <v>1.0748880179171301</v>
      </c>
      <c r="L23" t="s">
        <v>960</v>
      </c>
      <c r="M23" t="str">
        <f>HYPERLINK("../../3.KEGG_map/SCI_II-vs-NC-Up/rno00330.html","rno00330")</f>
        <v>rno00330</v>
      </c>
    </row>
    <row r="24" spans="1:13" x14ac:dyDescent="0.25">
      <c r="A24" t="s">
        <v>92</v>
      </c>
      <c r="B24" t="s">
        <v>93</v>
      </c>
      <c r="C24" t="s">
        <v>15</v>
      </c>
      <c r="D24" t="s">
        <v>68</v>
      </c>
      <c r="E24">
        <v>4</v>
      </c>
      <c r="F24">
        <v>893</v>
      </c>
      <c r="G24">
        <v>23</v>
      </c>
      <c r="H24">
        <v>7679</v>
      </c>
      <c r="I24">
        <v>0.275308235395618</v>
      </c>
      <c r="J24">
        <v>0.64164580668817295</v>
      </c>
      <c r="K24">
        <v>1.4954963727542701</v>
      </c>
      <c r="L24" t="s">
        <v>94</v>
      </c>
      <c r="M24" t="str">
        <f>HYPERLINK("../../3.KEGG_map/SCI_II-vs-NC-Up/rno00340.html","rno00340")</f>
        <v>rno00340</v>
      </c>
    </row>
    <row r="25" spans="1:13" x14ac:dyDescent="0.25">
      <c r="A25" t="s">
        <v>95</v>
      </c>
      <c r="B25" t="s">
        <v>96</v>
      </c>
      <c r="C25" t="s">
        <v>15</v>
      </c>
      <c r="D25" t="s">
        <v>68</v>
      </c>
      <c r="E25">
        <v>2</v>
      </c>
      <c r="F25">
        <v>893</v>
      </c>
      <c r="G25">
        <v>38</v>
      </c>
      <c r="H25">
        <v>7679</v>
      </c>
      <c r="I25">
        <v>0.94571593123509101</v>
      </c>
      <c r="J25">
        <v>1</v>
      </c>
      <c r="K25">
        <v>0.45258442859668802</v>
      </c>
      <c r="L25" t="s">
        <v>961</v>
      </c>
      <c r="M25" t="str">
        <f>HYPERLINK("../../3.KEGG_map/SCI_II-vs-NC-Up/rno00350.html","rno00350")</f>
        <v>rno00350</v>
      </c>
    </row>
    <row r="26" spans="1:13" x14ac:dyDescent="0.25">
      <c r="A26" t="s">
        <v>98</v>
      </c>
      <c r="B26" t="s">
        <v>99</v>
      </c>
      <c r="C26" t="s">
        <v>15</v>
      </c>
      <c r="D26" t="s">
        <v>68</v>
      </c>
      <c r="E26">
        <v>1</v>
      </c>
      <c r="F26">
        <v>893</v>
      </c>
      <c r="G26">
        <v>20</v>
      </c>
      <c r="H26">
        <v>7679</v>
      </c>
      <c r="I26">
        <v>0.91590558999360905</v>
      </c>
      <c r="J26">
        <v>1</v>
      </c>
      <c r="K26">
        <v>0.42995520716685298</v>
      </c>
      <c r="L26" t="s">
        <v>962</v>
      </c>
      <c r="M26" t="str">
        <f>HYPERLINK("../../3.KEGG_map/SCI_II-vs-NC-Up/rno00360.html","rno00360")</f>
        <v>rno00360</v>
      </c>
    </row>
    <row r="27" spans="1:13" x14ac:dyDescent="0.25">
      <c r="A27" t="s">
        <v>101</v>
      </c>
      <c r="B27" t="s">
        <v>102</v>
      </c>
      <c r="C27" t="s">
        <v>15</v>
      </c>
      <c r="D27" t="s">
        <v>68</v>
      </c>
      <c r="E27">
        <v>8</v>
      </c>
      <c r="F27">
        <v>893</v>
      </c>
      <c r="G27">
        <v>45</v>
      </c>
      <c r="H27">
        <v>7679</v>
      </c>
      <c r="I27">
        <v>0.145381616041169</v>
      </c>
      <c r="J27">
        <v>0.40836490532971498</v>
      </c>
      <c r="K27">
        <v>1.5287296254821501</v>
      </c>
      <c r="L27" t="s">
        <v>963</v>
      </c>
      <c r="M27" t="str">
        <f>HYPERLINK("../../3.KEGG_map/SCI_II-vs-NC-Up/rno00380.html","rno00380")</f>
        <v>rno00380</v>
      </c>
    </row>
    <row r="28" spans="1:13" x14ac:dyDescent="0.25">
      <c r="A28" t="s">
        <v>104</v>
      </c>
      <c r="B28" t="s">
        <v>105</v>
      </c>
      <c r="C28" t="s">
        <v>15</v>
      </c>
      <c r="D28" t="s">
        <v>106</v>
      </c>
      <c r="E28">
        <v>1</v>
      </c>
      <c r="F28">
        <v>893</v>
      </c>
      <c r="G28">
        <v>30</v>
      </c>
      <c r="H28">
        <v>7679</v>
      </c>
      <c r="I28">
        <v>0.97567631941418698</v>
      </c>
      <c r="J28">
        <v>1</v>
      </c>
      <c r="K28">
        <v>0.28663680477790199</v>
      </c>
      <c r="L28" t="s">
        <v>962</v>
      </c>
      <c r="M28" t="str">
        <f>HYPERLINK("../../3.KEGG_map/SCI_II-vs-NC-Up/rno00410.html","rno00410")</f>
        <v>rno00410</v>
      </c>
    </row>
    <row r="29" spans="1:13" x14ac:dyDescent="0.25">
      <c r="A29" t="s">
        <v>108</v>
      </c>
      <c r="B29" t="s">
        <v>109</v>
      </c>
      <c r="C29" t="s">
        <v>15</v>
      </c>
      <c r="D29" t="s">
        <v>106</v>
      </c>
      <c r="E29">
        <v>2</v>
      </c>
      <c r="F29">
        <v>893</v>
      </c>
      <c r="G29">
        <v>11</v>
      </c>
      <c r="H29">
        <v>7679</v>
      </c>
      <c r="I29">
        <v>0.37179721356419299</v>
      </c>
      <c r="J29">
        <v>0.76749567657179896</v>
      </c>
      <c r="K29">
        <v>1.5634734806067401</v>
      </c>
      <c r="L29" t="s">
        <v>964</v>
      </c>
      <c r="M29" t="str">
        <f>HYPERLINK("../../3.KEGG_map/SCI_II-vs-NC-Up/rno00430.html","rno00430")</f>
        <v>rno00430</v>
      </c>
    </row>
    <row r="30" spans="1:13" x14ac:dyDescent="0.25">
      <c r="A30" t="s">
        <v>111</v>
      </c>
      <c r="B30" t="s">
        <v>112</v>
      </c>
      <c r="C30" t="s">
        <v>15</v>
      </c>
      <c r="D30" t="s">
        <v>106</v>
      </c>
      <c r="E30">
        <v>1</v>
      </c>
      <c r="F30">
        <v>893</v>
      </c>
      <c r="G30">
        <v>5</v>
      </c>
      <c r="H30">
        <v>7679</v>
      </c>
      <c r="I30">
        <v>0.46114553865180602</v>
      </c>
      <c r="J30">
        <v>0.90048013966467499</v>
      </c>
      <c r="K30">
        <v>1.7198208286674099</v>
      </c>
      <c r="L30" t="s">
        <v>113</v>
      </c>
      <c r="M30" t="str">
        <f>HYPERLINK("../../3.KEGG_map/SCI_II-vs-NC-Up/rno00440.html","rno00440")</f>
        <v>rno00440</v>
      </c>
    </row>
    <row r="31" spans="1:13" x14ac:dyDescent="0.25">
      <c r="A31" t="s">
        <v>114</v>
      </c>
      <c r="B31" t="s">
        <v>115</v>
      </c>
      <c r="C31" t="s">
        <v>15</v>
      </c>
      <c r="D31" t="s">
        <v>106</v>
      </c>
      <c r="E31">
        <v>1</v>
      </c>
      <c r="F31">
        <v>893</v>
      </c>
      <c r="G31">
        <v>17</v>
      </c>
      <c r="H31">
        <v>7679</v>
      </c>
      <c r="I31">
        <v>0.87803296481244697</v>
      </c>
      <c r="J31">
        <v>1</v>
      </c>
      <c r="K31">
        <v>0.50582965549041603</v>
      </c>
      <c r="L31" t="s">
        <v>965</v>
      </c>
      <c r="M31" t="str">
        <f>HYPERLINK("../../3.KEGG_map/SCI_II-vs-NC-Up/rno00450.html","rno00450")</f>
        <v>rno00450</v>
      </c>
    </row>
    <row r="32" spans="1:13" x14ac:dyDescent="0.25">
      <c r="A32" t="s">
        <v>117</v>
      </c>
      <c r="B32" t="s">
        <v>118</v>
      </c>
      <c r="C32" t="s">
        <v>15</v>
      </c>
      <c r="D32" t="s">
        <v>106</v>
      </c>
      <c r="E32">
        <v>15</v>
      </c>
      <c r="F32">
        <v>893</v>
      </c>
      <c r="G32">
        <v>58</v>
      </c>
      <c r="H32">
        <v>7679</v>
      </c>
      <c r="I32">
        <v>2.0453475098451599E-3</v>
      </c>
      <c r="J32">
        <v>1.00187361075466E-2</v>
      </c>
      <c r="K32">
        <v>2.2239062439664798</v>
      </c>
      <c r="L32" t="s">
        <v>966</v>
      </c>
      <c r="M32" t="str">
        <f>HYPERLINK("../../3.KEGG_map/SCI_II-vs-NC-Up/rno00480.html","rno00480")</f>
        <v>rno00480</v>
      </c>
    </row>
    <row r="33" spans="1:13" x14ac:dyDescent="0.25">
      <c r="A33" t="s">
        <v>120</v>
      </c>
      <c r="B33" t="s">
        <v>121</v>
      </c>
      <c r="C33" t="s">
        <v>15</v>
      </c>
      <c r="D33" t="s">
        <v>16</v>
      </c>
      <c r="E33">
        <v>2</v>
      </c>
      <c r="F33">
        <v>893</v>
      </c>
      <c r="G33">
        <v>29</v>
      </c>
      <c r="H33">
        <v>7679</v>
      </c>
      <c r="I33">
        <v>0.86693363032633597</v>
      </c>
      <c r="J33">
        <v>1</v>
      </c>
      <c r="K33">
        <v>0.59304166505772904</v>
      </c>
      <c r="L33" t="s">
        <v>967</v>
      </c>
      <c r="M33" t="str">
        <f>HYPERLINK("../../3.KEGG_map/SCI_II-vs-NC-Up/rno00500.html","rno00500")</f>
        <v>rno00500</v>
      </c>
    </row>
    <row r="34" spans="1:13" x14ac:dyDescent="0.25">
      <c r="A34" t="s">
        <v>968</v>
      </c>
      <c r="B34" t="s">
        <v>969</v>
      </c>
      <c r="C34" t="s">
        <v>15</v>
      </c>
      <c r="D34" t="s">
        <v>125</v>
      </c>
      <c r="E34">
        <v>2</v>
      </c>
      <c r="F34">
        <v>893</v>
      </c>
      <c r="G34">
        <v>48</v>
      </c>
      <c r="H34">
        <v>7679</v>
      </c>
      <c r="I34">
        <v>0.98088733237803905</v>
      </c>
      <c r="J34">
        <v>1</v>
      </c>
      <c r="K34">
        <v>0.35829600597237798</v>
      </c>
      <c r="L34" t="s">
        <v>970</v>
      </c>
      <c r="M34" t="str">
        <f>HYPERLINK("../../3.KEGG_map/SCI_II-vs-NC-Up/rno00510.html","rno00510")</f>
        <v>rno00510</v>
      </c>
    </row>
    <row r="35" spans="1:13" x14ac:dyDescent="0.25">
      <c r="A35" t="s">
        <v>123</v>
      </c>
      <c r="B35" t="s">
        <v>124</v>
      </c>
      <c r="C35" t="s">
        <v>15</v>
      </c>
      <c r="D35" t="s">
        <v>125</v>
      </c>
      <c r="E35">
        <v>8</v>
      </c>
      <c r="F35">
        <v>893</v>
      </c>
      <c r="G35">
        <v>27</v>
      </c>
      <c r="H35">
        <v>7679</v>
      </c>
      <c r="I35">
        <v>9.5139706273564498E-3</v>
      </c>
      <c r="J35">
        <v>3.9279107304371598E-2</v>
      </c>
      <c r="K35">
        <v>2.5478827091369101</v>
      </c>
      <c r="L35" t="s">
        <v>971</v>
      </c>
      <c r="M35" t="str">
        <f>HYPERLINK("../../3.KEGG_map/SCI_II-vs-NC-Up/rno00512.html","rno00512")</f>
        <v>rno00512</v>
      </c>
    </row>
    <row r="36" spans="1:13" x14ac:dyDescent="0.25">
      <c r="A36" t="s">
        <v>127</v>
      </c>
      <c r="B36" t="s">
        <v>128</v>
      </c>
      <c r="C36" t="s">
        <v>15</v>
      </c>
      <c r="D36" t="s">
        <v>125</v>
      </c>
      <c r="E36">
        <v>1</v>
      </c>
      <c r="F36">
        <v>893</v>
      </c>
      <c r="G36">
        <v>22</v>
      </c>
      <c r="H36">
        <v>7679</v>
      </c>
      <c r="I36">
        <v>0.93437346255605702</v>
      </c>
      <c r="J36">
        <v>1</v>
      </c>
      <c r="K36">
        <v>0.39086837015168502</v>
      </c>
      <c r="L36" t="s">
        <v>972</v>
      </c>
      <c r="M36" t="str">
        <f>HYPERLINK("../../3.KEGG_map/SCI_II-vs-NC-Up/rno00514.html","rno00514")</f>
        <v>rno00514</v>
      </c>
    </row>
    <row r="37" spans="1:13" x14ac:dyDescent="0.25">
      <c r="A37" t="s">
        <v>133</v>
      </c>
      <c r="B37" t="s">
        <v>134</v>
      </c>
      <c r="C37" t="s">
        <v>15</v>
      </c>
      <c r="D37" t="s">
        <v>16</v>
      </c>
      <c r="E37">
        <v>5</v>
      </c>
      <c r="F37">
        <v>893</v>
      </c>
      <c r="G37">
        <v>47</v>
      </c>
      <c r="H37">
        <v>7679</v>
      </c>
      <c r="I37">
        <v>0.65212739916350404</v>
      </c>
      <c r="J37">
        <v>1</v>
      </c>
      <c r="K37">
        <v>0.91479831312096405</v>
      </c>
      <c r="L37" t="s">
        <v>973</v>
      </c>
      <c r="M37" t="str">
        <f>HYPERLINK("../../3.KEGG_map/SCI_II-vs-NC-Up/rno00520.html","rno00520")</f>
        <v>rno00520</v>
      </c>
    </row>
    <row r="38" spans="1:13" x14ac:dyDescent="0.25">
      <c r="A38" t="s">
        <v>974</v>
      </c>
      <c r="B38" t="s">
        <v>975</v>
      </c>
      <c r="C38" t="s">
        <v>15</v>
      </c>
      <c r="D38" t="s">
        <v>125</v>
      </c>
      <c r="E38">
        <v>2</v>
      </c>
      <c r="F38">
        <v>893</v>
      </c>
      <c r="G38">
        <v>20</v>
      </c>
      <c r="H38">
        <v>7679</v>
      </c>
      <c r="I38">
        <v>0.69395699198649596</v>
      </c>
      <c r="J38">
        <v>1</v>
      </c>
      <c r="K38">
        <v>0.85991041433370696</v>
      </c>
      <c r="L38" t="s">
        <v>976</v>
      </c>
      <c r="M38" t="str">
        <f>HYPERLINK("../../3.KEGG_map/SCI_II-vs-NC-Up/rno00531.html","rno00531")</f>
        <v>rno00531</v>
      </c>
    </row>
    <row r="39" spans="1:13" x14ac:dyDescent="0.25">
      <c r="A39" t="s">
        <v>136</v>
      </c>
      <c r="B39" t="s">
        <v>137</v>
      </c>
      <c r="C39" t="s">
        <v>15</v>
      </c>
      <c r="D39" t="s">
        <v>125</v>
      </c>
      <c r="E39">
        <v>2</v>
      </c>
      <c r="F39">
        <v>893</v>
      </c>
      <c r="G39">
        <v>21</v>
      </c>
      <c r="H39">
        <v>7679</v>
      </c>
      <c r="I39">
        <v>0.71980607795363905</v>
      </c>
      <c r="J39">
        <v>1</v>
      </c>
      <c r="K39">
        <v>0.81896229936543496</v>
      </c>
      <c r="L39" t="s">
        <v>977</v>
      </c>
      <c r="M39" t="str">
        <f>HYPERLINK("../../3.KEGG_map/SCI_II-vs-NC-Up/rno00532.html","rno00532")</f>
        <v>rno00532</v>
      </c>
    </row>
    <row r="40" spans="1:13" x14ac:dyDescent="0.25">
      <c r="A40" t="s">
        <v>142</v>
      </c>
      <c r="B40" t="s">
        <v>143</v>
      </c>
      <c r="C40" t="s">
        <v>15</v>
      </c>
      <c r="D40" t="s">
        <v>125</v>
      </c>
      <c r="E40">
        <v>3</v>
      </c>
      <c r="F40">
        <v>893</v>
      </c>
      <c r="G40">
        <v>25</v>
      </c>
      <c r="H40">
        <v>7679</v>
      </c>
      <c r="I40">
        <v>0.569029919508799</v>
      </c>
      <c r="J40">
        <v>0.99714750377734596</v>
      </c>
      <c r="K40">
        <v>1.03189249720045</v>
      </c>
      <c r="L40" t="s">
        <v>978</v>
      </c>
      <c r="M40" t="str">
        <f>HYPERLINK("../../3.KEGG_map/SCI_II-vs-NC-Up/rno00534.html","rno00534")</f>
        <v>rno00534</v>
      </c>
    </row>
    <row r="41" spans="1:13" x14ac:dyDescent="0.25">
      <c r="A41" t="s">
        <v>145</v>
      </c>
      <c r="B41" t="s">
        <v>146</v>
      </c>
      <c r="C41" t="s">
        <v>15</v>
      </c>
      <c r="D41" t="s">
        <v>38</v>
      </c>
      <c r="E41">
        <v>5</v>
      </c>
      <c r="F41">
        <v>893</v>
      </c>
      <c r="G41">
        <v>61</v>
      </c>
      <c r="H41">
        <v>7679</v>
      </c>
      <c r="I41">
        <v>0.85285131144069104</v>
      </c>
      <c r="J41">
        <v>1</v>
      </c>
      <c r="K41">
        <v>0.70484460191287401</v>
      </c>
      <c r="L41" t="s">
        <v>979</v>
      </c>
      <c r="M41" t="str">
        <f>HYPERLINK("../../3.KEGG_map/SCI_II-vs-NC-Up/rno00561.html","rno00561")</f>
        <v>rno00561</v>
      </c>
    </row>
    <row r="42" spans="1:13" x14ac:dyDescent="0.25">
      <c r="A42" t="s">
        <v>148</v>
      </c>
      <c r="B42" t="s">
        <v>149</v>
      </c>
      <c r="C42" t="s">
        <v>15</v>
      </c>
      <c r="D42" t="s">
        <v>16</v>
      </c>
      <c r="E42">
        <v>2</v>
      </c>
      <c r="F42">
        <v>893</v>
      </c>
      <c r="G42">
        <v>73</v>
      </c>
      <c r="H42">
        <v>7679</v>
      </c>
      <c r="I42">
        <v>0.99876790171763796</v>
      </c>
      <c r="J42">
        <v>1</v>
      </c>
      <c r="K42">
        <v>0.23559189433800201</v>
      </c>
      <c r="L42" t="s">
        <v>980</v>
      </c>
      <c r="M42" t="str">
        <f>HYPERLINK("../../3.KEGG_map/SCI_II-vs-NC-Up/rno00562.html","rno00562")</f>
        <v>rno00562</v>
      </c>
    </row>
    <row r="43" spans="1:13" x14ac:dyDescent="0.25">
      <c r="A43" t="s">
        <v>151</v>
      </c>
      <c r="B43" t="s">
        <v>152</v>
      </c>
      <c r="C43" t="s">
        <v>15</v>
      </c>
      <c r="D43" t="s">
        <v>38</v>
      </c>
      <c r="E43">
        <v>8</v>
      </c>
      <c r="F43">
        <v>893</v>
      </c>
      <c r="G43">
        <v>96</v>
      </c>
      <c r="H43">
        <v>7679</v>
      </c>
      <c r="I43">
        <v>0.88385990191291197</v>
      </c>
      <c r="J43">
        <v>1</v>
      </c>
      <c r="K43">
        <v>0.71659201194475597</v>
      </c>
      <c r="L43" t="s">
        <v>981</v>
      </c>
      <c r="M43" t="str">
        <f>HYPERLINK("../../3.KEGG_map/SCI_II-vs-NC-Up/rno00564.html","rno00564")</f>
        <v>rno00564</v>
      </c>
    </row>
    <row r="44" spans="1:13" x14ac:dyDescent="0.25">
      <c r="A44" t="s">
        <v>154</v>
      </c>
      <c r="B44" t="s">
        <v>155</v>
      </c>
      <c r="C44" t="s">
        <v>15</v>
      </c>
      <c r="D44" t="s">
        <v>38</v>
      </c>
      <c r="E44">
        <v>6</v>
      </c>
      <c r="F44">
        <v>893</v>
      </c>
      <c r="G44">
        <v>45</v>
      </c>
      <c r="H44">
        <v>7679</v>
      </c>
      <c r="I44">
        <v>0.427313126298905</v>
      </c>
      <c r="J44">
        <v>0.86967248943932096</v>
      </c>
      <c r="K44">
        <v>1.1465472191116099</v>
      </c>
      <c r="L44" t="s">
        <v>982</v>
      </c>
      <c r="M44" t="str">
        <f>HYPERLINK("../../3.KEGG_map/SCI_II-vs-NC-Up/rno00565.html","rno00565")</f>
        <v>rno00565</v>
      </c>
    </row>
    <row r="45" spans="1:13" x14ac:dyDescent="0.25">
      <c r="A45" t="s">
        <v>157</v>
      </c>
      <c r="B45" t="s">
        <v>158</v>
      </c>
      <c r="C45" t="s">
        <v>15</v>
      </c>
      <c r="D45" t="s">
        <v>38</v>
      </c>
      <c r="E45">
        <v>8</v>
      </c>
      <c r="F45">
        <v>893</v>
      </c>
      <c r="G45">
        <v>77</v>
      </c>
      <c r="H45">
        <v>7679</v>
      </c>
      <c r="I45">
        <v>0.68628122291357696</v>
      </c>
      <c r="J45">
        <v>1</v>
      </c>
      <c r="K45">
        <v>0.89341341748956504</v>
      </c>
      <c r="L45" t="s">
        <v>983</v>
      </c>
      <c r="M45" t="str">
        <f>HYPERLINK("../../3.KEGG_map/SCI_II-vs-NC-Up/rno00590.html","rno00590")</f>
        <v>rno00590</v>
      </c>
    </row>
    <row r="46" spans="1:13" x14ac:dyDescent="0.25">
      <c r="A46" t="s">
        <v>160</v>
      </c>
      <c r="B46" t="s">
        <v>161</v>
      </c>
      <c r="C46" t="s">
        <v>15</v>
      </c>
      <c r="D46" t="s">
        <v>38</v>
      </c>
      <c r="E46">
        <v>5</v>
      </c>
      <c r="F46">
        <v>893</v>
      </c>
      <c r="G46">
        <v>39</v>
      </c>
      <c r="H46">
        <v>7679</v>
      </c>
      <c r="I46">
        <v>0.48103059226470601</v>
      </c>
      <c r="J46">
        <v>0.92678560776333396</v>
      </c>
      <c r="K46">
        <v>1.10244924914578</v>
      </c>
      <c r="L46" t="s">
        <v>984</v>
      </c>
      <c r="M46" t="str">
        <f>HYPERLINK("../../3.KEGG_map/SCI_II-vs-NC-Up/rno00591.html","rno00591")</f>
        <v>rno00591</v>
      </c>
    </row>
    <row r="47" spans="1:13" x14ac:dyDescent="0.25">
      <c r="A47" t="s">
        <v>163</v>
      </c>
      <c r="B47" t="s">
        <v>164</v>
      </c>
      <c r="C47" t="s">
        <v>15</v>
      </c>
      <c r="D47" t="s">
        <v>38</v>
      </c>
      <c r="E47">
        <v>3</v>
      </c>
      <c r="F47">
        <v>893</v>
      </c>
      <c r="G47">
        <v>23</v>
      </c>
      <c r="H47">
        <v>7679</v>
      </c>
      <c r="I47">
        <v>0.51066876240324399</v>
      </c>
      <c r="J47">
        <v>0.93898926738243105</v>
      </c>
      <c r="K47">
        <v>1.1216222795657</v>
      </c>
      <c r="L47" t="s">
        <v>985</v>
      </c>
      <c r="M47" t="str">
        <f>HYPERLINK("../../3.KEGG_map/SCI_II-vs-NC-Up/rno00592.html","rno00592")</f>
        <v>rno00592</v>
      </c>
    </row>
    <row r="48" spans="1:13" x14ac:dyDescent="0.25">
      <c r="A48" t="s">
        <v>166</v>
      </c>
      <c r="B48" t="s">
        <v>167</v>
      </c>
      <c r="C48" t="s">
        <v>15</v>
      </c>
      <c r="D48" t="s">
        <v>38</v>
      </c>
      <c r="E48">
        <v>4</v>
      </c>
      <c r="F48">
        <v>893</v>
      </c>
      <c r="G48">
        <v>49</v>
      </c>
      <c r="H48">
        <v>7679</v>
      </c>
      <c r="I48">
        <v>0.83755826311548798</v>
      </c>
      <c r="J48">
        <v>1</v>
      </c>
      <c r="K48">
        <v>0.701967685170373</v>
      </c>
      <c r="L48" t="s">
        <v>986</v>
      </c>
      <c r="M48" t="str">
        <f>HYPERLINK("../../3.KEGG_map/SCI_II-vs-NC-Up/rno00600.html","rno00600")</f>
        <v>rno00600</v>
      </c>
    </row>
    <row r="49" spans="1:13" x14ac:dyDescent="0.25">
      <c r="A49" t="s">
        <v>169</v>
      </c>
      <c r="B49" t="s">
        <v>170</v>
      </c>
      <c r="C49" t="s">
        <v>15</v>
      </c>
      <c r="D49" t="s">
        <v>125</v>
      </c>
      <c r="E49">
        <v>6</v>
      </c>
      <c r="F49">
        <v>893</v>
      </c>
      <c r="G49">
        <v>29</v>
      </c>
      <c r="H49">
        <v>7679</v>
      </c>
      <c r="I49">
        <v>0.11268283802262</v>
      </c>
      <c r="J49">
        <v>0.33572515658285601</v>
      </c>
      <c r="K49">
        <v>1.77912499517319</v>
      </c>
      <c r="L49" t="s">
        <v>987</v>
      </c>
      <c r="M49" t="str">
        <f>HYPERLINK("../../3.KEGG_map/SCI_II-vs-NC-Up/rno00601.html","rno00601")</f>
        <v>rno00601</v>
      </c>
    </row>
    <row r="50" spans="1:13" x14ac:dyDescent="0.25">
      <c r="A50" t="s">
        <v>172</v>
      </c>
      <c r="B50" t="s">
        <v>173</v>
      </c>
      <c r="C50" t="s">
        <v>15</v>
      </c>
      <c r="D50" t="s">
        <v>125</v>
      </c>
      <c r="E50">
        <v>3</v>
      </c>
      <c r="F50">
        <v>893</v>
      </c>
      <c r="G50">
        <v>15</v>
      </c>
      <c r="H50">
        <v>7679</v>
      </c>
      <c r="I50">
        <v>0.24970385220399899</v>
      </c>
      <c r="J50">
        <v>0.60642364106685498</v>
      </c>
      <c r="K50">
        <v>1.7198208286674099</v>
      </c>
      <c r="L50" t="s">
        <v>988</v>
      </c>
      <c r="M50" t="str">
        <f>HYPERLINK("../../3.KEGG_map/SCI_II-vs-NC-Up/rno00603.html","rno00603")</f>
        <v>rno00603</v>
      </c>
    </row>
    <row r="51" spans="1:13" x14ac:dyDescent="0.25">
      <c r="A51" t="s">
        <v>989</v>
      </c>
      <c r="B51" t="s">
        <v>990</v>
      </c>
      <c r="C51" t="s">
        <v>15</v>
      </c>
      <c r="D51" t="s">
        <v>125</v>
      </c>
      <c r="E51">
        <v>2</v>
      </c>
      <c r="F51">
        <v>893</v>
      </c>
      <c r="G51">
        <v>15</v>
      </c>
      <c r="H51">
        <v>7679</v>
      </c>
      <c r="I51">
        <v>0.53465006778973301</v>
      </c>
      <c r="J51">
        <v>0.95378931846440096</v>
      </c>
      <c r="K51">
        <v>1.1465472191116099</v>
      </c>
      <c r="L51" t="s">
        <v>991</v>
      </c>
      <c r="M51" t="str">
        <f>HYPERLINK("../../3.KEGG_map/SCI_II-vs-NC-Up/rno00604.html","rno00604")</f>
        <v>rno00604</v>
      </c>
    </row>
    <row r="52" spans="1:13" x14ac:dyDescent="0.25">
      <c r="A52" t="s">
        <v>175</v>
      </c>
      <c r="B52" t="s">
        <v>176</v>
      </c>
      <c r="C52" t="s">
        <v>15</v>
      </c>
      <c r="D52" t="s">
        <v>16</v>
      </c>
      <c r="E52">
        <v>2</v>
      </c>
      <c r="F52">
        <v>893</v>
      </c>
      <c r="G52">
        <v>39</v>
      </c>
      <c r="H52">
        <v>7679</v>
      </c>
      <c r="I52">
        <v>0.95100171182083804</v>
      </c>
      <c r="J52">
        <v>1</v>
      </c>
      <c r="K52">
        <v>0.44097969965831102</v>
      </c>
      <c r="L52" t="s">
        <v>992</v>
      </c>
      <c r="M52" t="str">
        <f>HYPERLINK("../../3.KEGG_map/SCI_II-vs-NC-Up/rno00620.html","rno00620")</f>
        <v>rno00620</v>
      </c>
    </row>
    <row r="53" spans="1:13" x14ac:dyDescent="0.25">
      <c r="A53" t="s">
        <v>178</v>
      </c>
      <c r="B53" t="s">
        <v>179</v>
      </c>
      <c r="C53" t="s">
        <v>15</v>
      </c>
      <c r="D53" t="s">
        <v>16</v>
      </c>
      <c r="E53">
        <v>1</v>
      </c>
      <c r="F53">
        <v>893</v>
      </c>
      <c r="G53">
        <v>31</v>
      </c>
      <c r="H53">
        <v>7679</v>
      </c>
      <c r="I53">
        <v>0.97851604313795904</v>
      </c>
      <c r="J53">
        <v>1</v>
      </c>
      <c r="K53">
        <v>0.27739045623668002</v>
      </c>
      <c r="L53" t="s">
        <v>177</v>
      </c>
      <c r="M53" t="str">
        <f>HYPERLINK("../../3.KEGG_map/SCI_II-vs-NC-Up/rno00640.html","rno00640")</f>
        <v>rno00640</v>
      </c>
    </row>
    <row r="54" spans="1:13" x14ac:dyDescent="0.25">
      <c r="A54" t="s">
        <v>181</v>
      </c>
      <c r="B54" t="s">
        <v>182</v>
      </c>
      <c r="C54" t="s">
        <v>15</v>
      </c>
      <c r="D54" t="s">
        <v>16</v>
      </c>
      <c r="E54">
        <v>2</v>
      </c>
      <c r="F54">
        <v>893</v>
      </c>
      <c r="G54">
        <v>25</v>
      </c>
      <c r="H54">
        <v>7679</v>
      </c>
      <c r="I54">
        <v>0.80541218511888801</v>
      </c>
      <c r="J54">
        <v>1</v>
      </c>
      <c r="K54">
        <v>0.68792833146696497</v>
      </c>
      <c r="L54" t="s">
        <v>944</v>
      </c>
      <c r="M54" t="str">
        <f>HYPERLINK("../../3.KEGG_map/SCI_II-vs-NC-Up/rno00650.html","rno00650")</f>
        <v>rno00650</v>
      </c>
    </row>
    <row r="55" spans="1:13" x14ac:dyDescent="0.25">
      <c r="A55" t="s">
        <v>184</v>
      </c>
      <c r="B55" t="s">
        <v>185</v>
      </c>
      <c r="C55" t="s">
        <v>15</v>
      </c>
      <c r="D55" t="s">
        <v>57</v>
      </c>
      <c r="E55">
        <v>4</v>
      </c>
      <c r="F55">
        <v>893</v>
      </c>
      <c r="G55">
        <v>18</v>
      </c>
      <c r="H55">
        <v>7679</v>
      </c>
      <c r="I55">
        <v>0.14869837737731101</v>
      </c>
      <c r="J55">
        <v>0.40927458154326501</v>
      </c>
      <c r="K55">
        <v>1.91091203185268</v>
      </c>
      <c r="L55" t="s">
        <v>993</v>
      </c>
      <c r="M55" t="str">
        <f>HYPERLINK("../../3.KEGG_map/SCI_II-vs-NC-Up/rno00670.html","rno00670")</f>
        <v>rno00670</v>
      </c>
    </row>
    <row r="56" spans="1:13" x14ac:dyDescent="0.25">
      <c r="A56" t="s">
        <v>994</v>
      </c>
      <c r="B56" t="s">
        <v>995</v>
      </c>
      <c r="C56" t="s">
        <v>15</v>
      </c>
      <c r="D56" t="s">
        <v>57</v>
      </c>
      <c r="E56">
        <v>1</v>
      </c>
      <c r="F56">
        <v>893</v>
      </c>
      <c r="G56">
        <v>15</v>
      </c>
      <c r="H56">
        <v>7679</v>
      </c>
      <c r="I56">
        <v>0.84373730644478995</v>
      </c>
      <c r="J56">
        <v>1</v>
      </c>
      <c r="K56">
        <v>0.57327360955580398</v>
      </c>
      <c r="L56" t="s">
        <v>996</v>
      </c>
      <c r="M56" t="str">
        <f>HYPERLINK("../../3.KEGG_map/SCI_II-vs-NC-Up/rno00730.html","rno00730")</f>
        <v>rno00730</v>
      </c>
    </row>
    <row r="57" spans="1:13" x14ac:dyDescent="0.25">
      <c r="A57" t="s">
        <v>187</v>
      </c>
      <c r="B57" t="s">
        <v>188</v>
      </c>
      <c r="C57" t="s">
        <v>15</v>
      </c>
      <c r="D57" t="s">
        <v>57</v>
      </c>
      <c r="E57">
        <v>1</v>
      </c>
      <c r="F57">
        <v>893</v>
      </c>
      <c r="G57">
        <v>8</v>
      </c>
      <c r="H57">
        <v>7679</v>
      </c>
      <c r="I57">
        <v>0.62823802404529105</v>
      </c>
      <c r="J57">
        <v>1</v>
      </c>
      <c r="K57">
        <v>1.0748880179171301</v>
      </c>
      <c r="L57" t="s">
        <v>997</v>
      </c>
      <c r="M57" t="str">
        <f>HYPERLINK("../../3.KEGG_map/SCI_II-vs-NC-Up/rno00740.html","rno00740")</f>
        <v>rno00740</v>
      </c>
    </row>
    <row r="58" spans="1:13" x14ac:dyDescent="0.25">
      <c r="A58" t="s">
        <v>190</v>
      </c>
      <c r="B58" t="s">
        <v>191</v>
      </c>
      <c r="C58" t="s">
        <v>15</v>
      </c>
      <c r="D58" t="s">
        <v>57</v>
      </c>
      <c r="E58">
        <v>2</v>
      </c>
      <c r="F58">
        <v>893</v>
      </c>
      <c r="G58">
        <v>10</v>
      </c>
      <c r="H58">
        <v>7679</v>
      </c>
      <c r="I58">
        <v>0.32731393782572499</v>
      </c>
      <c r="J58">
        <v>0.70592334351966202</v>
      </c>
      <c r="K58">
        <v>1.7198208286674099</v>
      </c>
      <c r="L58" t="s">
        <v>192</v>
      </c>
      <c r="M58" t="str">
        <f>HYPERLINK("../../3.KEGG_map/SCI_II-vs-NC-Up/rno00750.html","rno00750")</f>
        <v>rno00750</v>
      </c>
    </row>
    <row r="59" spans="1:13" x14ac:dyDescent="0.25">
      <c r="A59" t="s">
        <v>193</v>
      </c>
      <c r="B59" t="s">
        <v>194</v>
      </c>
      <c r="C59" t="s">
        <v>15</v>
      </c>
      <c r="D59" t="s">
        <v>57</v>
      </c>
      <c r="E59">
        <v>4</v>
      </c>
      <c r="F59">
        <v>893</v>
      </c>
      <c r="G59">
        <v>32</v>
      </c>
      <c r="H59">
        <v>7679</v>
      </c>
      <c r="I59">
        <v>0.51985564976190002</v>
      </c>
      <c r="J59">
        <v>0.93898926738243105</v>
      </c>
      <c r="K59">
        <v>1.0748880179171301</v>
      </c>
      <c r="L59" t="s">
        <v>998</v>
      </c>
      <c r="M59" t="str">
        <f>HYPERLINK("../../3.KEGG_map/SCI_II-vs-NC-Up/rno00760.html","rno00760")</f>
        <v>rno00760</v>
      </c>
    </row>
    <row r="60" spans="1:13" x14ac:dyDescent="0.25">
      <c r="A60" t="s">
        <v>196</v>
      </c>
      <c r="B60" t="s">
        <v>197</v>
      </c>
      <c r="C60" t="s">
        <v>15</v>
      </c>
      <c r="D60" t="s">
        <v>57</v>
      </c>
      <c r="E60">
        <v>2</v>
      </c>
      <c r="F60">
        <v>893</v>
      </c>
      <c r="G60">
        <v>19</v>
      </c>
      <c r="H60">
        <v>7679</v>
      </c>
      <c r="I60">
        <v>0.66616750588259199</v>
      </c>
      <c r="J60">
        <v>1</v>
      </c>
      <c r="K60">
        <v>0.90516885719337503</v>
      </c>
      <c r="L60" t="s">
        <v>999</v>
      </c>
      <c r="M60" t="str">
        <f>HYPERLINK("../../3.KEGG_map/SCI_II-vs-NC-Up/rno00770.html","rno00770")</f>
        <v>rno00770</v>
      </c>
    </row>
    <row r="61" spans="1:13" x14ac:dyDescent="0.25">
      <c r="A61" t="s">
        <v>199</v>
      </c>
      <c r="B61" t="s">
        <v>200</v>
      </c>
      <c r="C61" t="s">
        <v>15</v>
      </c>
      <c r="D61" t="s">
        <v>57</v>
      </c>
      <c r="E61">
        <v>7</v>
      </c>
      <c r="F61">
        <v>893</v>
      </c>
      <c r="G61">
        <v>26</v>
      </c>
      <c r="H61">
        <v>7679</v>
      </c>
      <c r="I61">
        <v>2.53837174385028E-2</v>
      </c>
      <c r="J61">
        <v>9.4049927432401495E-2</v>
      </c>
      <c r="K61">
        <v>2.3151434232061301</v>
      </c>
      <c r="L61" t="s">
        <v>1000</v>
      </c>
      <c r="M61" t="str">
        <f>HYPERLINK("../../3.KEGG_map/SCI_II-vs-NC-Up/rno00790.html","rno00790")</f>
        <v>rno00790</v>
      </c>
    </row>
    <row r="62" spans="1:13" x14ac:dyDescent="0.25">
      <c r="A62" t="s">
        <v>202</v>
      </c>
      <c r="B62" t="s">
        <v>203</v>
      </c>
      <c r="C62" t="s">
        <v>15</v>
      </c>
      <c r="D62" t="s">
        <v>57</v>
      </c>
      <c r="E62">
        <v>7</v>
      </c>
      <c r="F62">
        <v>893</v>
      </c>
      <c r="G62">
        <v>80</v>
      </c>
      <c r="H62">
        <v>7679</v>
      </c>
      <c r="I62">
        <v>0.83736791139015798</v>
      </c>
      <c r="J62">
        <v>1</v>
      </c>
      <c r="K62">
        <v>0.75242161254199302</v>
      </c>
      <c r="L62" t="s">
        <v>1001</v>
      </c>
      <c r="M62" t="str">
        <f>HYPERLINK("../../3.KEGG_map/SCI_II-vs-NC-Up/rno00830.html","rno00830")</f>
        <v>rno00830</v>
      </c>
    </row>
    <row r="63" spans="1:13" x14ac:dyDescent="0.25">
      <c r="A63" t="s">
        <v>205</v>
      </c>
      <c r="B63" t="s">
        <v>206</v>
      </c>
      <c r="C63" t="s">
        <v>15</v>
      </c>
      <c r="D63" t="s">
        <v>57</v>
      </c>
      <c r="E63">
        <v>6</v>
      </c>
      <c r="F63">
        <v>893</v>
      </c>
      <c r="G63">
        <v>40</v>
      </c>
      <c r="H63">
        <v>7679</v>
      </c>
      <c r="I63">
        <v>0.31886116089537198</v>
      </c>
      <c r="J63">
        <v>0.70511325361931199</v>
      </c>
      <c r="K63">
        <v>1.2898656215005599</v>
      </c>
      <c r="L63" t="s">
        <v>1002</v>
      </c>
      <c r="M63" t="str">
        <f>HYPERLINK("../../3.KEGG_map/SCI_II-vs-NC-Up/rno00860.html","rno00860")</f>
        <v>rno00860</v>
      </c>
    </row>
    <row r="64" spans="1:13" x14ac:dyDescent="0.25">
      <c r="A64" t="s">
        <v>208</v>
      </c>
      <c r="B64" t="s">
        <v>209</v>
      </c>
      <c r="C64" t="s">
        <v>15</v>
      </c>
      <c r="D64" t="s">
        <v>210</v>
      </c>
      <c r="E64">
        <v>3</v>
      </c>
      <c r="F64">
        <v>893</v>
      </c>
      <c r="G64">
        <v>23</v>
      </c>
      <c r="H64">
        <v>7679</v>
      </c>
      <c r="I64">
        <v>0.51066876240324399</v>
      </c>
      <c r="J64">
        <v>0.93898926738243105</v>
      </c>
      <c r="K64">
        <v>1.1216222795657</v>
      </c>
      <c r="L64" t="s">
        <v>1003</v>
      </c>
      <c r="M64" t="str">
        <f>HYPERLINK("../../3.KEGG_map/SCI_II-vs-NC-Up/rno00900.html","rno00900")</f>
        <v>rno00900</v>
      </c>
    </row>
    <row r="65" spans="1:13" x14ac:dyDescent="0.25">
      <c r="A65" t="s">
        <v>212</v>
      </c>
      <c r="B65" t="s">
        <v>213</v>
      </c>
      <c r="C65" t="s">
        <v>15</v>
      </c>
      <c r="D65" t="s">
        <v>64</v>
      </c>
      <c r="E65">
        <v>4</v>
      </c>
      <c r="F65">
        <v>893</v>
      </c>
      <c r="G65">
        <v>17</v>
      </c>
      <c r="H65">
        <v>7679</v>
      </c>
      <c r="I65">
        <v>0.12667241849945399</v>
      </c>
      <c r="J65">
        <v>0.36978110046810397</v>
      </c>
      <c r="K65">
        <v>2.0233186219616601</v>
      </c>
      <c r="L65" t="s">
        <v>1004</v>
      </c>
      <c r="M65" t="str">
        <f>HYPERLINK("../../3.KEGG_map/SCI_II-vs-NC-Up/rno00910.html","rno00910")</f>
        <v>rno00910</v>
      </c>
    </row>
    <row r="66" spans="1:13" x14ac:dyDescent="0.25">
      <c r="A66" t="s">
        <v>215</v>
      </c>
      <c r="B66" t="s">
        <v>216</v>
      </c>
      <c r="C66" t="s">
        <v>15</v>
      </c>
      <c r="D66" t="s">
        <v>64</v>
      </c>
      <c r="E66">
        <v>1</v>
      </c>
      <c r="F66">
        <v>893</v>
      </c>
      <c r="G66">
        <v>12</v>
      </c>
      <c r="H66">
        <v>7679</v>
      </c>
      <c r="I66">
        <v>0.77342158932069205</v>
      </c>
      <c r="J66">
        <v>1</v>
      </c>
      <c r="K66">
        <v>0.71659201194475597</v>
      </c>
      <c r="L66" t="s">
        <v>1005</v>
      </c>
      <c r="M66" t="str">
        <f>HYPERLINK("../../3.KEGG_map/SCI_II-vs-NC-Up/rno00920.html","rno00920")</f>
        <v>rno00920</v>
      </c>
    </row>
    <row r="67" spans="1:13" x14ac:dyDescent="0.25">
      <c r="A67" t="s">
        <v>223</v>
      </c>
      <c r="B67" t="s">
        <v>224</v>
      </c>
      <c r="C67" t="s">
        <v>15</v>
      </c>
      <c r="D67" t="s">
        <v>225</v>
      </c>
      <c r="E67">
        <v>13</v>
      </c>
      <c r="F67">
        <v>893</v>
      </c>
      <c r="G67">
        <v>64</v>
      </c>
      <c r="H67">
        <v>7679</v>
      </c>
      <c r="I67">
        <v>3.0522700229213599E-2</v>
      </c>
      <c r="J67">
        <v>0.111658991977756</v>
      </c>
      <c r="K67">
        <v>1.74669302911534</v>
      </c>
      <c r="L67" t="s">
        <v>1006</v>
      </c>
      <c r="M67" t="str">
        <f>HYPERLINK("../../3.KEGG_map/SCI_II-vs-NC-Up/rno00980.html","rno00980")</f>
        <v>rno00980</v>
      </c>
    </row>
    <row r="68" spans="1:13" x14ac:dyDescent="0.25">
      <c r="A68" t="s">
        <v>227</v>
      </c>
      <c r="B68" t="s">
        <v>228</v>
      </c>
      <c r="C68" t="s">
        <v>15</v>
      </c>
      <c r="D68" t="s">
        <v>225</v>
      </c>
      <c r="E68">
        <v>12</v>
      </c>
      <c r="F68">
        <v>893</v>
      </c>
      <c r="G68">
        <v>65</v>
      </c>
      <c r="H68">
        <v>7679</v>
      </c>
      <c r="I68">
        <v>6.9190579473278196E-2</v>
      </c>
      <c r="J68">
        <v>0.23174844424862501</v>
      </c>
      <c r="K68">
        <v>1.5875269187699199</v>
      </c>
      <c r="L68" t="s">
        <v>1007</v>
      </c>
      <c r="M68" t="str">
        <f>HYPERLINK("../../3.KEGG_map/SCI_II-vs-NC-Up/rno00982.html","rno00982")</f>
        <v>rno00982</v>
      </c>
    </row>
    <row r="69" spans="1:13" x14ac:dyDescent="0.25">
      <c r="A69" t="s">
        <v>230</v>
      </c>
      <c r="B69" t="s">
        <v>231</v>
      </c>
      <c r="C69" t="s">
        <v>15</v>
      </c>
      <c r="D69" t="s">
        <v>225</v>
      </c>
      <c r="E69">
        <v>17</v>
      </c>
      <c r="F69">
        <v>893</v>
      </c>
      <c r="G69">
        <v>83</v>
      </c>
      <c r="H69">
        <v>7679</v>
      </c>
      <c r="I69">
        <v>1.35464997008404E-2</v>
      </c>
      <c r="J69">
        <v>5.2199178847238403E-2</v>
      </c>
      <c r="K69">
        <v>1.76126229441844</v>
      </c>
      <c r="L69" t="s">
        <v>1008</v>
      </c>
      <c r="M69" t="str">
        <f>HYPERLINK("../../3.KEGG_map/SCI_II-vs-NC-Up/rno00983.html","rno00983")</f>
        <v>rno00983</v>
      </c>
    </row>
    <row r="70" spans="1:13" x14ac:dyDescent="0.25">
      <c r="A70" t="s">
        <v>233</v>
      </c>
      <c r="B70" t="s">
        <v>234</v>
      </c>
      <c r="C70" t="s">
        <v>235</v>
      </c>
      <c r="D70" t="s">
        <v>236</v>
      </c>
      <c r="E70">
        <v>8</v>
      </c>
      <c r="F70">
        <v>893</v>
      </c>
      <c r="G70">
        <v>79</v>
      </c>
      <c r="H70">
        <v>7679</v>
      </c>
      <c r="I70">
        <v>0.71403894780402899</v>
      </c>
      <c r="J70">
        <v>1</v>
      </c>
      <c r="K70">
        <v>0.87079535628729798</v>
      </c>
      <c r="L70" t="s">
        <v>1009</v>
      </c>
      <c r="M70" t="str">
        <f>HYPERLINK("../../3.KEGG_map/SCI_II-vs-NC-Up/rno01521.html","rno01521")</f>
        <v>rno01521</v>
      </c>
    </row>
    <row r="71" spans="1:13" x14ac:dyDescent="0.25">
      <c r="A71" t="s">
        <v>238</v>
      </c>
      <c r="B71" t="s">
        <v>239</v>
      </c>
      <c r="C71" t="s">
        <v>235</v>
      </c>
      <c r="D71" t="s">
        <v>236</v>
      </c>
      <c r="E71">
        <v>9</v>
      </c>
      <c r="F71">
        <v>893</v>
      </c>
      <c r="G71">
        <v>93</v>
      </c>
      <c r="H71">
        <v>7679</v>
      </c>
      <c r="I71">
        <v>0.76898666337410404</v>
      </c>
      <c r="J71">
        <v>1</v>
      </c>
      <c r="K71">
        <v>0.83217136871003905</v>
      </c>
      <c r="L71" t="s">
        <v>1010</v>
      </c>
      <c r="M71" t="str">
        <f>HYPERLINK("../../3.KEGG_map/SCI_II-vs-NC-Up/rno01522.html","rno01522")</f>
        <v>rno01522</v>
      </c>
    </row>
    <row r="72" spans="1:13" x14ac:dyDescent="0.25">
      <c r="A72" t="s">
        <v>241</v>
      </c>
      <c r="B72" t="s">
        <v>242</v>
      </c>
      <c r="C72" t="s">
        <v>235</v>
      </c>
      <c r="D72" t="s">
        <v>236</v>
      </c>
      <c r="E72">
        <v>10</v>
      </c>
      <c r="F72">
        <v>893</v>
      </c>
      <c r="G72">
        <v>30</v>
      </c>
      <c r="H72">
        <v>7679</v>
      </c>
      <c r="I72">
        <v>1.45459043294906E-3</v>
      </c>
      <c r="J72">
        <v>7.3750286863557496E-3</v>
      </c>
      <c r="K72">
        <v>2.8663680477790199</v>
      </c>
      <c r="L72" t="s">
        <v>1011</v>
      </c>
      <c r="M72" t="str">
        <f>HYPERLINK("../../3.KEGG_map/SCI_II-vs-NC-Up/rno01523.html","rno01523")</f>
        <v>rno01523</v>
      </c>
    </row>
    <row r="73" spans="1:13" x14ac:dyDescent="0.25">
      <c r="A73" t="s">
        <v>244</v>
      </c>
      <c r="B73" t="s">
        <v>245</v>
      </c>
      <c r="C73" t="s">
        <v>235</v>
      </c>
      <c r="D73" t="s">
        <v>236</v>
      </c>
      <c r="E73">
        <v>18</v>
      </c>
      <c r="F73">
        <v>893</v>
      </c>
      <c r="G73">
        <v>76</v>
      </c>
      <c r="H73">
        <v>7679</v>
      </c>
      <c r="I73">
        <v>2.2563682563028599E-3</v>
      </c>
      <c r="J73">
        <v>1.0717480464995099E-2</v>
      </c>
      <c r="K73">
        <v>2.0366299286850902</v>
      </c>
      <c r="L73" t="s">
        <v>1012</v>
      </c>
      <c r="M73" t="str">
        <f>HYPERLINK("../../3.KEGG_map/SCI_II-vs-NC-Up/rno01524.html","rno01524")</f>
        <v>rno01524</v>
      </c>
    </row>
    <row r="74" spans="1:13" x14ac:dyDescent="0.25">
      <c r="A74" t="s">
        <v>247</v>
      </c>
      <c r="B74" t="s">
        <v>248</v>
      </c>
      <c r="C74" t="s">
        <v>249</v>
      </c>
      <c r="D74" t="s">
        <v>250</v>
      </c>
      <c r="E74">
        <v>7</v>
      </c>
      <c r="F74">
        <v>893</v>
      </c>
      <c r="G74">
        <v>47</v>
      </c>
      <c r="H74">
        <v>7679</v>
      </c>
      <c r="I74">
        <v>0.30269878704207298</v>
      </c>
      <c r="J74">
        <v>0.68343710511843003</v>
      </c>
      <c r="K74">
        <v>1.2807176383693499</v>
      </c>
      <c r="L74" t="s">
        <v>1013</v>
      </c>
      <c r="M74" t="str">
        <f>HYPERLINK("../../3.KEGG_map/SCI_II-vs-NC-Up/rno02010.html","rno02010")</f>
        <v>rno02010</v>
      </c>
    </row>
    <row r="75" spans="1:13" x14ac:dyDescent="0.25">
      <c r="A75" t="s">
        <v>252</v>
      </c>
      <c r="B75" t="s">
        <v>253</v>
      </c>
      <c r="C75" t="s">
        <v>220</v>
      </c>
      <c r="D75" t="s">
        <v>221</v>
      </c>
      <c r="E75">
        <v>2</v>
      </c>
      <c r="F75">
        <v>893</v>
      </c>
      <c r="G75">
        <v>78</v>
      </c>
      <c r="H75">
        <v>7679</v>
      </c>
      <c r="I75">
        <v>0.99929881840072798</v>
      </c>
      <c r="J75">
        <v>1</v>
      </c>
      <c r="K75">
        <v>0.22048984982915601</v>
      </c>
      <c r="L75" t="s">
        <v>1014</v>
      </c>
      <c r="M75" t="str">
        <f>HYPERLINK("../../3.KEGG_map/SCI_II-vs-NC-Up/rno03008.html","rno03008")</f>
        <v>rno03008</v>
      </c>
    </row>
    <row r="76" spans="1:13" x14ac:dyDescent="0.25">
      <c r="A76" t="s">
        <v>255</v>
      </c>
      <c r="B76" t="s">
        <v>256</v>
      </c>
      <c r="C76" t="s">
        <v>220</v>
      </c>
      <c r="D76" t="s">
        <v>221</v>
      </c>
      <c r="E76">
        <v>3</v>
      </c>
      <c r="F76">
        <v>893</v>
      </c>
      <c r="G76">
        <v>160</v>
      </c>
      <c r="H76">
        <v>7679</v>
      </c>
      <c r="I76">
        <v>0.99999947891530105</v>
      </c>
      <c r="J76">
        <v>1</v>
      </c>
      <c r="K76">
        <v>0.16123320268756999</v>
      </c>
      <c r="L76" t="s">
        <v>1015</v>
      </c>
      <c r="M76" t="str">
        <f>HYPERLINK("../../3.KEGG_map/SCI_II-vs-NC-Up/rno03013.html","rno03013")</f>
        <v>rno03013</v>
      </c>
    </row>
    <row r="77" spans="1:13" x14ac:dyDescent="0.25">
      <c r="A77" t="s">
        <v>261</v>
      </c>
      <c r="B77" t="s">
        <v>262</v>
      </c>
      <c r="C77" t="s">
        <v>220</v>
      </c>
      <c r="D77" t="s">
        <v>263</v>
      </c>
      <c r="E77">
        <v>2</v>
      </c>
      <c r="F77">
        <v>893</v>
      </c>
      <c r="G77">
        <v>80</v>
      </c>
      <c r="H77">
        <v>7679</v>
      </c>
      <c r="I77">
        <v>0.99944098126860803</v>
      </c>
      <c r="J77">
        <v>1</v>
      </c>
      <c r="K77">
        <v>0.21497760358342699</v>
      </c>
      <c r="L77" t="s">
        <v>1016</v>
      </c>
      <c r="M77" t="str">
        <f>HYPERLINK("../../3.KEGG_map/SCI_II-vs-NC-Up/rno03018.html","rno03018")</f>
        <v>rno03018</v>
      </c>
    </row>
    <row r="78" spans="1:13" x14ac:dyDescent="0.25">
      <c r="A78" t="s">
        <v>265</v>
      </c>
      <c r="B78" t="s">
        <v>266</v>
      </c>
      <c r="C78" t="s">
        <v>220</v>
      </c>
      <c r="D78" t="s">
        <v>267</v>
      </c>
      <c r="E78">
        <v>1</v>
      </c>
      <c r="F78">
        <v>893</v>
      </c>
      <c r="G78">
        <v>28</v>
      </c>
      <c r="H78">
        <v>7679</v>
      </c>
      <c r="I78">
        <v>0.96882282056734903</v>
      </c>
      <c r="J78">
        <v>1</v>
      </c>
      <c r="K78">
        <v>0.30711086226203799</v>
      </c>
      <c r="L78" t="s">
        <v>1017</v>
      </c>
      <c r="M78" t="str">
        <f>HYPERLINK("../../3.KEGG_map/SCI_II-vs-NC-Up/rno03020.html","rno03020")</f>
        <v>rno03020</v>
      </c>
    </row>
    <row r="79" spans="1:13" x14ac:dyDescent="0.25">
      <c r="A79" t="s">
        <v>269</v>
      </c>
      <c r="B79" t="s">
        <v>270</v>
      </c>
      <c r="C79" t="s">
        <v>220</v>
      </c>
      <c r="D79" t="s">
        <v>271</v>
      </c>
      <c r="E79">
        <v>9</v>
      </c>
      <c r="F79">
        <v>893</v>
      </c>
      <c r="G79">
        <v>34</v>
      </c>
      <c r="H79">
        <v>7679</v>
      </c>
      <c r="I79">
        <v>1.32929504926525E-2</v>
      </c>
      <c r="J79">
        <v>5.1914360707791402E-2</v>
      </c>
      <c r="K79">
        <v>2.2762334497068699</v>
      </c>
      <c r="L79" t="s">
        <v>1018</v>
      </c>
      <c r="M79" t="str">
        <f>HYPERLINK("../../3.KEGG_map/SCI_II-vs-NC-Up/rno03030.html","rno03030")</f>
        <v>rno03030</v>
      </c>
    </row>
    <row r="80" spans="1:13" x14ac:dyDescent="0.25">
      <c r="A80" t="s">
        <v>1019</v>
      </c>
      <c r="B80" t="s">
        <v>1020</v>
      </c>
      <c r="C80" t="s">
        <v>220</v>
      </c>
      <c r="D80" t="s">
        <v>263</v>
      </c>
      <c r="E80">
        <v>5</v>
      </c>
      <c r="F80">
        <v>893</v>
      </c>
      <c r="G80">
        <v>44</v>
      </c>
      <c r="H80">
        <v>7679</v>
      </c>
      <c r="I80">
        <v>0.59218477043442797</v>
      </c>
      <c r="J80">
        <v>1</v>
      </c>
      <c r="K80">
        <v>0.97717092537921202</v>
      </c>
      <c r="L80" t="s">
        <v>1021</v>
      </c>
      <c r="M80" t="str">
        <f>HYPERLINK("../../3.KEGG_map/SCI_II-vs-NC-Up/rno03050.html","rno03050")</f>
        <v>rno03050</v>
      </c>
    </row>
    <row r="81" spans="1:13" x14ac:dyDescent="0.25">
      <c r="A81" t="s">
        <v>279</v>
      </c>
      <c r="B81" t="s">
        <v>280</v>
      </c>
      <c r="C81" t="s">
        <v>281</v>
      </c>
      <c r="D81" t="s">
        <v>282</v>
      </c>
      <c r="E81">
        <v>8</v>
      </c>
      <c r="F81">
        <v>893</v>
      </c>
      <c r="G81">
        <v>79</v>
      </c>
      <c r="H81">
        <v>7679</v>
      </c>
      <c r="I81">
        <v>0.71403894780402899</v>
      </c>
      <c r="J81">
        <v>1</v>
      </c>
      <c r="K81">
        <v>0.87079535628729798</v>
      </c>
      <c r="L81" t="s">
        <v>1022</v>
      </c>
      <c r="M81" t="str">
        <f>HYPERLINK("../../3.KEGG_map/SCI_II-vs-NC-Up/rno03320.html","rno03320")</f>
        <v>rno03320</v>
      </c>
    </row>
    <row r="82" spans="1:13" x14ac:dyDescent="0.25">
      <c r="A82" t="s">
        <v>284</v>
      </c>
      <c r="B82" t="s">
        <v>285</v>
      </c>
      <c r="C82" t="s">
        <v>220</v>
      </c>
      <c r="D82" t="s">
        <v>271</v>
      </c>
      <c r="E82">
        <v>5</v>
      </c>
      <c r="F82">
        <v>893</v>
      </c>
      <c r="G82">
        <v>35</v>
      </c>
      <c r="H82">
        <v>7679</v>
      </c>
      <c r="I82">
        <v>0.38548067686573301</v>
      </c>
      <c r="J82">
        <v>0.79009869229926899</v>
      </c>
      <c r="K82">
        <v>1.2284434490481499</v>
      </c>
      <c r="L82" t="s">
        <v>1023</v>
      </c>
      <c r="M82" t="str">
        <f>HYPERLINK("../../3.KEGG_map/SCI_II-vs-NC-Up/rno03410.html","rno03410")</f>
        <v>rno03410</v>
      </c>
    </row>
    <row r="83" spans="1:13" x14ac:dyDescent="0.25">
      <c r="A83" t="s">
        <v>287</v>
      </c>
      <c r="B83" t="s">
        <v>288</v>
      </c>
      <c r="C83" t="s">
        <v>220</v>
      </c>
      <c r="D83" t="s">
        <v>271</v>
      </c>
      <c r="E83">
        <v>2</v>
      </c>
      <c r="F83">
        <v>893</v>
      </c>
      <c r="G83">
        <v>44</v>
      </c>
      <c r="H83">
        <v>7679</v>
      </c>
      <c r="I83">
        <v>0.97084116282166699</v>
      </c>
      <c r="J83">
        <v>1</v>
      </c>
      <c r="K83">
        <v>0.39086837015168502</v>
      </c>
      <c r="L83" t="s">
        <v>289</v>
      </c>
      <c r="M83" t="str">
        <f>HYPERLINK("../../3.KEGG_map/SCI_II-vs-NC-Up/rno03420.html","rno03420")</f>
        <v>rno03420</v>
      </c>
    </row>
    <row r="84" spans="1:13" x14ac:dyDescent="0.25">
      <c r="A84" t="s">
        <v>290</v>
      </c>
      <c r="B84" t="s">
        <v>291</v>
      </c>
      <c r="C84" t="s">
        <v>220</v>
      </c>
      <c r="D84" t="s">
        <v>271</v>
      </c>
      <c r="E84">
        <v>1</v>
      </c>
      <c r="F84">
        <v>893</v>
      </c>
      <c r="G84">
        <v>22</v>
      </c>
      <c r="H84">
        <v>7679</v>
      </c>
      <c r="I84">
        <v>0.93437346255605702</v>
      </c>
      <c r="J84">
        <v>1</v>
      </c>
      <c r="K84">
        <v>0.39086837015168502</v>
      </c>
      <c r="L84" t="s">
        <v>292</v>
      </c>
      <c r="M84" t="str">
        <f>HYPERLINK("../../3.KEGG_map/SCI_II-vs-NC-Up/rno03430.html","rno03430")</f>
        <v>rno03430</v>
      </c>
    </row>
    <row r="85" spans="1:13" x14ac:dyDescent="0.25">
      <c r="A85" t="s">
        <v>293</v>
      </c>
      <c r="B85" t="s">
        <v>294</v>
      </c>
      <c r="C85" t="s">
        <v>220</v>
      </c>
      <c r="D85" t="s">
        <v>271</v>
      </c>
      <c r="E85">
        <v>9</v>
      </c>
      <c r="F85">
        <v>893</v>
      </c>
      <c r="G85">
        <v>39</v>
      </c>
      <c r="H85">
        <v>7679</v>
      </c>
      <c r="I85">
        <v>3.1731038856992903E-2</v>
      </c>
      <c r="J85">
        <v>0.114405768843718</v>
      </c>
      <c r="K85">
        <v>1.9844086484623999</v>
      </c>
      <c r="L85" t="s">
        <v>1024</v>
      </c>
      <c r="M85" t="str">
        <f>HYPERLINK("../../3.KEGG_map/SCI_II-vs-NC-Up/rno03440.html","rno03440")</f>
        <v>rno03440</v>
      </c>
    </row>
    <row r="86" spans="1:13" x14ac:dyDescent="0.25">
      <c r="A86" t="s">
        <v>296</v>
      </c>
      <c r="B86" t="s">
        <v>297</v>
      </c>
      <c r="C86" t="s">
        <v>220</v>
      </c>
      <c r="D86" t="s">
        <v>271</v>
      </c>
      <c r="E86">
        <v>2</v>
      </c>
      <c r="F86">
        <v>893</v>
      </c>
      <c r="G86">
        <v>13</v>
      </c>
      <c r="H86">
        <v>7679</v>
      </c>
      <c r="I86">
        <v>0.45673784746084301</v>
      </c>
      <c r="J86">
        <v>0.90048013966467499</v>
      </c>
      <c r="K86">
        <v>1.3229390989749299</v>
      </c>
      <c r="L86" t="s">
        <v>298</v>
      </c>
      <c r="M86" t="str">
        <f>HYPERLINK("../../3.KEGG_map/SCI_II-vs-NC-Up/rno03450.html","rno03450")</f>
        <v>rno03450</v>
      </c>
    </row>
    <row r="87" spans="1:13" x14ac:dyDescent="0.25">
      <c r="A87" t="s">
        <v>299</v>
      </c>
      <c r="B87" t="s">
        <v>300</v>
      </c>
      <c r="C87" t="s">
        <v>220</v>
      </c>
      <c r="D87" t="s">
        <v>271</v>
      </c>
      <c r="E87">
        <v>9</v>
      </c>
      <c r="F87">
        <v>893</v>
      </c>
      <c r="G87">
        <v>49</v>
      </c>
      <c r="H87">
        <v>7679</v>
      </c>
      <c r="I87">
        <v>0.109150323659006</v>
      </c>
      <c r="J87">
        <v>0.32858795351513298</v>
      </c>
      <c r="K87">
        <v>1.5794272916333401</v>
      </c>
      <c r="L87" t="s">
        <v>1025</v>
      </c>
      <c r="M87" t="str">
        <f>HYPERLINK("../../3.KEGG_map/SCI_II-vs-NC-Up/rno03460.html","rno03460")</f>
        <v>rno03460</v>
      </c>
    </row>
    <row r="88" spans="1:13" x14ac:dyDescent="0.25">
      <c r="A88" t="s">
        <v>302</v>
      </c>
      <c r="B88" t="s">
        <v>303</v>
      </c>
      <c r="C88" t="s">
        <v>249</v>
      </c>
      <c r="D88" t="s">
        <v>304</v>
      </c>
      <c r="E88">
        <v>40</v>
      </c>
      <c r="F88">
        <v>893</v>
      </c>
      <c r="G88">
        <v>288</v>
      </c>
      <c r="H88">
        <v>7679</v>
      </c>
      <c r="I88">
        <v>0.13114509610758601</v>
      </c>
      <c r="J88">
        <v>0.379009327750924</v>
      </c>
      <c r="K88">
        <v>1.19432001990793</v>
      </c>
      <c r="L88" t="s">
        <v>1026</v>
      </c>
      <c r="M88" t="str">
        <f>HYPERLINK("../../3.KEGG_map/SCI_II-vs-NC-Up/rno04010.html","rno04010")</f>
        <v>rno04010</v>
      </c>
    </row>
    <row r="89" spans="1:13" x14ac:dyDescent="0.25">
      <c r="A89" t="s">
        <v>306</v>
      </c>
      <c r="B89" t="s">
        <v>307</v>
      </c>
      <c r="C89" t="s">
        <v>249</v>
      </c>
      <c r="D89" t="s">
        <v>304</v>
      </c>
      <c r="E89">
        <v>8</v>
      </c>
      <c r="F89">
        <v>893</v>
      </c>
      <c r="G89">
        <v>85</v>
      </c>
      <c r="H89">
        <v>7679</v>
      </c>
      <c r="I89">
        <v>0.78724621425889196</v>
      </c>
      <c r="J89">
        <v>1</v>
      </c>
      <c r="K89">
        <v>0.809327448784665</v>
      </c>
      <c r="L89" t="s">
        <v>1027</v>
      </c>
      <c r="M89" t="str">
        <f>HYPERLINK("../../3.KEGG_map/SCI_II-vs-NC-Up/rno04012.html","rno04012")</f>
        <v>rno04012</v>
      </c>
    </row>
    <row r="90" spans="1:13" x14ac:dyDescent="0.25">
      <c r="A90" t="s">
        <v>309</v>
      </c>
      <c r="B90" t="s">
        <v>310</v>
      </c>
      <c r="C90" t="s">
        <v>249</v>
      </c>
      <c r="D90" t="s">
        <v>304</v>
      </c>
      <c r="E90">
        <v>29</v>
      </c>
      <c r="F90">
        <v>893</v>
      </c>
      <c r="G90">
        <v>227</v>
      </c>
      <c r="H90">
        <v>7679</v>
      </c>
      <c r="I90">
        <v>0.32205864871193501</v>
      </c>
      <c r="J90">
        <v>0.70511325361931199</v>
      </c>
      <c r="K90">
        <v>1.0985639654483501</v>
      </c>
      <c r="L90" t="s">
        <v>1028</v>
      </c>
      <c r="M90" t="str">
        <f>HYPERLINK("../../3.KEGG_map/SCI_II-vs-NC-Up/rno04014.html","rno04014")</f>
        <v>rno04014</v>
      </c>
    </row>
    <row r="91" spans="1:13" x14ac:dyDescent="0.25">
      <c r="A91" t="s">
        <v>312</v>
      </c>
      <c r="B91" t="s">
        <v>313</v>
      </c>
      <c r="C91" t="s">
        <v>249</v>
      </c>
      <c r="D91" t="s">
        <v>304</v>
      </c>
      <c r="E91">
        <v>23</v>
      </c>
      <c r="F91">
        <v>893</v>
      </c>
      <c r="G91">
        <v>205</v>
      </c>
      <c r="H91">
        <v>7679</v>
      </c>
      <c r="I91">
        <v>0.60680531205630395</v>
      </c>
      <c r="J91">
        <v>1</v>
      </c>
      <c r="K91">
        <v>0.96477753803293897</v>
      </c>
      <c r="L91" t="s">
        <v>1029</v>
      </c>
      <c r="M91" t="str">
        <f>HYPERLINK("../../3.KEGG_map/SCI_II-vs-NC-Up/rno04015.html","rno04015")</f>
        <v>rno04015</v>
      </c>
    </row>
    <row r="92" spans="1:13" x14ac:dyDescent="0.25">
      <c r="A92" t="s">
        <v>315</v>
      </c>
      <c r="B92" t="s">
        <v>316</v>
      </c>
      <c r="C92" t="s">
        <v>249</v>
      </c>
      <c r="D92" t="s">
        <v>304</v>
      </c>
      <c r="E92">
        <v>24</v>
      </c>
      <c r="F92">
        <v>893</v>
      </c>
      <c r="G92">
        <v>182</v>
      </c>
      <c r="H92">
        <v>7679</v>
      </c>
      <c r="I92">
        <v>0.28560018032062301</v>
      </c>
      <c r="J92">
        <v>0.66030761690128104</v>
      </c>
      <c r="K92">
        <v>1.13394779912137</v>
      </c>
      <c r="L92" t="s">
        <v>1030</v>
      </c>
      <c r="M92" t="str">
        <f>HYPERLINK("../../3.KEGG_map/SCI_II-vs-NC-Up/rno04020.html","rno04020")</f>
        <v>rno04020</v>
      </c>
    </row>
    <row r="93" spans="1:13" x14ac:dyDescent="0.25">
      <c r="A93" t="s">
        <v>318</v>
      </c>
      <c r="B93" t="s">
        <v>319</v>
      </c>
      <c r="C93" t="s">
        <v>249</v>
      </c>
      <c r="D93" t="s">
        <v>304</v>
      </c>
      <c r="E93">
        <v>12</v>
      </c>
      <c r="F93">
        <v>893</v>
      </c>
      <c r="G93">
        <v>164</v>
      </c>
      <c r="H93">
        <v>7679</v>
      </c>
      <c r="I93">
        <v>0.97494594895245501</v>
      </c>
      <c r="J93">
        <v>1</v>
      </c>
      <c r="K93">
        <v>0.62920274219539496</v>
      </c>
      <c r="L93" t="s">
        <v>1031</v>
      </c>
      <c r="M93" t="str">
        <f>HYPERLINK("../../3.KEGG_map/SCI_II-vs-NC-Up/rno04022.html","rno04022")</f>
        <v>rno04022</v>
      </c>
    </row>
    <row r="94" spans="1:13" x14ac:dyDescent="0.25">
      <c r="A94" t="s">
        <v>321</v>
      </c>
      <c r="B94" t="s">
        <v>322</v>
      </c>
      <c r="C94" t="s">
        <v>249</v>
      </c>
      <c r="D94" t="s">
        <v>304</v>
      </c>
      <c r="E94">
        <v>25</v>
      </c>
      <c r="F94">
        <v>893</v>
      </c>
      <c r="G94">
        <v>194</v>
      </c>
      <c r="H94">
        <v>7679</v>
      </c>
      <c r="I94">
        <v>0.32204182057775799</v>
      </c>
      <c r="J94">
        <v>0.70511325361931199</v>
      </c>
      <c r="K94">
        <v>1.10813197723416</v>
      </c>
      <c r="L94" t="s">
        <v>1032</v>
      </c>
      <c r="M94" t="str">
        <f>HYPERLINK("../../3.KEGG_map/SCI_II-vs-NC-Up/rno04024.html","rno04024")</f>
        <v>rno04024</v>
      </c>
    </row>
    <row r="95" spans="1:13" x14ac:dyDescent="0.25">
      <c r="A95" t="s">
        <v>324</v>
      </c>
      <c r="B95" t="s">
        <v>325</v>
      </c>
      <c r="C95" t="s">
        <v>249</v>
      </c>
      <c r="D95" t="s">
        <v>326</v>
      </c>
      <c r="E95">
        <v>101</v>
      </c>
      <c r="F95">
        <v>893</v>
      </c>
      <c r="G95">
        <v>240</v>
      </c>
      <c r="H95">
        <v>7679</v>
      </c>
      <c r="I95" s="1">
        <v>2.2561397733163798E-34</v>
      </c>
      <c r="J95" s="1">
        <v>6.5202439448843298E-32</v>
      </c>
      <c r="K95">
        <v>3.6187896603210201</v>
      </c>
      <c r="L95" t="s">
        <v>1033</v>
      </c>
      <c r="M95" t="str">
        <f>HYPERLINK("../../3.KEGG_map/SCI_II-vs-NC-Up/rno04060.html","rno04060")</f>
        <v>rno04060</v>
      </c>
    </row>
    <row r="96" spans="1:13" x14ac:dyDescent="0.25">
      <c r="A96" t="s">
        <v>328</v>
      </c>
      <c r="B96" t="s">
        <v>329</v>
      </c>
      <c r="C96" t="s">
        <v>281</v>
      </c>
      <c r="D96" t="s">
        <v>330</v>
      </c>
      <c r="E96">
        <v>54</v>
      </c>
      <c r="F96">
        <v>893</v>
      </c>
      <c r="G96">
        <v>172</v>
      </c>
      <c r="H96">
        <v>7679</v>
      </c>
      <c r="I96" s="1">
        <v>2.0784606133254301E-12</v>
      </c>
      <c r="J96" s="1">
        <v>6.0067511725104906E-11</v>
      </c>
      <c r="K96">
        <v>2.6997187426755902</v>
      </c>
      <c r="L96" t="s">
        <v>1034</v>
      </c>
      <c r="M96" t="str">
        <f>HYPERLINK("../../3.KEGG_map/SCI_II-vs-NC-Up/rno04062.html","rno04062")</f>
        <v>rno04062</v>
      </c>
    </row>
    <row r="97" spans="1:13" x14ac:dyDescent="0.25">
      <c r="A97" t="s">
        <v>332</v>
      </c>
      <c r="B97" t="s">
        <v>333</v>
      </c>
      <c r="C97" t="s">
        <v>249</v>
      </c>
      <c r="D97" t="s">
        <v>304</v>
      </c>
      <c r="E97">
        <v>30</v>
      </c>
      <c r="F97">
        <v>893</v>
      </c>
      <c r="G97">
        <v>89</v>
      </c>
      <c r="H97">
        <v>7679</v>
      </c>
      <c r="I97" s="1">
        <v>2.94242507435493E-8</v>
      </c>
      <c r="J97" s="1">
        <v>3.4014433859543E-7</v>
      </c>
      <c r="K97">
        <v>2.8985744303383401</v>
      </c>
      <c r="L97" t="s">
        <v>1035</v>
      </c>
      <c r="M97" t="str">
        <f>HYPERLINK("../../3.KEGG_map/SCI_II-vs-NC-Up/rno04064.html","rno04064")</f>
        <v>rno04064</v>
      </c>
    </row>
    <row r="98" spans="1:13" x14ac:dyDescent="0.25">
      <c r="A98" t="s">
        <v>335</v>
      </c>
      <c r="B98" t="s">
        <v>336</v>
      </c>
      <c r="C98" t="s">
        <v>249</v>
      </c>
      <c r="D98" t="s">
        <v>304</v>
      </c>
      <c r="E98">
        <v>24</v>
      </c>
      <c r="F98">
        <v>893</v>
      </c>
      <c r="G98">
        <v>99</v>
      </c>
      <c r="H98">
        <v>7679</v>
      </c>
      <c r="I98">
        <v>3.1361112313866202E-4</v>
      </c>
      <c r="J98">
        <v>1.7429541266744801E-3</v>
      </c>
      <c r="K98">
        <v>2.0846313074756502</v>
      </c>
      <c r="L98" t="s">
        <v>1036</v>
      </c>
      <c r="M98" t="str">
        <f>HYPERLINK("../../3.KEGG_map/SCI_II-vs-NC-Up/rno04066.html","rno04066")</f>
        <v>rno04066</v>
      </c>
    </row>
    <row r="99" spans="1:13" x14ac:dyDescent="0.25">
      <c r="A99" t="s">
        <v>338</v>
      </c>
      <c r="B99" t="s">
        <v>339</v>
      </c>
      <c r="C99" t="s">
        <v>249</v>
      </c>
      <c r="D99" t="s">
        <v>304</v>
      </c>
      <c r="E99">
        <v>16</v>
      </c>
      <c r="F99">
        <v>893</v>
      </c>
      <c r="G99">
        <v>130</v>
      </c>
      <c r="H99">
        <v>7679</v>
      </c>
      <c r="I99">
        <v>0.44462046626500401</v>
      </c>
      <c r="J99">
        <v>0.89232857465684801</v>
      </c>
      <c r="K99">
        <v>1.0583512791799501</v>
      </c>
      <c r="L99" t="s">
        <v>1037</v>
      </c>
      <c r="M99" t="str">
        <f>HYPERLINK("../../3.KEGG_map/SCI_II-vs-NC-Up/rno04068.html","rno04068")</f>
        <v>rno04068</v>
      </c>
    </row>
    <row r="100" spans="1:13" x14ac:dyDescent="0.25">
      <c r="A100" t="s">
        <v>341</v>
      </c>
      <c r="B100" t="s">
        <v>342</v>
      </c>
      <c r="C100" t="s">
        <v>249</v>
      </c>
      <c r="D100" t="s">
        <v>304</v>
      </c>
      <c r="E100">
        <v>3</v>
      </c>
      <c r="F100">
        <v>893</v>
      </c>
      <c r="G100">
        <v>97</v>
      </c>
      <c r="H100">
        <v>7679</v>
      </c>
      <c r="I100">
        <v>0.99944676591543402</v>
      </c>
      <c r="J100">
        <v>1</v>
      </c>
      <c r="K100">
        <v>0.265951674536198</v>
      </c>
      <c r="L100" t="s">
        <v>1038</v>
      </c>
      <c r="M100" t="str">
        <f>HYPERLINK("../../3.KEGG_map/SCI_II-vs-NC-Up/rno04070.html","rno04070")</f>
        <v>rno04070</v>
      </c>
    </row>
    <row r="101" spans="1:13" x14ac:dyDescent="0.25">
      <c r="A101" t="s">
        <v>344</v>
      </c>
      <c r="B101" t="s">
        <v>345</v>
      </c>
      <c r="C101" t="s">
        <v>249</v>
      </c>
      <c r="D101" t="s">
        <v>304</v>
      </c>
      <c r="E101">
        <v>13</v>
      </c>
      <c r="F101">
        <v>893</v>
      </c>
      <c r="G101">
        <v>119</v>
      </c>
      <c r="H101">
        <v>7679</v>
      </c>
      <c r="I101">
        <v>0.63849279138160397</v>
      </c>
      <c r="J101">
        <v>1</v>
      </c>
      <c r="K101">
        <v>0.93939793162505802</v>
      </c>
      <c r="L101" t="s">
        <v>1039</v>
      </c>
      <c r="M101" t="str">
        <f>HYPERLINK("../../3.KEGG_map/SCI_II-vs-NC-Up/rno04071.html","rno04071")</f>
        <v>rno04071</v>
      </c>
    </row>
    <row r="102" spans="1:13" x14ac:dyDescent="0.25">
      <c r="A102" t="s">
        <v>347</v>
      </c>
      <c r="B102" t="s">
        <v>348</v>
      </c>
      <c r="C102" t="s">
        <v>249</v>
      </c>
      <c r="D102" t="s">
        <v>304</v>
      </c>
      <c r="E102">
        <v>15</v>
      </c>
      <c r="F102">
        <v>893</v>
      </c>
      <c r="G102">
        <v>146</v>
      </c>
      <c r="H102">
        <v>7679</v>
      </c>
      <c r="I102">
        <v>0.73461996942713204</v>
      </c>
      <c r="J102">
        <v>1</v>
      </c>
      <c r="K102">
        <v>0.88346960376750705</v>
      </c>
      <c r="L102" t="s">
        <v>1040</v>
      </c>
      <c r="M102" t="str">
        <f>HYPERLINK("../../3.KEGG_map/SCI_II-vs-NC-Up/rno04072.html","rno04072")</f>
        <v>rno04072</v>
      </c>
    </row>
    <row r="103" spans="1:13" x14ac:dyDescent="0.25">
      <c r="A103" t="s">
        <v>350</v>
      </c>
      <c r="B103" t="s">
        <v>351</v>
      </c>
      <c r="C103" t="s">
        <v>249</v>
      </c>
      <c r="D103" t="s">
        <v>326</v>
      </c>
      <c r="E103">
        <v>45</v>
      </c>
      <c r="F103">
        <v>893</v>
      </c>
      <c r="G103">
        <v>313</v>
      </c>
      <c r="H103">
        <v>7679</v>
      </c>
      <c r="I103">
        <v>7.5283826349335295E-2</v>
      </c>
      <c r="J103">
        <v>0.24530878635339401</v>
      </c>
      <c r="K103">
        <v>1.2362929279558099</v>
      </c>
      <c r="L103" t="s">
        <v>1041</v>
      </c>
      <c r="M103" t="str">
        <f>HYPERLINK("../../3.KEGG_map/SCI_II-vs-NC-Up/rno04080.html","rno04080")</f>
        <v>rno04080</v>
      </c>
    </row>
    <row r="104" spans="1:13" x14ac:dyDescent="0.25">
      <c r="A104" t="s">
        <v>353</v>
      </c>
      <c r="B104" t="s">
        <v>354</v>
      </c>
      <c r="C104" t="s">
        <v>355</v>
      </c>
      <c r="D104" t="s">
        <v>356</v>
      </c>
      <c r="E104">
        <v>29</v>
      </c>
      <c r="F104">
        <v>893</v>
      </c>
      <c r="G104">
        <v>123</v>
      </c>
      <c r="H104">
        <v>7679</v>
      </c>
      <c r="I104">
        <v>1.31472565566779E-4</v>
      </c>
      <c r="J104">
        <v>7.5991142897598304E-4</v>
      </c>
      <c r="K104">
        <v>2.0274310581851598</v>
      </c>
      <c r="L104" t="s">
        <v>1042</v>
      </c>
      <c r="M104" t="str">
        <f>HYPERLINK("../../3.KEGG_map/SCI_II-vs-NC-Up/rno04110.html","rno04110")</f>
        <v>rno04110</v>
      </c>
    </row>
    <row r="105" spans="1:13" x14ac:dyDescent="0.25">
      <c r="A105" t="s">
        <v>358</v>
      </c>
      <c r="B105" t="s">
        <v>359</v>
      </c>
      <c r="C105" t="s">
        <v>355</v>
      </c>
      <c r="D105" t="s">
        <v>356</v>
      </c>
      <c r="E105">
        <v>22</v>
      </c>
      <c r="F105">
        <v>893</v>
      </c>
      <c r="G105">
        <v>112</v>
      </c>
      <c r="H105">
        <v>7679</v>
      </c>
      <c r="I105">
        <v>9.0055281603904098E-3</v>
      </c>
      <c r="J105">
        <v>3.7718806352939602E-2</v>
      </c>
      <c r="K105">
        <v>1.68910974244121</v>
      </c>
      <c r="L105" t="s">
        <v>1043</v>
      </c>
      <c r="M105" t="str">
        <f>HYPERLINK("../../3.KEGG_map/SCI_II-vs-NC-Up/rno04114.html","rno04114")</f>
        <v>rno04114</v>
      </c>
    </row>
    <row r="106" spans="1:13" x14ac:dyDescent="0.25">
      <c r="A106" t="s">
        <v>361</v>
      </c>
      <c r="B106" t="s">
        <v>362</v>
      </c>
      <c r="C106" t="s">
        <v>355</v>
      </c>
      <c r="D106" t="s">
        <v>356</v>
      </c>
      <c r="E106">
        <v>16</v>
      </c>
      <c r="F106">
        <v>893</v>
      </c>
      <c r="G106">
        <v>66</v>
      </c>
      <c r="H106">
        <v>7679</v>
      </c>
      <c r="I106">
        <v>3.01884362097051E-3</v>
      </c>
      <c r="J106">
        <v>1.38483461342933E-2</v>
      </c>
      <c r="K106">
        <v>2.0846313074756502</v>
      </c>
      <c r="L106" t="s">
        <v>1044</v>
      </c>
      <c r="M106" t="str">
        <f>HYPERLINK("../../3.KEGG_map/SCI_II-vs-NC-Up/rno04115.html","rno04115")</f>
        <v>rno04115</v>
      </c>
    </row>
    <row r="107" spans="1:13" x14ac:dyDescent="0.25">
      <c r="A107" t="s">
        <v>364</v>
      </c>
      <c r="B107" t="s">
        <v>365</v>
      </c>
      <c r="C107" t="s">
        <v>220</v>
      </c>
      <c r="D107" t="s">
        <v>263</v>
      </c>
      <c r="E107">
        <v>6</v>
      </c>
      <c r="F107">
        <v>893</v>
      </c>
      <c r="G107">
        <v>132</v>
      </c>
      <c r="H107">
        <v>7679</v>
      </c>
      <c r="I107">
        <v>0.99871493611030204</v>
      </c>
      <c r="J107">
        <v>1</v>
      </c>
      <c r="K107">
        <v>0.39086837015168502</v>
      </c>
      <c r="L107" t="s">
        <v>1045</v>
      </c>
      <c r="M107" t="str">
        <f>HYPERLINK("../../3.KEGG_map/SCI_II-vs-NC-Up/rno04120.html","rno04120")</f>
        <v>rno04120</v>
      </c>
    </row>
    <row r="108" spans="1:13" x14ac:dyDescent="0.25">
      <c r="A108" t="s">
        <v>370</v>
      </c>
      <c r="B108" t="s">
        <v>371</v>
      </c>
      <c r="C108" t="s">
        <v>355</v>
      </c>
      <c r="D108" t="s">
        <v>372</v>
      </c>
      <c r="E108">
        <v>2</v>
      </c>
      <c r="F108">
        <v>893</v>
      </c>
      <c r="G108">
        <v>63</v>
      </c>
      <c r="H108">
        <v>7679</v>
      </c>
      <c r="I108">
        <v>0.99624634195375195</v>
      </c>
      <c r="J108">
        <v>1</v>
      </c>
      <c r="K108">
        <v>0.27298743312181201</v>
      </c>
      <c r="L108" t="s">
        <v>1046</v>
      </c>
      <c r="M108" t="str">
        <f>HYPERLINK("../../3.KEGG_map/SCI_II-vs-NC-Up/rno04137.html","rno04137")</f>
        <v>rno04137</v>
      </c>
    </row>
    <row r="109" spans="1:13" x14ac:dyDescent="0.25">
      <c r="A109" t="s">
        <v>374</v>
      </c>
      <c r="B109" t="s">
        <v>375</v>
      </c>
      <c r="C109" t="s">
        <v>355</v>
      </c>
      <c r="D109" t="s">
        <v>372</v>
      </c>
      <c r="E109">
        <v>5</v>
      </c>
      <c r="F109">
        <v>893</v>
      </c>
      <c r="G109">
        <v>129</v>
      </c>
      <c r="H109">
        <v>7679</v>
      </c>
      <c r="I109">
        <v>0.99953335156549195</v>
      </c>
      <c r="J109">
        <v>1</v>
      </c>
      <c r="K109">
        <v>0.33329861020686302</v>
      </c>
      <c r="L109" t="s">
        <v>1047</v>
      </c>
      <c r="M109" t="str">
        <f>HYPERLINK("../../3.KEGG_map/SCI_II-vs-NC-Up/rno04140.html","rno04140")</f>
        <v>rno04140</v>
      </c>
    </row>
    <row r="110" spans="1:13" x14ac:dyDescent="0.25">
      <c r="A110" t="s">
        <v>377</v>
      </c>
      <c r="B110" t="s">
        <v>378</v>
      </c>
      <c r="C110" t="s">
        <v>220</v>
      </c>
      <c r="D110" t="s">
        <v>263</v>
      </c>
      <c r="E110">
        <v>4</v>
      </c>
      <c r="F110">
        <v>893</v>
      </c>
      <c r="G110">
        <v>160</v>
      </c>
      <c r="H110">
        <v>7679</v>
      </c>
      <c r="I110">
        <v>0.99999611882881601</v>
      </c>
      <c r="J110">
        <v>1</v>
      </c>
      <c r="K110">
        <v>0.21497760358342699</v>
      </c>
      <c r="L110" t="s">
        <v>1048</v>
      </c>
      <c r="M110" t="str">
        <f>HYPERLINK("../../3.KEGG_map/SCI_II-vs-NC-Up/rno04141.html","rno04141")</f>
        <v>rno04141</v>
      </c>
    </row>
    <row r="111" spans="1:13" x14ac:dyDescent="0.25">
      <c r="A111" t="s">
        <v>380</v>
      </c>
      <c r="B111" t="s">
        <v>381</v>
      </c>
      <c r="C111" t="s">
        <v>355</v>
      </c>
      <c r="D111" t="s">
        <v>372</v>
      </c>
      <c r="E111">
        <v>11</v>
      </c>
      <c r="F111">
        <v>893</v>
      </c>
      <c r="G111">
        <v>125</v>
      </c>
      <c r="H111">
        <v>7679</v>
      </c>
      <c r="I111">
        <v>0.87473740205683903</v>
      </c>
      <c r="J111">
        <v>1</v>
      </c>
      <c r="K111">
        <v>0.75672116461366201</v>
      </c>
      <c r="L111" t="s">
        <v>1049</v>
      </c>
      <c r="M111" t="str">
        <f>HYPERLINK("../../3.KEGG_map/SCI_II-vs-NC-Up/rno04142.html","rno04142")</f>
        <v>rno04142</v>
      </c>
    </row>
    <row r="112" spans="1:13" x14ac:dyDescent="0.25">
      <c r="A112" t="s">
        <v>383</v>
      </c>
      <c r="B112" t="s">
        <v>384</v>
      </c>
      <c r="C112" t="s">
        <v>355</v>
      </c>
      <c r="D112" t="s">
        <v>372</v>
      </c>
      <c r="E112">
        <v>21</v>
      </c>
      <c r="F112">
        <v>893</v>
      </c>
      <c r="G112">
        <v>256</v>
      </c>
      <c r="H112">
        <v>7679</v>
      </c>
      <c r="I112">
        <v>0.97166503337474497</v>
      </c>
      <c r="J112">
        <v>1</v>
      </c>
      <c r="K112">
        <v>0.70539526175811895</v>
      </c>
      <c r="L112" t="s">
        <v>1050</v>
      </c>
      <c r="M112" t="str">
        <f>HYPERLINK("../../3.KEGG_map/SCI_II-vs-NC-Up/rno04144.html","rno04144")</f>
        <v>rno04144</v>
      </c>
    </row>
    <row r="113" spans="1:13" x14ac:dyDescent="0.25">
      <c r="A113" t="s">
        <v>386</v>
      </c>
      <c r="B113" t="s">
        <v>387</v>
      </c>
      <c r="C113" t="s">
        <v>355</v>
      </c>
      <c r="D113" t="s">
        <v>372</v>
      </c>
      <c r="E113">
        <v>42</v>
      </c>
      <c r="F113">
        <v>893</v>
      </c>
      <c r="G113">
        <v>169</v>
      </c>
      <c r="H113">
        <v>7679</v>
      </c>
      <c r="I113" s="1">
        <v>1.0168139202651201E-6</v>
      </c>
      <c r="J113" s="1">
        <v>8.6429183222534992E-6</v>
      </c>
      <c r="K113">
        <v>2.1370554675748901</v>
      </c>
      <c r="L113" t="s">
        <v>1051</v>
      </c>
      <c r="M113" t="str">
        <f>HYPERLINK("../../3.KEGG_map/SCI_II-vs-NC-Up/rno04145.html","rno04145")</f>
        <v>rno04145</v>
      </c>
    </row>
    <row r="114" spans="1:13" x14ac:dyDescent="0.25">
      <c r="A114" t="s">
        <v>389</v>
      </c>
      <c r="B114" t="s">
        <v>390</v>
      </c>
      <c r="C114" t="s">
        <v>355</v>
      </c>
      <c r="D114" t="s">
        <v>372</v>
      </c>
      <c r="E114">
        <v>5</v>
      </c>
      <c r="F114">
        <v>893</v>
      </c>
      <c r="G114">
        <v>81</v>
      </c>
      <c r="H114">
        <v>7679</v>
      </c>
      <c r="I114">
        <v>0.96659114346233799</v>
      </c>
      <c r="J114">
        <v>1</v>
      </c>
      <c r="K114">
        <v>0.53080889773685602</v>
      </c>
      <c r="L114" t="s">
        <v>1052</v>
      </c>
      <c r="M114" t="str">
        <f>HYPERLINK("../../3.KEGG_map/SCI_II-vs-NC-Up/rno04146.html","rno04146")</f>
        <v>rno04146</v>
      </c>
    </row>
    <row r="115" spans="1:13" x14ac:dyDescent="0.25">
      <c r="A115" t="s">
        <v>392</v>
      </c>
      <c r="B115" t="s">
        <v>393</v>
      </c>
      <c r="C115" t="s">
        <v>249</v>
      </c>
      <c r="D115" t="s">
        <v>304</v>
      </c>
      <c r="E115">
        <v>7</v>
      </c>
      <c r="F115">
        <v>893</v>
      </c>
      <c r="G115">
        <v>150</v>
      </c>
      <c r="H115">
        <v>7679</v>
      </c>
      <c r="I115">
        <v>0.99914748450482904</v>
      </c>
      <c r="J115">
        <v>1</v>
      </c>
      <c r="K115">
        <v>0.40129152668906298</v>
      </c>
      <c r="L115" t="s">
        <v>1053</v>
      </c>
      <c r="M115" t="str">
        <f>HYPERLINK("../../3.KEGG_map/SCI_II-vs-NC-Up/rno04150.html","rno04150")</f>
        <v>rno04150</v>
      </c>
    </row>
    <row r="116" spans="1:13" x14ac:dyDescent="0.25">
      <c r="A116" t="s">
        <v>395</v>
      </c>
      <c r="B116" t="s">
        <v>396</v>
      </c>
      <c r="C116" t="s">
        <v>249</v>
      </c>
      <c r="D116" t="s">
        <v>304</v>
      </c>
      <c r="E116">
        <v>55</v>
      </c>
      <c r="F116">
        <v>893</v>
      </c>
      <c r="G116">
        <v>335</v>
      </c>
      <c r="H116">
        <v>7679</v>
      </c>
      <c r="I116">
        <v>4.6638462179429997E-3</v>
      </c>
      <c r="J116">
        <v>2.04219932876595E-2</v>
      </c>
      <c r="K116">
        <v>1.4117932175628001</v>
      </c>
      <c r="L116" t="s">
        <v>1054</v>
      </c>
      <c r="M116" t="str">
        <f>HYPERLINK("../../3.KEGG_map/SCI_II-vs-NC-Up/rno04151.html","rno04151")</f>
        <v>rno04151</v>
      </c>
    </row>
    <row r="117" spans="1:13" x14ac:dyDescent="0.25">
      <c r="A117" t="s">
        <v>398</v>
      </c>
      <c r="B117" t="s">
        <v>399</v>
      </c>
      <c r="C117" t="s">
        <v>249</v>
      </c>
      <c r="D117" t="s">
        <v>304</v>
      </c>
      <c r="E117">
        <v>6</v>
      </c>
      <c r="F117">
        <v>893</v>
      </c>
      <c r="G117">
        <v>123</v>
      </c>
      <c r="H117">
        <v>7679</v>
      </c>
      <c r="I117">
        <v>0.99715863364950497</v>
      </c>
      <c r="J117">
        <v>1</v>
      </c>
      <c r="K117">
        <v>0.41946849479692999</v>
      </c>
      <c r="L117" t="s">
        <v>1055</v>
      </c>
      <c r="M117" t="str">
        <f>HYPERLINK("../../3.KEGG_map/SCI_II-vs-NC-Up/rno04152.html","rno04152")</f>
        <v>rno04152</v>
      </c>
    </row>
    <row r="118" spans="1:13" x14ac:dyDescent="0.25">
      <c r="A118" t="s">
        <v>401</v>
      </c>
      <c r="B118" t="s">
        <v>402</v>
      </c>
      <c r="C118" t="s">
        <v>355</v>
      </c>
      <c r="D118" t="s">
        <v>356</v>
      </c>
      <c r="E118">
        <v>26</v>
      </c>
      <c r="F118">
        <v>893</v>
      </c>
      <c r="G118">
        <v>134</v>
      </c>
      <c r="H118">
        <v>7679</v>
      </c>
      <c r="I118">
        <v>5.6566208054582403E-3</v>
      </c>
      <c r="J118">
        <v>2.4399453922051201E-2</v>
      </c>
      <c r="K118">
        <v>1.66848289348331</v>
      </c>
      <c r="L118" t="s">
        <v>1056</v>
      </c>
      <c r="M118" t="str">
        <f>HYPERLINK("../../3.KEGG_map/SCI_II-vs-NC-Up/rno04210.html","rno04210")</f>
        <v>rno04210</v>
      </c>
    </row>
    <row r="119" spans="1:13" x14ac:dyDescent="0.25">
      <c r="A119" t="s">
        <v>404</v>
      </c>
      <c r="B119" t="s">
        <v>405</v>
      </c>
      <c r="C119" t="s">
        <v>281</v>
      </c>
      <c r="D119" t="s">
        <v>406</v>
      </c>
      <c r="E119">
        <v>8</v>
      </c>
      <c r="F119">
        <v>893</v>
      </c>
      <c r="G119">
        <v>89</v>
      </c>
      <c r="H119">
        <v>7679</v>
      </c>
      <c r="I119">
        <v>0.82773943952634399</v>
      </c>
      <c r="J119">
        <v>1</v>
      </c>
      <c r="K119">
        <v>0.77295318142355696</v>
      </c>
      <c r="L119" t="s">
        <v>1057</v>
      </c>
      <c r="M119" t="str">
        <f>HYPERLINK("../../3.KEGG_map/SCI_II-vs-NC-Up/rno04211.html","rno04211")</f>
        <v>rno04211</v>
      </c>
    </row>
    <row r="120" spans="1:13" x14ac:dyDescent="0.25">
      <c r="A120" t="s">
        <v>408</v>
      </c>
      <c r="B120" t="s">
        <v>409</v>
      </c>
      <c r="C120" t="s">
        <v>281</v>
      </c>
      <c r="D120" t="s">
        <v>406</v>
      </c>
      <c r="E120">
        <v>6</v>
      </c>
      <c r="F120">
        <v>893</v>
      </c>
      <c r="G120">
        <v>62</v>
      </c>
      <c r="H120">
        <v>7679</v>
      </c>
      <c r="I120">
        <v>0.74276109802638102</v>
      </c>
      <c r="J120">
        <v>1</v>
      </c>
      <c r="K120">
        <v>0.83217136871003805</v>
      </c>
      <c r="L120" t="s">
        <v>1058</v>
      </c>
      <c r="M120" t="str">
        <f>HYPERLINK("../../3.KEGG_map/SCI_II-vs-NC-Up/rno04213.html","rno04213")</f>
        <v>rno04213</v>
      </c>
    </row>
    <row r="121" spans="1:13" x14ac:dyDescent="0.25">
      <c r="A121" t="s">
        <v>411</v>
      </c>
      <c r="B121" t="s">
        <v>412</v>
      </c>
      <c r="C121" t="s">
        <v>355</v>
      </c>
      <c r="D121" t="s">
        <v>356</v>
      </c>
      <c r="E121">
        <v>6</v>
      </c>
      <c r="F121">
        <v>893</v>
      </c>
      <c r="G121">
        <v>32</v>
      </c>
      <c r="H121">
        <v>7679</v>
      </c>
      <c r="I121">
        <v>0.16068750538992699</v>
      </c>
      <c r="J121">
        <v>0.42356219672600798</v>
      </c>
      <c r="K121">
        <v>1.6123320268757</v>
      </c>
      <c r="L121" t="s">
        <v>1059</v>
      </c>
      <c r="M121" t="str">
        <f>HYPERLINK("../../3.KEGG_map/SCI_II-vs-NC-Up/rno04215.html","rno04215")</f>
        <v>rno04215</v>
      </c>
    </row>
    <row r="122" spans="1:13" x14ac:dyDescent="0.25">
      <c r="A122" t="s">
        <v>414</v>
      </c>
      <c r="B122" t="s">
        <v>415</v>
      </c>
      <c r="C122" t="s">
        <v>355</v>
      </c>
      <c r="D122" t="s">
        <v>356</v>
      </c>
      <c r="E122">
        <v>7</v>
      </c>
      <c r="F122">
        <v>893</v>
      </c>
      <c r="G122">
        <v>39</v>
      </c>
      <c r="H122">
        <v>7679</v>
      </c>
      <c r="I122">
        <v>0.16080004614325899</v>
      </c>
      <c r="J122">
        <v>0.42356219672600798</v>
      </c>
      <c r="K122">
        <v>1.54342894880409</v>
      </c>
      <c r="L122" t="s">
        <v>1060</v>
      </c>
      <c r="M122" t="str">
        <f>HYPERLINK("../../3.KEGG_map/SCI_II-vs-NC-Up/rno04216.html","rno04216")</f>
        <v>rno04216</v>
      </c>
    </row>
    <row r="123" spans="1:13" x14ac:dyDescent="0.25">
      <c r="A123" t="s">
        <v>417</v>
      </c>
      <c r="B123" t="s">
        <v>418</v>
      </c>
      <c r="C123" t="s">
        <v>355</v>
      </c>
      <c r="D123" t="s">
        <v>356</v>
      </c>
      <c r="E123">
        <v>27</v>
      </c>
      <c r="F123">
        <v>893</v>
      </c>
      <c r="G123">
        <v>145</v>
      </c>
      <c r="H123">
        <v>7679</v>
      </c>
      <c r="I123">
        <v>8.55423480932304E-3</v>
      </c>
      <c r="J123">
        <v>3.6355497939622901E-2</v>
      </c>
      <c r="K123">
        <v>1.60121249565587</v>
      </c>
      <c r="L123" t="s">
        <v>1061</v>
      </c>
      <c r="M123" t="str">
        <f>HYPERLINK("../../3.KEGG_map/SCI_II-vs-NC-Up/rno04217.html","rno04217")</f>
        <v>rno04217</v>
      </c>
    </row>
    <row r="124" spans="1:13" x14ac:dyDescent="0.25">
      <c r="A124" t="s">
        <v>420</v>
      </c>
      <c r="B124" t="s">
        <v>421</v>
      </c>
      <c r="C124" t="s">
        <v>355</v>
      </c>
      <c r="D124" t="s">
        <v>356</v>
      </c>
      <c r="E124">
        <v>25</v>
      </c>
      <c r="F124">
        <v>893</v>
      </c>
      <c r="G124">
        <v>173</v>
      </c>
      <c r="H124">
        <v>7679</v>
      </c>
      <c r="I124">
        <v>0.146954844824534</v>
      </c>
      <c r="J124">
        <v>0.40836490532971498</v>
      </c>
      <c r="K124">
        <v>1.24264510741865</v>
      </c>
      <c r="L124" t="s">
        <v>1062</v>
      </c>
      <c r="M124" t="str">
        <f>HYPERLINK("../../3.KEGG_map/SCI_II-vs-NC-Up/rno04218.html","rno04218")</f>
        <v>rno04218</v>
      </c>
    </row>
    <row r="125" spans="1:13" x14ac:dyDescent="0.25">
      <c r="A125" t="s">
        <v>423</v>
      </c>
      <c r="B125" t="s">
        <v>424</v>
      </c>
      <c r="C125" t="s">
        <v>281</v>
      </c>
      <c r="D125" t="s">
        <v>425</v>
      </c>
      <c r="E125">
        <v>7</v>
      </c>
      <c r="F125">
        <v>893</v>
      </c>
      <c r="G125">
        <v>75</v>
      </c>
      <c r="H125">
        <v>7679</v>
      </c>
      <c r="I125">
        <v>0.78469454047889597</v>
      </c>
      <c r="J125">
        <v>1</v>
      </c>
      <c r="K125">
        <v>0.80258305337812597</v>
      </c>
      <c r="L125" t="s">
        <v>1063</v>
      </c>
      <c r="M125" t="str">
        <f>HYPERLINK("../../3.KEGG_map/SCI_II-vs-NC-Up/rno04260.html","rno04260")</f>
        <v>rno04260</v>
      </c>
    </row>
    <row r="126" spans="1:13" x14ac:dyDescent="0.25">
      <c r="A126" t="s">
        <v>427</v>
      </c>
      <c r="B126" t="s">
        <v>428</v>
      </c>
      <c r="C126" t="s">
        <v>281</v>
      </c>
      <c r="D126" t="s">
        <v>425</v>
      </c>
      <c r="E126">
        <v>15</v>
      </c>
      <c r="F126">
        <v>893</v>
      </c>
      <c r="G126">
        <v>143</v>
      </c>
      <c r="H126">
        <v>7679</v>
      </c>
      <c r="I126">
        <v>0.70466571646821496</v>
      </c>
      <c r="J126">
        <v>1</v>
      </c>
      <c r="K126">
        <v>0.90200393111927302</v>
      </c>
      <c r="L126" t="s">
        <v>1064</v>
      </c>
      <c r="M126" t="str">
        <f>HYPERLINK("../../3.KEGG_map/SCI_II-vs-NC-Up/rno04261.html","rno04261")</f>
        <v>rno04261</v>
      </c>
    </row>
    <row r="127" spans="1:13" x14ac:dyDescent="0.25">
      <c r="A127" t="s">
        <v>430</v>
      </c>
      <c r="B127" t="s">
        <v>431</v>
      </c>
      <c r="C127" t="s">
        <v>281</v>
      </c>
      <c r="D127" t="s">
        <v>425</v>
      </c>
      <c r="E127">
        <v>10</v>
      </c>
      <c r="F127">
        <v>893</v>
      </c>
      <c r="G127">
        <v>130</v>
      </c>
      <c r="H127">
        <v>7679</v>
      </c>
      <c r="I127">
        <v>0.94641514660925796</v>
      </c>
      <c r="J127">
        <v>1</v>
      </c>
      <c r="K127">
        <v>0.66146954948746695</v>
      </c>
      <c r="L127" t="s">
        <v>1065</v>
      </c>
      <c r="M127" t="str">
        <f>HYPERLINK("../../3.KEGG_map/SCI_II-vs-NC-Up/rno04270.html","rno04270")</f>
        <v>rno04270</v>
      </c>
    </row>
    <row r="128" spans="1:13" x14ac:dyDescent="0.25">
      <c r="A128" t="s">
        <v>433</v>
      </c>
      <c r="B128" t="s">
        <v>434</v>
      </c>
      <c r="C128" t="s">
        <v>249</v>
      </c>
      <c r="D128" t="s">
        <v>304</v>
      </c>
      <c r="E128">
        <v>9</v>
      </c>
      <c r="F128">
        <v>893</v>
      </c>
      <c r="G128">
        <v>143</v>
      </c>
      <c r="H128">
        <v>7679</v>
      </c>
      <c r="I128">
        <v>0.98917172851551105</v>
      </c>
      <c r="J128">
        <v>1</v>
      </c>
      <c r="K128">
        <v>0.54120235867156397</v>
      </c>
      <c r="L128" t="s">
        <v>1066</v>
      </c>
      <c r="M128" t="str">
        <f>HYPERLINK("../../3.KEGG_map/SCI_II-vs-NC-Up/rno04310.html","rno04310")</f>
        <v>rno04310</v>
      </c>
    </row>
    <row r="129" spans="1:13" x14ac:dyDescent="0.25">
      <c r="A129" t="s">
        <v>436</v>
      </c>
      <c r="B129" t="s">
        <v>437</v>
      </c>
      <c r="C129" t="s">
        <v>249</v>
      </c>
      <c r="D129" t="s">
        <v>304</v>
      </c>
      <c r="E129">
        <v>10</v>
      </c>
      <c r="F129">
        <v>893</v>
      </c>
      <c r="G129">
        <v>84</v>
      </c>
      <c r="H129">
        <v>7679</v>
      </c>
      <c r="I129">
        <v>0.51936863082384699</v>
      </c>
      <c r="J129">
        <v>0.93898926738243105</v>
      </c>
      <c r="K129">
        <v>1.02370287420679</v>
      </c>
      <c r="L129" t="s">
        <v>1067</v>
      </c>
      <c r="M129" t="str">
        <f>HYPERLINK("../../3.KEGG_map/SCI_II-vs-NC-Up/rno04350.html","rno04350")</f>
        <v>rno04350</v>
      </c>
    </row>
    <row r="130" spans="1:13" x14ac:dyDescent="0.25">
      <c r="A130" t="s">
        <v>439</v>
      </c>
      <c r="B130" t="s">
        <v>440</v>
      </c>
      <c r="C130" t="s">
        <v>281</v>
      </c>
      <c r="D130" t="s">
        <v>441</v>
      </c>
      <c r="E130">
        <v>20</v>
      </c>
      <c r="F130">
        <v>893</v>
      </c>
      <c r="G130">
        <v>175</v>
      </c>
      <c r="H130">
        <v>7679</v>
      </c>
      <c r="I130">
        <v>0.56930566824658102</v>
      </c>
      <c r="J130">
        <v>0.99714750377734596</v>
      </c>
      <c r="K130">
        <v>0.98275475923852196</v>
      </c>
      <c r="L130" t="s">
        <v>1068</v>
      </c>
      <c r="M130" t="str">
        <f>HYPERLINK("../../3.KEGG_map/SCI_II-vs-NC-Up/rno04360.html","rno04360")</f>
        <v>rno04360</v>
      </c>
    </row>
    <row r="131" spans="1:13" x14ac:dyDescent="0.25">
      <c r="A131" t="s">
        <v>443</v>
      </c>
      <c r="B131" t="s">
        <v>444</v>
      </c>
      <c r="C131" t="s">
        <v>249</v>
      </c>
      <c r="D131" t="s">
        <v>304</v>
      </c>
      <c r="E131">
        <v>7</v>
      </c>
      <c r="F131">
        <v>893</v>
      </c>
      <c r="G131">
        <v>57</v>
      </c>
      <c r="H131">
        <v>7679</v>
      </c>
      <c r="I131">
        <v>0.49998387975983799</v>
      </c>
      <c r="J131">
        <v>0.93898926738243105</v>
      </c>
      <c r="K131">
        <v>1.05603033339227</v>
      </c>
      <c r="L131" t="s">
        <v>1069</v>
      </c>
      <c r="M131" t="str">
        <f>HYPERLINK("../../3.KEGG_map/SCI_II-vs-NC-Up/rno04370.html","rno04370")</f>
        <v>rno04370</v>
      </c>
    </row>
    <row r="132" spans="1:13" x14ac:dyDescent="0.25">
      <c r="A132" t="s">
        <v>446</v>
      </c>
      <c r="B132" t="s">
        <v>447</v>
      </c>
      <c r="C132" t="s">
        <v>249</v>
      </c>
      <c r="D132" t="s">
        <v>304</v>
      </c>
      <c r="E132">
        <v>14</v>
      </c>
      <c r="F132">
        <v>893</v>
      </c>
      <c r="G132">
        <v>134</v>
      </c>
      <c r="H132">
        <v>7679</v>
      </c>
      <c r="I132">
        <v>0.70635083561795797</v>
      </c>
      <c r="J132">
        <v>1</v>
      </c>
      <c r="K132">
        <v>0.89841386572178294</v>
      </c>
      <c r="L132" t="s">
        <v>1070</v>
      </c>
      <c r="M132" t="str">
        <f>HYPERLINK("../../3.KEGG_map/SCI_II-vs-NC-Up/rno04371.html","rno04371")</f>
        <v>rno04371</v>
      </c>
    </row>
    <row r="133" spans="1:13" x14ac:dyDescent="0.25">
      <c r="A133" t="s">
        <v>449</v>
      </c>
      <c r="B133" t="s">
        <v>450</v>
      </c>
      <c r="C133" t="s">
        <v>281</v>
      </c>
      <c r="D133" t="s">
        <v>441</v>
      </c>
      <c r="E133">
        <v>36</v>
      </c>
      <c r="F133">
        <v>893</v>
      </c>
      <c r="G133">
        <v>122</v>
      </c>
      <c r="H133">
        <v>7679</v>
      </c>
      <c r="I133" s="1">
        <v>6.40584988388397E-8</v>
      </c>
      <c r="J133" s="1">
        <v>6.8566319127498802E-7</v>
      </c>
      <c r="K133">
        <v>2.53744056688635</v>
      </c>
      <c r="L133" t="s">
        <v>1071</v>
      </c>
      <c r="M133" t="str">
        <f>HYPERLINK("../../3.KEGG_map/SCI_II-vs-NC-Up/rno04380.html","rno04380")</f>
        <v>rno04380</v>
      </c>
    </row>
    <row r="134" spans="1:13" x14ac:dyDescent="0.25">
      <c r="A134" t="s">
        <v>452</v>
      </c>
      <c r="B134" t="s">
        <v>453</v>
      </c>
      <c r="C134" t="s">
        <v>249</v>
      </c>
      <c r="D134" t="s">
        <v>304</v>
      </c>
      <c r="E134">
        <v>10</v>
      </c>
      <c r="F134">
        <v>893</v>
      </c>
      <c r="G134">
        <v>152</v>
      </c>
      <c r="H134">
        <v>7679</v>
      </c>
      <c r="I134">
        <v>0.98708098682566103</v>
      </c>
      <c r="J134">
        <v>1</v>
      </c>
      <c r="K134">
        <v>0.56573053574585996</v>
      </c>
      <c r="L134" t="s">
        <v>1072</v>
      </c>
      <c r="M134" t="str">
        <f>HYPERLINK("../../3.KEGG_map/SCI_II-vs-NC-Up/rno04390.html","rno04390")</f>
        <v>rno04390</v>
      </c>
    </row>
    <row r="135" spans="1:13" x14ac:dyDescent="0.25">
      <c r="A135" t="s">
        <v>458</v>
      </c>
      <c r="B135" t="s">
        <v>459</v>
      </c>
      <c r="C135" t="s">
        <v>355</v>
      </c>
      <c r="D135" t="s">
        <v>460</v>
      </c>
      <c r="E135">
        <v>26</v>
      </c>
      <c r="F135">
        <v>893</v>
      </c>
      <c r="G135">
        <v>196</v>
      </c>
      <c r="H135">
        <v>7679</v>
      </c>
      <c r="I135">
        <v>0.26497279199099</v>
      </c>
      <c r="J135">
        <v>0.62489822635320602</v>
      </c>
      <c r="K135">
        <v>1.1406974884018599</v>
      </c>
      <c r="L135" t="s">
        <v>1073</v>
      </c>
      <c r="M135" t="str">
        <f>HYPERLINK("../../3.KEGG_map/SCI_II-vs-NC-Up/rno04510.html","rno04510")</f>
        <v>rno04510</v>
      </c>
    </row>
    <row r="136" spans="1:13" x14ac:dyDescent="0.25">
      <c r="A136" t="s">
        <v>462</v>
      </c>
      <c r="B136" t="s">
        <v>463</v>
      </c>
      <c r="C136" t="s">
        <v>249</v>
      </c>
      <c r="D136" t="s">
        <v>326</v>
      </c>
      <c r="E136">
        <v>19</v>
      </c>
      <c r="F136">
        <v>893</v>
      </c>
      <c r="G136">
        <v>82</v>
      </c>
      <c r="H136">
        <v>7679</v>
      </c>
      <c r="I136">
        <v>2.26216715697128E-3</v>
      </c>
      <c r="J136">
        <v>1.0717480464995099E-2</v>
      </c>
      <c r="K136">
        <v>1.99247535028542</v>
      </c>
      <c r="L136" t="s">
        <v>1074</v>
      </c>
      <c r="M136" t="str">
        <f>HYPERLINK("../../3.KEGG_map/SCI_II-vs-NC-Up/rno04512.html","rno04512")</f>
        <v>rno04512</v>
      </c>
    </row>
    <row r="137" spans="1:13" x14ac:dyDescent="0.25">
      <c r="A137" t="s">
        <v>465</v>
      </c>
      <c r="B137" t="s">
        <v>466</v>
      </c>
      <c r="C137" t="s">
        <v>249</v>
      </c>
      <c r="D137" t="s">
        <v>326</v>
      </c>
      <c r="E137">
        <v>48</v>
      </c>
      <c r="F137">
        <v>893</v>
      </c>
      <c r="G137">
        <v>155</v>
      </c>
      <c r="H137">
        <v>7679</v>
      </c>
      <c r="I137" s="1">
        <v>6.2188015774567006E-11</v>
      </c>
      <c r="J137" s="1">
        <v>1.38248742760383E-9</v>
      </c>
      <c r="K137">
        <v>2.6629483798721201</v>
      </c>
      <c r="L137" t="s">
        <v>1075</v>
      </c>
      <c r="M137" t="str">
        <f>HYPERLINK("../../3.KEGG_map/SCI_II-vs-NC-Up/rno04514.html","rno04514")</f>
        <v>rno04514</v>
      </c>
    </row>
    <row r="138" spans="1:13" x14ac:dyDescent="0.25">
      <c r="A138" t="s">
        <v>468</v>
      </c>
      <c r="B138" t="s">
        <v>469</v>
      </c>
      <c r="C138" t="s">
        <v>355</v>
      </c>
      <c r="D138" t="s">
        <v>460</v>
      </c>
      <c r="E138">
        <v>5</v>
      </c>
      <c r="F138">
        <v>893</v>
      </c>
      <c r="G138">
        <v>71</v>
      </c>
      <c r="H138">
        <v>7679</v>
      </c>
      <c r="I138">
        <v>0.92769640703951595</v>
      </c>
      <c r="J138">
        <v>1</v>
      </c>
      <c r="K138">
        <v>0.60557071431951204</v>
      </c>
      <c r="L138" t="s">
        <v>1076</v>
      </c>
      <c r="M138" t="str">
        <f>HYPERLINK("../../3.KEGG_map/SCI_II-vs-NC-Up/rno04520.html","rno04520")</f>
        <v>rno04520</v>
      </c>
    </row>
    <row r="139" spans="1:13" x14ac:dyDescent="0.25">
      <c r="A139" t="s">
        <v>471</v>
      </c>
      <c r="B139" t="s">
        <v>472</v>
      </c>
      <c r="C139" t="s">
        <v>355</v>
      </c>
      <c r="D139" t="s">
        <v>460</v>
      </c>
      <c r="E139">
        <v>16</v>
      </c>
      <c r="F139">
        <v>893</v>
      </c>
      <c r="G139">
        <v>165</v>
      </c>
      <c r="H139">
        <v>7679</v>
      </c>
      <c r="I139">
        <v>0.81610443572472702</v>
      </c>
      <c r="J139">
        <v>1</v>
      </c>
      <c r="K139">
        <v>0.83385252299026102</v>
      </c>
      <c r="L139" t="s">
        <v>1077</v>
      </c>
      <c r="M139" t="str">
        <f>HYPERLINK("../../3.KEGG_map/SCI_II-vs-NC-Up/rno04530.html","rno04530")</f>
        <v>rno04530</v>
      </c>
    </row>
    <row r="140" spans="1:13" x14ac:dyDescent="0.25">
      <c r="A140" t="s">
        <v>474</v>
      </c>
      <c r="B140" t="s">
        <v>475</v>
      </c>
      <c r="C140" t="s">
        <v>355</v>
      </c>
      <c r="D140" t="s">
        <v>460</v>
      </c>
      <c r="E140">
        <v>9</v>
      </c>
      <c r="F140">
        <v>893</v>
      </c>
      <c r="G140">
        <v>86</v>
      </c>
      <c r="H140">
        <v>7679</v>
      </c>
      <c r="I140">
        <v>0.68259067156741904</v>
      </c>
      <c r="J140">
        <v>1</v>
      </c>
      <c r="K140">
        <v>0.89990624755852999</v>
      </c>
      <c r="L140" t="s">
        <v>1078</v>
      </c>
      <c r="M140" t="str">
        <f>HYPERLINK("../../3.KEGG_map/SCI_II-vs-NC-Up/rno04540.html","rno04540")</f>
        <v>rno04540</v>
      </c>
    </row>
    <row r="141" spans="1:13" x14ac:dyDescent="0.25">
      <c r="A141" t="s">
        <v>477</v>
      </c>
      <c r="B141" t="s">
        <v>478</v>
      </c>
      <c r="C141" t="s">
        <v>355</v>
      </c>
      <c r="D141" t="s">
        <v>460</v>
      </c>
      <c r="E141">
        <v>10</v>
      </c>
      <c r="F141">
        <v>893</v>
      </c>
      <c r="G141">
        <v>135</v>
      </c>
      <c r="H141">
        <v>7679</v>
      </c>
      <c r="I141">
        <v>0.96054351300443896</v>
      </c>
      <c r="J141">
        <v>1</v>
      </c>
      <c r="K141">
        <v>0.63697067728422696</v>
      </c>
      <c r="L141" t="s">
        <v>1079</v>
      </c>
      <c r="M141" t="str">
        <f>HYPERLINK("../../3.KEGG_map/SCI_II-vs-NC-Up/rno04550.html","rno04550")</f>
        <v>rno04550</v>
      </c>
    </row>
    <row r="142" spans="1:13" x14ac:dyDescent="0.25">
      <c r="A142" t="s">
        <v>480</v>
      </c>
      <c r="B142" t="s">
        <v>481</v>
      </c>
      <c r="C142" t="s">
        <v>281</v>
      </c>
      <c r="D142" t="s">
        <v>330</v>
      </c>
      <c r="E142">
        <v>29</v>
      </c>
      <c r="F142">
        <v>893</v>
      </c>
      <c r="G142">
        <v>80</v>
      </c>
      <c r="H142">
        <v>7679</v>
      </c>
      <c r="I142" s="1">
        <v>7.6429455841953299E-9</v>
      </c>
      <c r="J142" s="1">
        <v>1.10440563691623E-7</v>
      </c>
      <c r="K142">
        <v>3.11717525195969</v>
      </c>
      <c r="L142" t="s">
        <v>1080</v>
      </c>
      <c r="M142" t="str">
        <f>HYPERLINK("../../3.KEGG_map/SCI_II-vs-NC-Up/rno04610.html","rno04610")</f>
        <v>rno04610</v>
      </c>
    </row>
    <row r="143" spans="1:13" x14ac:dyDescent="0.25">
      <c r="A143" t="s">
        <v>483</v>
      </c>
      <c r="B143" t="s">
        <v>484</v>
      </c>
      <c r="C143" t="s">
        <v>281</v>
      </c>
      <c r="D143" t="s">
        <v>330</v>
      </c>
      <c r="E143">
        <v>18</v>
      </c>
      <c r="F143">
        <v>893</v>
      </c>
      <c r="G143">
        <v>124</v>
      </c>
      <c r="H143">
        <v>7679</v>
      </c>
      <c r="I143">
        <v>0.189633721403307</v>
      </c>
      <c r="J143">
        <v>0.48499243792527102</v>
      </c>
      <c r="K143">
        <v>1.2482570530650601</v>
      </c>
      <c r="L143" t="s">
        <v>1081</v>
      </c>
      <c r="M143" t="str">
        <f>HYPERLINK("../../3.KEGG_map/SCI_II-vs-NC-Up/rno04611.html","rno04611")</f>
        <v>rno04611</v>
      </c>
    </row>
    <row r="144" spans="1:13" x14ac:dyDescent="0.25">
      <c r="A144" t="s">
        <v>486</v>
      </c>
      <c r="B144" t="s">
        <v>487</v>
      </c>
      <c r="C144" t="s">
        <v>281</v>
      </c>
      <c r="D144" t="s">
        <v>330</v>
      </c>
      <c r="E144">
        <v>26</v>
      </c>
      <c r="F144">
        <v>893</v>
      </c>
      <c r="G144">
        <v>78</v>
      </c>
      <c r="H144">
        <v>7679</v>
      </c>
      <c r="I144" s="1">
        <v>3.17014305903775E-7</v>
      </c>
      <c r="J144" s="1">
        <v>2.86303545019347E-6</v>
      </c>
      <c r="K144">
        <v>2.8663680477790199</v>
      </c>
      <c r="L144" t="s">
        <v>1082</v>
      </c>
      <c r="M144" t="str">
        <f>HYPERLINK("../../3.KEGG_map/SCI_II-vs-NC-Up/rno04612.html","rno04612")</f>
        <v>rno04612</v>
      </c>
    </row>
    <row r="145" spans="1:13" x14ac:dyDescent="0.25">
      <c r="A145" t="s">
        <v>489</v>
      </c>
      <c r="B145" t="s">
        <v>490</v>
      </c>
      <c r="C145" t="s">
        <v>281</v>
      </c>
      <c r="D145" t="s">
        <v>282</v>
      </c>
      <c r="E145">
        <v>6</v>
      </c>
      <c r="F145">
        <v>893</v>
      </c>
      <c r="G145">
        <v>35</v>
      </c>
      <c r="H145">
        <v>7679</v>
      </c>
      <c r="I145">
        <v>0.21590990767228199</v>
      </c>
      <c r="J145">
        <v>0.54259098536773398</v>
      </c>
      <c r="K145">
        <v>1.4741321388577799</v>
      </c>
      <c r="L145" t="s">
        <v>1083</v>
      </c>
      <c r="M145" t="str">
        <f>HYPERLINK("../../3.KEGG_map/SCI_II-vs-NC-Up/rno04614.html","rno04614")</f>
        <v>rno04614</v>
      </c>
    </row>
    <row r="146" spans="1:13" x14ac:dyDescent="0.25">
      <c r="A146" t="s">
        <v>492</v>
      </c>
      <c r="B146" t="s">
        <v>493</v>
      </c>
      <c r="C146" t="s">
        <v>281</v>
      </c>
      <c r="D146" t="s">
        <v>330</v>
      </c>
      <c r="E146">
        <v>29</v>
      </c>
      <c r="F146">
        <v>893</v>
      </c>
      <c r="G146">
        <v>91</v>
      </c>
      <c r="H146">
        <v>7679</v>
      </c>
      <c r="I146" s="1">
        <v>2.0022542581420901E-7</v>
      </c>
      <c r="J146" s="1">
        <v>1.9288382686768801E-6</v>
      </c>
      <c r="K146">
        <v>2.7403738478766502</v>
      </c>
      <c r="L146" t="s">
        <v>1084</v>
      </c>
      <c r="M146" t="str">
        <f>HYPERLINK("../../3.KEGG_map/SCI_II-vs-NC-Up/rno04620.html","rno04620")</f>
        <v>rno04620</v>
      </c>
    </row>
    <row r="147" spans="1:13" x14ac:dyDescent="0.25">
      <c r="A147" t="s">
        <v>495</v>
      </c>
      <c r="B147" t="s">
        <v>496</v>
      </c>
      <c r="C147" t="s">
        <v>281</v>
      </c>
      <c r="D147" t="s">
        <v>330</v>
      </c>
      <c r="E147">
        <v>39</v>
      </c>
      <c r="F147">
        <v>893</v>
      </c>
      <c r="G147">
        <v>154</v>
      </c>
      <c r="H147">
        <v>7679</v>
      </c>
      <c r="I147" s="1">
        <v>1.49266612479034E-6</v>
      </c>
      <c r="J147" s="1">
        <v>1.1982791946233501E-5</v>
      </c>
      <c r="K147">
        <v>2.1776952051308198</v>
      </c>
      <c r="L147" t="s">
        <v>1085</v>
      </c>
      <c r="M147" t="str">
        <f>HYPERLINK("../../3.KEGG_map/SCI_II-vs-NC-Up/rno04621.html","rno04621")</f>
        <v>rno04621</v>
      </c>
    </row>
    <row r="148" spans="1:13" x14ac:dyDescent="0.25">
      <c r="A148" t="s">
        <v>498</v>
      </c>
      <c r="B148" t="s">
        <v>499</v>
      </c>
      <c r="C148" t="s">
        <v>281</v>
      </c>
      <c r="D148" t="s">
        <v>330</v>
      </c>
      <c r="E148">
        <v>9</v>
      </c>
      <c r="F148">
        <v>893</v>
      </c>
      <c r="G148">
        <v>60</v>
      </c>
      <c r="H148">
        <v>7679</v>
      </c>
      <c r="I148">
        <v>0.25873383180017201</v>
      </c>
      <c r="J148">
        <v>0.61796758173760102</v>
      </c>
      <c r="K148">
        <v>1.2898656215005599</v>
      </c>
      <c r="L148" t="s">
        <v>1086</v>
      </c>
      <c r="M148" t="str">
        <f>HYPERLINK("../../3.KEGG_map/SCI_II-vs-NC-Up/rno04622.html","rno04622")</f>
        <v>rno04622</v>
      </c>
    </row>
    <row r="149" spans="1:13" x14ac:dyDescent="0.25">
      <c r="A149" t="s">
        <v>501</v>
      </c>
      <c r="B149" t="s">
        <v>502</v>
      </c>
      <c r="C149" t="s">
        <v>281</v>
      </c>
      <c r="D149" t="s">
        <v>330</v>
      </c>
      <c r="E149">
        <v>15</v>
      </c>
      <c r="F149">
        <v>893</v>
      </c>
      <c r="G149">
        <v>52</v>
      </c>
      <c r="H149">
        <v>7679</v>
      </c>
      <c r="I149">
        <v>6.0056192707433201E-4</v>
      </c>
      <c r="J149">
        <v>3.1556799440814898E-3</v>
      </c>
      <c r="K149">
        <v>2.480510810578</v>
      </c>
      <c r="L149" t="s">
        <v>1087</v>
      </c>
      <c r="M149" t="str">
        <f>HYPERLINK("../../3.KEGG_map/SCI_II-vs-NC-Up/rno04623.html","rno04623")</f>
        <v>rno04623</v>
      </c>
    </row>
    <row r="150" spans="1:13" x14ac:dyDescent="0.25">
      <c r="A150" t="s">
        <v>504</v>
      </c>
      <c r="B150" t="s">
        <v>505</v>
      </c>
      <c r="C150" t="s">
        <v>281</v>
      </c>
      <c r="D150" t="s">
        <v>330</v>
      </c>
      <c r="E150">
        <v>27</v>
      </c>
      <c r="F150">
        <v>893</v>
      </c>
      <c r="G150">
        <v>108</v>
      </c>
      <c r="H150">
        <v>7679</v>
      </c>
      <c r="I150" s="1">
        <v>7.7094926301623205E-5</v>
      </c>
      <c r="J150">
        <v>4.6417570210769001E-4</v>
      </c>
      <c r="K150">
        <v>2.1497760358342699</v>
      </c>
      <c r="L150" t="s">
        <v>1088</v>
      </c>
      <c r="M150" t="str">
        <f>HYPERLINK("../../3.KEGG_map/SCI_II-vs-NC-Up/rno04625.html","rno04625")</f>
        <v>rno04625</v>
      </c>
    </row>
    <row r="151" spans="1:13" x14ac:dyDescent="0.25">
      <c r="A151" t="s">
        <v>507</v>
      </c>
      <c r="B151" t="s">
        <v>508</v>
      </c>
      <c r="C151" t="s">
        <v>249</v>
      </c>
      <c r="D151" t="s">
        <v>304</v>
      </c>
      <c r="E151">
        <v>38</v>
      </c>
      <c r="F151">
        <v>893</v>
      </c>
      <c r="G151">
        <v>151</v>
      </c>
      <c r="H151">
        <v>7679</v>
      </c>
      <c r="I151" s="1">
        <v>2.3981707517729701E-6</v>
      </c>
      <c r="J151" s="1">
        <v>1.8305656615050199E-5</v>
      </c>
      <c r="K151">
        <v>2.1640129632238998</v>
      </c>
      <c r="L151" t="s">
        <v>1089</v>
      </c>
      <c r="M151" t="str">
        <f>HYPERLINK("../../3.KEGG_map/SCI_II-vs-NC-Up/rno04630.html","rno04630")</f>
        <v>rno04630</v>
      </c>
    </row>
    <row r="152" spans="1:13" x14ac:dyDescent="0.25">
      <c r="A152" t="s">
        <v>510</v>
      </c>
      <c r="B152" t="s">
        <v>511</v>
      </c>
      <c r="C152" t="s">
        <v>281</v>
      </c>
      <c r="D152" t="s">
        <v>330</v>
      </c>
      <c r="E152">
        <v>47</v>
      </c>
      <c r="F152">
        <v>893</v>
      </c>
      <c r="G152">
        <v>87</v>
      </c>
      <c r="H152">
        <v>7679</v>
      </c>
      <c r="I152" s="1">
        <v>4.0504219489545801E-22</v>
      </c>
      <c r="J152" s="1">
        <v>5.8528597162393703E-20</v>
      </c>
      <c r="K152">
        <v>4.6454930429522099</v>
      </c>
      <c r="L152" t="s">
        <v>1090</v>
      </c>
      <c r="M152" t="str">
        <f>HYPERLINK("../../3.KEGG_map/SCI_II-vs-NC-Up/rno04640.html","rno04640")</f>
        <v>rno04640</v>
      </c>
    </row>
    <row r="153" spans="1:13" x14ac:dyDescent="0.25">
      <c r="A153" t="s">
        <v>513</v>
      </c>
      <c r="B153" t="s">
        <v>514</v>
      </c>
      <c r="C153" t="s">
        <v>281</v>
      </c>
      <c r="D153" t="s">
        <v>330</v>
      </c>
      <c r="E153">
        <v>46</v>
      </c>
      <c r="F153">
        <v>893</v>
      </c>
      <c r="G153">
        <v>125</v>
      </c>
      <c r="H153">
        <v>7679</v>
      </c>
      <c r="I153" s="1">
        <v>1.54641392980239E-13</v>
      </c>
      <c r="J153" s="1">
        <v>5.5864203214111203E-12</v>
      </c>
      <c r="K153">
        <v>3.1644703247480401</v>
      </c>
      <c r="L153" t="s">
        <v>1091</v>
      </c>
      <c r="M153" t="str">
        <f>HYPERLINK("../../3.KEGG_map/SCI_II-vs-NC-Up/rno04650.html","rno04650")</f>
        <v>rno04650</v>
      </c>
    </row>
    <row r="154" spans="1:13" x14ac:dyDescent="0.25">
      <c r="A154" t="s">
        <v>516</v>
      </c>
      <c r="B154" t="s">
        <v>517</v>
      </c>
      <c r="C154" t="s">
        <v>281</v>
      </c>
      <c r="D154" t="s">
        <v>330</v>
      </c>
      <c r="E154">
        <v>37</v>
      </c>
      <c r="F154">
        <v>893</v>
      </c>
      <c r="G154">
        <v>91</v>
      </c>
      <c r="H154">
        <v>7679</v>
      </c>
      <c r="I154" s="1">
        <v>1.1291666444017101E-12</v>
      </c>
      <c r="J154" s="1">
        <v>3.6258795581343803E-11</v>
      </c>
      <c r="K154">
        <v>3.4963390472908999</v>
      </c>
      <c r="L154" t="s">
        <v>1092</v>
      </c>
      <c r="M154" t="str">
        <f>HYPERLINK("../../3.KEGG_map/SCI_II-vs-NC-Up/rno04657.html","rno04657")</f>
        <v>rno04657</v>
      </c>
    </row>
    <row r="155" spans="1:13" x14ac:dyDescent="0.25">
      <c r="A155" t="s">
        <v>519</v>
      </c>
      <c r="B155" t="s">
        <v>520</v>
      </c>
      <c r="C155" t="s">
        <v>281</v>
      </c>
      <c r="D155" t="s">
        <v>330</v>
      </c>
      <c r="E155">
        <v>27</v>
      </c>
      <c r="F155">
        <v>893</v>
      </c>
      <c r="G155">
        <v>88</v>
      </c>
      <c r="H155">
        <v>7679</v>
      </c>
      <c r="I155" s="1">
        <v>1.22376532362561E-6</v>
      </c>
      <c r="J155" s="1">
        <v>1.0104805100794301E-5</v>
      </c>
      <c r="K155">
        <v>2.6383614985238699</v>
      </c>
      <c r="L155" t="s">
        <v>1093</v>
      </c>
      <c r="M155" t="str">
        <f>HYPERLINK("../../3.KEGG_map/SCI_II-vs-NC-Up/rno04658.html","rno04658")</f>
        <v>rno04658</v>
      </c>
    </row>
    <row r="156" spans="1:13" x14ac:dyDescent="0.25">
      <c r="A156" t="s">
        <v>522</v>
      </c>
      <c r="B156" t="s">
        <v>523</v>
      </c>
      <c r="C156" t="s">
        <v>281</v>
      </c>
      <c r="D156" t="s">
        <v>330</v>
      </c>
      <c r="E156">
        <v>33</v>
      </c>
      <c r="F156">
        <v>893</v>
      </c>
      <c r="G156">
        <v>102</v>
      </c>
      <c r="H156">
        <v>7679</v>
      </c>
      <c r="I156" s="1">
        <v>1.9043670701045101E-8</v>
      </c>
      <c r="J156" s="1">
        <v>2.29317534691751E-7</v>
      </c>
      <c r="K156">
        <v>2.7820631051972899</v>
      </c>
      <c r="L156" t="s">
        <v>1094</v>
      </c>
      <c r="M156" t="str">
        <f>HYPERLINK("../../3.KEGG_map/SCI_II-vs-NC-Up/rno04659.html","rno04659")</f>
        <v>rno04659</v>
      </c>
    </row>
    <row r="157" spans="1:13" x14ac:dyDescent="0.25">
      <c r="A157" t="s">
        <v>525</v>
      </c>
      <c r="B157" t="s">
        <v>526</v>
      </c>
      <c r="C157" t="s">
        <v>281</v>
      </c>
      <c r="D157" t="s">
        <v>330</v>
      </c>
      <c r="E157">
        <v>27</v>
      </c>
      <c r="F157">
        <v>893</v>
      </c>
      <c r="G157">
        <v>101</v>
      </c>
      <c r="H157">
        <v>7679</v>
      </c>
      <c r="I157" s="1">
        <v>2.1446132167139101E-5</v>
      </c>
      <c r="J157">
        <v>1.4413795805356299E-4</v>
      </c>
      <c r="K157">
        <v>2.2987704145554502</v>
      </c>
      <c r="L157" t="s">
        <v>1095</v>
      </c>
      <c r="M157" t="str">
        <f>HYPERLINK("../../3.KEGG_map/SCI_II-vs-NC-Up/rno04660.html","rno04660")</f>
        <v>rno04660</v>
      </c>
    </row>
    <row r="158" spans="1:13" x14ac:dyDescent="0.25">
      <c r="A158" t="s">
        <v>528</v>
      </c>
      <c r="B158" t="s">
        <v>529</v>
      </c>
      <c r="C158" t="s">
        <v>281</v>
      </c>
      <c r="D158" t="s">
        <v>330</v>
      </c>
      <c r="E158">
        <v>18</v>
      </c>
      <c r="F158">
        <v>893</v>
      </c>
      <c r="G158">
        <v>70</v>
      </c>
      <c r="H158">
        <v>7679</v>
      </c>
      <c r="I158">
        <v>8.1895641832541296E-4</v>
      </c>
      <c r="J158">
        <v>4.2264000874293597E-3</v>
      </c>
      <c r="K158">
        <v>2.2111982082866701</v>
      </c>
      <c r="L158" t="s">
        <v>1096</v>
      </c>
      <c r="M158" t="str">
        <f>HYPERLINK("../../3.KEGG_map/SCI_II-vs-NC-Up/rno04662.html","rno04662")</f>
        <v>rno04662</v>
      </c>
    </row>
    <row r="159" spans="1:13" x14ac:dyDescent="0.25">
      <c r="A159" t="s">
        <v>531</v>
      </c>
      <c r="B159" t="s">
        <v>532</v>
      </c>
      <c r="C159" t="s">
        <v>281</v>
      </c>
      <c r="D159" t="s">
        <v>330</v>
      </c>
      <c r="E159">
        <v>14</v>
      </c>
      <c r="F159">
        <v>893</v>
      </c>
      <c r="G159">
        <v>65</v>
      </c>
      <c r="H159">
        <v>7679</v>
      </c>
      <c r="I159">
        <v>1.56134673339333E-2</v>
      </c>
      <c r="J159">
        <v>5.9372263940878002E-2</v>
      </c>
      <c r="K159">
        <v>1.8521147385649099</v>
      </c>
      <c r="L159" t="s">
        <v>1097</v>
      </c>
      <c r="M159" t="str">
        <f>HYPERLINK("../../3.KEGG_map/SCI_II-vs-NC-Up/rno04664.html","rno04664")</f>
        <v>rno04664</v>
      </c>
    </row>
    <row r="160" spans="1:13" x14ac:dyDescent="0.25">
      <c r="A160" t="s">
        <v>534</v>
      </c>
      <c r="B160" t="s">
        <v>535</v>
      </c>
      <c r="C160" t="s">
        <v>281</v>
      </c>
      <c r="D160" t="s">
        <v>330</v>
      </c>
      <c r="E160">
        <v>21</v>
      </c>
      <c r="F160">
        <v>893</v>
      </c>
      <c r="G160">
        <v>85</v>
      </c>
      <c r="H160">
        <v>7679</v>
      </c>
      <c r="I160">
        <v>5.5735491887442504E-4</v>
      </c>
      <c r="J160">
        <v>2.9828809547168302E-3</v>
      </c>
      <c r="K160">
        <v>2.1244845530597498</v>
      </c>
      <c r="L160" t="s">
        <v>1098</v>
      </c>
      <c r="M160" t="str">
        <f>HYPERLINK("../../3.KEGG_map/SCI_II-vs-NC-Up/rno04666.html","rno04666")</f>
        <v>rno04666</v>
      </c>
    </row>
    <row r="161" spans="1:13" x14ac:dyDescent="0.25">
      <c r="A161" t="s">
        <v>537</v>
      </c>
      <c r="B161" t="s">
        <v>538</v>
      </c>
      <c r="C161" t="s">
        <v>249</v>
      </c>
      <c r="D161" t="s">
        <v>304</v>
      </c>
      <c r="E161">
        <v>33</v>
      </c>
      <c r="F161">
        <v>893</v>
      </c>
      <c r="G161">
        <v>106</v>
      </c>
      <c r="H161">
        <v>7679</v>
      </c>
      <c r="I161" s="1">
        <v>5.4762473324799303E-8</v>
      </c>
      <c r="J161" s="1">
        <v>6.0870595349488502E-7</v>
      </c>
      <c r="K161">
        <v>2.6770795917936101</v>
      </c>
      <c r="L161" t="s">
        <v>1099</v>
      </c>
      <c r="M161" t="str">
        <f>HYPERLINK("../../3.KEGG_map/SCI_II-vs-NC-Up/rno04668.html","rno04668")</f>
        <v>rno04668</v>
      </c>
    </row>
    <row r="162" spans="1:13" x14ac:dyDescent="0.25">
      <c r="A162" t="s">
        <v>540</v>
      </c>
      <c r="B162" t="s">
        <v>541</v>
      </c>
      <c r="C162" t="s">
        <v>281</v>
      </c>
      <c r="D162" t="s">
        <v>330</v>
      </c>
      <c r="E162">
        <v>26</v>
      </c>
      <c r="F162">
        <v>893</v>
      </c>
      <c r="G162">
        <v>113</v>
      </c>
      <c r="H162">
        <v>7679</v>
      </c>
      <c r="I162">
        <v>4.3344390193240798E-4</v>
      </c>
      <c r="J162">
        <v>2.3634959935559599E-3</v>
      </c>
      <c r="K162">
        <v>1.97855493563508</v>
      </c>
      <c r="L162" t="s">
        <v>1100</v>
      </c>
      <c r="M162" t="str">
        <f>HYPERLINK("../../3.KEGG_map/SCI_II-vs-NC-Up/rno04670.html","rno04670")</f>
        <v>rno04670</v>
      </c>
    </row>
    <row r="163" spans="1:13" x14ac:dyDescent="0.25">
      <c r="A163" t="s">
        <v>543</v>
      </c>
      <c r="B163" t="s">
        <v>544</v>
      </c>
      <c r="C163" t="s">
        <v>281</v>
      </c>
      <c r="D163" t="s">
        <v>330</v>
      </c>
      <c r="E163">
        <v>21</v>
      </c>
      <c r="F163">
        <v>893</v>
      </c>
      <c r="G163">
        <v>42</v>
      </c>
      <c r="H163">
        <v>7679</v>
      </c>
      <c r="I163" s="1">
        <v>9.30346050066843E-10</v>
      </c>
      <c r="J163" s="1">
        <v>1.6804375529332299E-8</v>
      </c>
      <c r="K163">
        <v>4.29955207166853</v>
      </c>
      <c r="L163" t="s">
        <v>1101</v>
      </c>
      <c r="M163" t="str">
        <f>HYPERLINK("../../3.KEGG_map/SCI_II-vs-NC-Up/rno04672.html","rno04672")</f>
        <v>rno04672</v>
      </c>
    </row>
    <row r="164" spans="1:13" x14ac:dyDescent="0.25">
      <c r="A164" t="s">
        <v>546</v>
      </c>
      <c r="B164" t="s">
        <v>547</v>
      </c>
      <c r="C164" t="s">
        <v>281</v>
      </c>
      <c r="D164" t="s">
        <v>548</v>
      </c>
      <c r="E164">
        <v>1</v>
      </c>
      <c r="F164">
        <v>893</v>
      </c>
      <c r="G164">
        <v>30</v>
      </c>
      <c r="H164">
        <v>7679</v>
      </c>
      <c r="I164">
        <v>0.97567631941418698</v>
      </c>
      <c r="J164">
        <v>1</v>
      </c>
      <c r="K164">
        <v>0.28663680477790199</v>
      </c>
      <c r="L164" t="s">
        <v>549</v>
      </c>
      <c r="M164" t="str">
        <f>HYPERLINK("../../3.KEGG_map/SCI_II-vs-NC-Up/rno04710.html","rno04710")</f>
        <v>rno04710</v>
      </c>
    </row>
    <row r="165" spans="1:13" x14ac:dyDescent="0.25">
      <c r="A165" t="s">
        <v>550</v>
      </c>
      <c r="B165" t="s">
        <v>551</v>
      </c>
      <c r="C165" t="s">
        <v>281</v>
      </c>
      <c r="D165" t="s">
        <v>548</v>
      </c>
      <c r="E165">
        <v>6</v>
      </c>
      <c r="F165">
        <v>893</v>
      </c>
      <c r="G165">
        <v>96</v>
      </c>
      <c r="H165">
        <v>7679</v>
      </c>
      <c r="I165">
        <v>0.97386190074853196</v>
      </c>
      <c r="J165">
        <v>1</v>
      </c>
      <c r="K165">
        <v>0.53744400895856703</v>
      </c>
      <c r="L165" t="s">
        <v>1102</v>
      </c>
      <c r="M165" t="str">
        <f>HYPERLINK("../../3.KEGG_map/SCI_II-vs-NC-Up/rno04713.html","rno04713")</f>
        <v>rno04713</v>
      </c>
    </row>
    <row r="166" spans="1:13" x14ac:dyDescent="0.25">
      <c r="A166" t="s">
        <v>553</v>
      </c>
      <c r="B166" t="s">
        <v>554</v>
      </c>
      <c r="C166" t="s">
        <v>281</v>
      </c>
      <c r="D166" t="s">
        <v>548</v>
      </c>
      <c r="E166">
        <v>6</v>
      </c>
      <c r="F166">
        <v>893</v>
      </c>
      <c r="G166">
        <v>214</v>
      </c>
      <c r="H166">
        <v>7679</v>
      </c>
      <c r="I166">
        <v>0.99999957346966095</v>
      </c>
      <c r="J166">
        <v>1</v>
      </c>
      <c r="K166">
        <v>0.241096377850572</v>
      </c>
      <c r="L166" t="s">
        <v>1103</v>
      </c>
      <c r="M166" t="str">
        <f>HYPERLINK("../../3.KEGG_map/SCI_II-vs-NC-Up/rno04714.html","rno04714")</f>
        <v>rno04714</v>
      </c>
    </row>
    <row r="167" spans="1:13" x14ac:dyDescent="0.25">
      <c r="A167" t="s">
        <v>556</v>
      </c>
      <c r="B167" t="s">
        <v>557</v>
      </c>
      <c r="C167" t="s">
        <v>281</v>
      </c>
      <c r="D167" t="s">
        <v>558</v>
      </c>
      <c r="E167">
        <v>3</v>
      </c>
      <c r="F167">
        <v>893</v>
      </c>
      <c r="G167">
        <v>66</v>
      </c>
      <c r="H167">
        <v>7679</v>
      </c>
      <c r="I167">
        <v>0.98688267278698505</v>
      </c>
      <c r="J167">
        <v>1</v>
      </c>
      <c r="K167">
        <v>0.39086837015168502</v>
      </c>
      <c r="L167" t="s">
        <v>1104</v>
      </c>
      <c r="M167" t="str">
        <f>HYPERLINK("../../3.KEGG_map/SCI_II-vs-NC-Up/rno04720.html","rno04720")</f>
        <v>rno04720</v>
      </c>
    </row>
    <row r="168" spans="1:13" x14ac:dyDescent="0.25">
      <c r="A168" t="s">
        <v>560</v>
      </c>
      <c r="B168" t="s">
        <v>561</v>
      </c>
      <c r="C168" t="s">
        <v>281</v>
      </c>
      <c r="D168" t="s">
        <v>558</v>
      </c>
      <c r="E168">
        <v>2</v>
      </c>
      <c r="F168">
        <v>893</v>
      </c>
      <c r="G168">
        <v>62</v>
      </c>
      <c r="H168">
        <v>7679</v>
      </c>
      <c r="I168">
        <v>0.99580867165303699</v>
      </c>
      <c r="J168">
        <v>1</v>
      </c>
      <c r="K168">
        <v>0.27739045623668002</v>
      </c>
      <c r="L168" t="s">
        <v>1105</v>
      </c>
      <c r="M168" t="str">
        <f>HYPERLINK("../../3.KEGG_map/SCI_II-vs-NC-Up/rno04721.html","rno04721")</f>
        <v>rno04721</v>
      </c>
    </row>
    <row r="169" spans="1:13" x14ac:dyDescent="0.25">
      <c r="A169" t="s">
        <v>563</v>
      </c>
      <c r="B169" t="s">
        <v>564</v>
      </c>
      <c r="C169" t="s">
        <v>281</v>
      </c>
      <c r="D169" t="s">
        <v>558</v>
      </c>
      <c r="E169">
        <v>14</v>
      </c>
      <c r="F169">
        <v>893</v>
      </c>
      <c r="G169">
        <v>119</v>
      </c>
      <c r="H169">
        <v>7679</v>
      </c>
      <c r="I169">
        <v>0.52458903140206403</v>
      </c>
      <c r="J169">
        <v>0.941653602951531</v>
      </c>
      <c r="K169">
        <v>1.0116593109808301</v>
      </c>
      <c r="L169" t="s">
        <v>1106</v>
      </c>
      <c r="M169" t="str">
        <f>HYPERLINK("../../3.KEGG_map/SCI_II-vs-NC-Up/rno04722.html","rno04722")</f>
        <v>rno04722</v>
      </c>
    </row>
    <row r="170" spans="1:13" x14ac:dyDescent="0.25">
      <c r="A170" t="s">
        <v>566</v>
      </c>
      <c r="B170" t="s">
        <v>567</v>
      </c>
      <c r="C170" t="s">
        <v>281</v>
      </c>
      <c r="D170" t="s">
        <v>558</v>
      </c>
      <c r="E170">
        <v>8</v>
      </c>
      <c r="F170">
        <v>893</v>
      </c>
      <c r="G170">
        <v>138</v>
      </c>
      <c r="H170">
        <v>7679</v>
      </c>
      <c r="I170">
        <v>0.99350422597816501</v>
      </c>
      <c r="J170">
        <v>1</v>
      </c>
      <c r="K170">
        <v>0.49849879091809102</v>
      </c>
      <c r="L170" t="s">
        <v>1107</v>
      </c>
      <c r="M170" t="str">
        <f>HYPERLINK("../../3.KEGG_map/SCI_II-vs-NC-Up/rno04723.html","rno04723")</f>
        <v>rno04723</v>
      </c>
    </row>
    <row r="171" spans="1:13" x14ac:dyDescent="0.25">
      <c r="A171" t="s">
        <v>569</v>
      </c>
      <c r="B171" t="s">
        <v>570</v>
      </c>
      <c r="C171" t="s">
        <v>281</v>
      </c>
      <c r="D171" t="s">
        <v>558</v>
      </c>
      <c r="E171">
        <v>5</v>
      </c>
      <c r="F171">
        <v>893</v>
      </c>
      <c r="G171">
        <v>112</v>
      </c>
      <c r="H171">
        <v>7679</v>
      </c>
      <c r="I171">
        <v>0.99769677306581295</v>
      </c>
      <c r="J171">
        <v>1</v>
      </c>
      <c r="K171">
        <v>0.38388857782754798</v>
      </c>
      <c r="L171" t="s">
        <v>1108</v>
      </c>
      <c r="M171" t="str">
        <f>HYPERLINK("../../3.KEGG_map/SCI_II-vs-NC-Up/rno04724.html","rno04724")</f>
        <v>rno04724</v>
      </c>
    </row>
    <row r="172" spans="1:13" x14ac:dyDescent="0.25">
      <c r="A172" t="s">
        <v>572</v>
      </c>
      <c r="B172" t="s">
        <v>573</v>
      </c>
      <c r="C172" t="s">
        <v>281</v>
      </c>
      <c r="D172" t="s">
        <v>558</v>
      </c>
      <c r="E172">
        <v>12</v>
      </c>
      <c r="F172">
        <v>893</v>
      </c>
      <c r="G172">
        <v>111</v>
      </c>
      <c r="H172">
        <v>7679</v>
      </c>
      <c r="I172">
        <v>0.65116150070426904</v>
      </c>
      <c r="J172">
        <v>1</v>
      </c>
      <c r="K172">
        <v>0.92963288036076397</v>
      </c>
      <c r="L172" t="s">
        <v>1109</v>
      </c>
      <c r="M172" t="str">
        <f>HYPERLINK("../../3.KEGG_map/SCI_II-vs-NC-Up/rno04725.html","rno04725")</f>
        <v>rno04725</v>
      </c>
    </row>
    <row r="173" spans="1:13" x14ac:dyDescent="0.25">
      <c r="A173" t="s">
        <v>575</v>
      </c>
      <c r="B173" t="s">
        <v>576</v>
      </c>
      <c r="C173" t="s">
        <v>281</v>
      </c>
      <c r="D173" t="s">
        <v>558</v>
      </c>
      <c r="E173">
        <v>10</v>
      </c>
      <c r="F173">
        <v>893</v>
      </c>
      <c r="G173">
        <v>119</v>
      </c>
      <c r="H173">
        <v>7679</v>
      </c>
      <c r="I173">
        <v>0.89909280896169497</v>
      </c>
      <c r="J173">
        <v>1</v>
      </c>
      <c r="K173">
        <v>0.72261379355773703</v>
      </c>
      <c r="L173" t="s">
        <v>1110</v>
      </c>
      <c r="M173" t="str">
        <f>HYPERLINK("../../3.KEGG_map/SCI_II-vs-NC-Up/rno04726.html","rno04726")</f>
        <v>rno04726</v>
      </c>
    </row>
    <row r="174" spans="1:13" x14ac:dyDescent="0.25">
      <c r="A174" t="s">
        <v>578</v>
      </c>
      <c r="B174" t="s">
        <v>579</v>
      </c>
      <c r="C174" t="s">
        <v>281</v>
      </c>
      <c r="D174" t="s">
        <v>558</v>
      </c>
      <c r="E174">
        <v>8</v>
      </c>
      <c r="F174">
        <v>893</v>
      </c>
      <c r="G174">
        <v>87</v>
      </c>
      <c r="H174">
        <v>7679</v>
      </c>
      <c r="I174">
        <v>0.80830318037141202</v>
      </c>
      <c r="J174">
        <v>1</v>
      </c>
      <c r="K174">
        <v>0.79072222007697202</v>
      </c>
      <c r="L174" t="s">
        <v>1111</v>
      </c>
      <c r="M174" t="str">
        <f>HYPERLINK("../../3.KEGG_map/SCI_II-vs-NC-Up/rno04727.html","rno04727")</f>
        <v>rno04727</v>
      </c>
    </row>
    <row r="175" spans="1:13" x14ac:dyDescent="0.25">
      <c r="A175" t="s">
        <v>581</v>
      </c>
      <c r="B175" t="s">
        <v>582</v>
      </c>
      <c r="C175" t="s">
        <v>281</v>
      </c>
      <c r="D175" t="s">
        <v>558</v>
      </c>
      <c r="E175">
        <v>7</v>
      </c>
      <c r="F175">
        <v>893</v>
      </c>
      <c r="G175">
        <v>129</v>
      </c>
      <c r="H175">
        <v>7679</v>
      </c>
      <c r="I175">
        <v>0.99498401834542605</v>
      </c>
      <c r="J175">
        <v>1</v>
      </c>
      <c r="K175">
        <v>0.46661805428960801</v>
      </c>
      <c r="L175" t="s">
        <v>1112</v>
      </c>
      <c r="M175" t="str">
        <f>HYPERLINK("../../3.KEGG_map/SCI_II-vs-NC-Up/rno04728.html","rno04728")</f>
        <v>rno04728</v>
      </c>
    </row>
    <row r="176" spans="1:13" x14ac:dyDescent="0.25">
      <c r="A176" t="s">
        <v>584</v>
      </c>
      <c r="B176" t="s">
        <v>585</v>
      </c>
      <c r="C176" t="s">
        <v>281</v>
      </c>
      <c r="D176" t="s">
        <v>558</v>
      </c>
      <c r="E176">
        <v>5</v>
      </c>
      <c r="F176">
        <v>893</v>
      </c>
      <c r="G176">
        <v>60</v>
      </c>
      <c r="H176">
        <v>7679</v>
      </c>
      <c r="I176">
        <v>0.842636866140832</v>
      </c>
      <c r="J176">
        <v>1</v>
      </c>
      <c r="K176">
        <v>0.71659201194475597</v>
      </c>
      <c r="L176" t="s">
        <v>1113</v>
      </c>
      <c r="M176" t="str">
        <f>HYPERLINK("../../3.KEGG_map/SCI_II-vs-NC-Up/rno04730.html","rno04730")</f>
        <v>rno04730</v>
      </c>
    </row>
    <row r="177" spans="1:13" x14ac:dyDescent="0.25">
      <c r="A177" t="s">
        <v>587</v>
      </c>
      <c r="B177" t="s">
        <v>588</v>
      </c>
      <c r="C177" t="s">
        <v>281</v>
      </c>
      <c r="D177" t="s">
        <v>589</v>
      </c>
      <c r="E177">
        <v>8</v>
      </c>
      <c r="F177">
        <v>893</v>
      </c>
      <c r="G177">
        <v>1088</v>
      </c>
      <c r="H177">
        <v>7679</v>
      </c>
      <c r="I177">
        <v>1</v>
      </c>
      <c r="J177">
        <v>1</v>
      </c>
      <c r="K177">
        <v>6.3228706936302004E-2</v>
      </c>
      <c r="L177" t="s">
        <v>1114</v>
      </c>
      <c r="M177" t="str">
        <f>HYPERLINK("../../3.KEGG_map/SCI_II-vs-NC-Up/rno04740.html","rno04740")</f>
        <v>rno04740</v>
      </c>
    </row>
    <row r="178" spans="1:13" x14ac:dyDescent="0.25">
      <c r="A178" t="s">
        <v>591</v>
      </c>
      <c r="B178" t="s">
        <v>592</v>
      </c>
      <c r="C178" t="s">
        <v>281</v>
      </c>
      <c r="D178" t="s">
        <v>589</v>
      </c>
      <c r="E178">
        <v>3</v>
      </c>
      <c r="F178">
        <v>893</v>
      </c>
      <c r="G178">
        <v>86</v>
      </c>
      <c r="H178">
        <v>7679</v>
      </c>
      <c r="I178">
        <v>0.998249008042154</v>
      </c>
      <c r="J178">
        <v>1</v>
      </c>
      <c r="K178">
        <v>0.299968749186177</v>
      </c>
      <c r="L178" t="s">
        <v>1115</v>
      </c>
      <c r="M178" t="str">
        <f>HYPERLINK("../../3.KEGG_map/SCI_II-vs-NC-Up/rno04742.html","rno04742")</f>
        <v>rno04742</v>
      </c>
    </row>
    <row r="179" spans="1:13" x14ac:dyDescent="0.25">
      <c r="A179" t="s">
        <v>1116</v>
      </c>
      <c r="B179" t="s">
        <v>1117</v>
      </c>
      <c r="C179" t="s">
        <v>281</v>
      </c>
      <c r="D179" t="s">
        <v>589</v>
      </c>
      <c r="E179">
        <v>2</v>
      </c>
      <c r="F179">
        <v>893</v>
      </c>
      <c r="G179">
        <v>26</v>
      </c>
      <c r="H179">
        <v>7679</v>
      </c>
      <c r="I179">
        <v>0.82281760779897894</v>
      </c>
      <c r="J179">
        <v>1</v>
      </c>
      <c r="K179">
        <v>0.66146954948746695</v>
      </c>
      <c r="L179" t="s">
        <v>1118</v>
      </c>
      <c r="M179" t="str">
        <f>HYPERLINK("../../3.KEGG_map/SCI_II-vs-NC-Up/rno04744.html","rno04744")</f>
        <v>rno04744</v>
      </c>
    </row>
    <row r="180" spans="1:13" x14ac:dyDescent="0.25">
      <c r="A180" t="s">
        <v>594</v>
      </c>
      <c r="B180" t="s">
        <v>595</v>
      </c>
      <c r="C180" t="s">
        <v>281</v>
      </c>
      <c r="D180" t="s">
        <v>589</v>
      </c>
      <c r="E180">
        <v>17</v>
      </c>
      <c r="F180">
        <v>893</v>
      </c>
      <c r="G180">
        <v>111</v>
      </c>
      <c r="H180">
        <v>7679</v>
      </c>
      <c r="I180">
        <v>0.14266482296743799</v>
      </c>
      <c r="J180">
        <v>0.40821914690682698</v>
      </c>
      <c r="K180">
        <v>1.31697991384442</v>
      </c>
      <c r="L180" t="s">
        <v>1119</v>
      </c>
      <c r="M180" t="str">
        <f>HYPERLINK("../../3.KEGG_map/SCI_II-vs-NC-Up/rno04750.html","rno04750")</f>
        <v>rno04750</v>
      </c>
    </row>
    <row r="181" spans="1:13" x14ac:dyDescent="0.25">
      <c r="A181" t="s">
        <v>597</v>
      </c>
      <c r="B181" t="s">
        <v>598</v>
      </c>
      <c r="C181" t="s">
        <v>355</v>
      </c>
      <c r="D181" t="s">
        <v>599</v>
      </c>
      <c r="E181">
        <v>33</v>
      </c>
      <c r="F181">
        <v>893</v>
      </c>
      <c r="G181">
        <v>208</v>
      </c>
      <c r="H181">
        <v>7679</v>
      </c>
      <c r="I181">
        <v>3.8325558475779897E-2</v>
      </c>
      <c r="J181">
        <v>0.13185817142262399</v>
      </c>
      <c r="K181">
        <v>1.3642809458178999</v>
      </c>
      <c r="L181" t="s">
        <v>1120</v>
      </c>
      <c r="M181" t="str">
        <f>HYPERLINK("../../3.KEGG_map/SCI_II-vs-NC-Up/rno04810.html","rno04810")</f>
        <v>rno04810</v>
      </c>
    </row>
    <row r="182" spans="1:13" x14ac:dyDescent="0.25">
      <c r="A182" t="s">
        <v>601</v>
      </c>
      <c r="B182" t="s">
        <v>602</v>
      </c>
      <c r="C182" t="s">
        <v>281</v>
      </c>
      <c r="D182" t="s">
        <v>282</v>
      </c>
      <c r="E182">
        <v>7</v>
      </c>
      <c r="F182">
        <v>893</v>
      </c>
      <c r="G182">
        <v>134</v>
      </c>
      <c r="H182">
        <v>7679</v>
      </c>
      <c r="I182">
        <v>0.99667172614186395</v>
      </c>
      <c r="J182">
        <v>1</v>
      </c>
      <c r="K182">
        <v>0.44920693286089097</v>
      </c>
      <c r="L182" t="s">
        <v>1121</v>
      </c>
      <c r="M182" t="str">
        <f>HYPERLINK("../../3.KEGG_map/SCI_II-vs-NC-Up/rno04910.html","rno04910")</f>
        <v>rno04910</v>
      </c>
    </row>
    <row r="183" spans="1:13" x14ac:dyDescent="0.25">
      <c r="A183" t="s">
        <v>604</v>
      </c>
      <c r="B183" t="s">
        <v>605</v>
      </c>
      <c r="C183" t="s">
        <v>281</v>
      </c>
      <c r="D183" t="s">
        <v>282</v>
      </c>
      <c r="E183">
        <v>9</v>
      </c>
      <c r="F183">
        <v>893</v>
      </c>
      <c r="G183">
        <v>85</v>
      </c>
      <c r="H183">
        <v>7679</v>
      </c>
      <c r="I183">
        <v>0.66878531230643301</v>
      </c>
      <c r="J183">
        <v>1</v>
      </c>
      <c r="K183">
        <v>0.91049337988274803</v>
      </c>
      <c r="L183" t="s">
        <v>1122</v>
      </c>
      <c r="M183" t="str">
        <f>HYPERLINK("../../3.KEGG_map/SCI_II-vs-NC-Up/rno04911.html","rno04911")</f>
        <v>rno04911</v>
      </c>
    </row>
    <row r="184" spans="1:13" x14ac:dyDescent="0.25">
      <c r="A184" t="s">
        <v>607</v>
      </c>
      <c r="B184" t="s">
        <v>608</v>
      </c>
      <c r="C184" t="s">
        <v>281</v>
      </c>
      <c r="D184" t="s">
        <v>282</v>
      </c>
      <c r="E184">
        <v>6</v>
      </c>
      <c r="F184">
        <v>893</v>
      </c>
      <c r="G184">
        <v>89</v>
      </c>
      <c r="H184">
        <v>7679</v>
      </c>
      <c r="I184">
        <v>0.95575870478416303</v>
      </c>
      <c r="J184">
        <v>1</v>
      </c>
      <c r="K184">
        <v>0.57971488606766697</v>
      </c>
      <c r="L184" t="s">
        <v>1123</v>
      </c>
      <c r="M184" t="str">
        <f>HYPERLINK("../../3.KEGG_map/SCI_II-vs-NC-Up/rno04912.html","rno04912")</f>
        <v>rno04912</v>
      </c>
    </row>
    <row r="185" spans="1:13" x14ac:dyDescent="0.25">
      <c r="A185" t="s">
        <v>610</v>
      </c>
      <c r="B185" t="s">
        <v>611</v>
      </c>
      <c r="C185" t="s">
        <v>281</v>
      </c>
      <c r="D185" t="s">
        <v>282</v>
      </c>
      <c r="E185">
        <v>6</v>
      </c>
      <c r="F185">
        <v>893</v>
      </c>
      <c r="G185">
        <v>51</v>
      </c>
      <c r="H185">
        <v>7679</v>
      </c>
      <c r="I185">
        <v>0.55302738559718601</v>
      </c>
      <c r="J185">
        <v>0.98052094746985696</v>
      </c>
      <c r="K185">
        <v>1.0116593109808301</v>
      </c>
      <c r="L185" t="s">
        <v>1124</v>
      </c>
      <c r="M185" t="str">
        <f>HYPERLINK("../../3.KEGG_map/SCI_II-vs-NC-Up/rno04913.html","rno04913")</f>
        <v>rno04913</v>
      </c>
    </row>
    <row r="186" spans="1:13" x14ac:dyDescent="0.25">
      <c r="A186" t="s">
        <v>613</v>
      </c>
      <c r="B186" t="s">
        <v>614</v>
      </c>
      <c r="C186" t="s">
        <v>281</v>
      </c>
      <c r="D186" t="s">
        <v>282</v>
      </c>
      <c r="E186">
        <v>18</v>
      </c>
      <c r="F186">
        <v>893</v>
      </c>
      <c r="G186">
        <v>88</v>
      </c>
      <c r="H186">
        <v>7679</v>
      </c>
      <c r="I186">
        <v>1.14200697385014E-2</v>
      </c>
      <c r="J186">
        <v>4.5838891033706801E-2</v>
      </c>
      <c r="K186">
        <v>1.7589076656825799</v>
      </c>
      <c r="L186" t="s">
        <v>1125</v>
      </c>
      <c r="M186" t="str">
        <f>HYPERLINK("../../3.KEGG_map/SCI_II-vs-NC-Up/rno04914.html","rno04914")</f>
        <v>rno04914</v>
      </c>
    </row>
    <row r="187" spans="1:13" x14ac:dyDescent="0.25">
      <c r="A187" t="s">
        <v>616</v>
      </c>
      <c r="B187" t="s">
        <v>617</v>
      </c>
      <c r="C187" t="s">
        <v>281</v>
      </c>
      <c r="D187" t="s">
        <v>282</v>
      </c>
      <c r="E187">
        <v>18</v>
      </c>
      <c r="F187">
        <v>893</v>
      </c>
      <c r="G187">
        <v>130</v>
      </c>
      <c r="H187">
        <v>7679</v>
      </c>
      <c r="I187">
        <v>0.24929030519938999</v>
      </c>
      <c r="J187">
        <v>0.60642364106685498</v>
      </c>
      <c r="K187">
        <v>1.1906451890774401</v>
      </c>
      <c r="L187" t="s">
        <v>1126</v>
      </c>
      <c r="M187" t="str">
        <f>HYPERLINK("../../3.KEGG_map/SCI_II-vs-NC-Up/rno04915.html","rno04915")</f>
        <v>rno04915</v>
      </c>
    </row>
    <row r="188" spans="1:13" x14ac:dyDescent="0.25">
      <c r="A188" t="s">
        <v>619</v>
      </c>
      <c r="B188" t="s">
        <v>620</v>
      </c>
      <c r="C188" t="s">
        <v>281</v>
      </c>
      <c r="D188" t="s">
        <v>282</v>
      </c>
      <c r="E188">
        <v>7</v>
      </c>
      <c r="F188">
        <v>893</v>
      </c>
      <c r="G188">
        <v>98</v>
      </c>
      <c r="H188">
        <v>7679</v>
      </c>
      <c r="I188">
        <v>0.94812514407600401</v>
      </c>
      <c r="J188">
        <v>1</v>
      </c>
      <c r="K188">
        <v>0.61422172452407597</v>
      </c>
      <c r="L188" t="s">
        <v>1127</v>
      </c>
      <c r="M188" t="str">
        <f>HYPERLINK("../../3.KEGG_map/SCI_II-vs-NC-Up/rno04916.html","rno04916")</f>
        <v>rno04916</v>
      </c>
    </row>
    <row r="189" spans="1:13" x14ac:dyDescent="0.25">
      <c r="A189" t="s">
        <v>622</v>
      </c>
      <c r="B189" t="s">
        <v>623</v>
      </c>
      <c r="C189" t="s">
        <v>281</v>
      </c>
      <c r="D189" t="s">
        <v>282</v>
      </c>
      <c r="E189">
        <v>6</v>
      </c>
      <c r="F189">
        <v>893</v>
      </c>
      <c r="G189">
        <v>72</v>
      </c>
      <c r="H189">
        <v>7679</v>
      </c>
      <c r="I189">
        <v>0.85799704580399805</v>
      </c>
      <c r="J189">
        <v>1</v>
      </c>
      <c r="K189">
        <v>0.71659201194475497</v>
      </c>
      <c r="L189" t="s">
        <v>1128</v>
      </c>
      <c r="M189" t="str">
        <f>HYPERLINK("../../3.KEGG_map/SCI_II-vs-NC-Up/rno04917.html","rno04917")</f>
        <v>rno04917</v>
      </c>
    </row>
    <row r="190" spans="1:13" x14ac:dyDescent="0.25">
      <c r="A190" t="s">
        <v>625</v>
      </c>
      <c r="B190" t="s">
        <v>626</v>
      </c>
      <c r="C190" t="s">
        <v>281</v>
      </c>
      <c r="D190" t="s">
        <v>282</v>
      </c>
      <c r="E190">
        <v>13</v>
      </c>
      <c r="F190">
        <v>893</v>
      </c>
      <c r="G190">
        <v>72</v>
      </c>
      <c r="H190">
        <v>7679</v>
      </c>
      <c r="I190">
        <v>6.9765102593876804E-2</v>
      </c>
      <c r="J190">
        <v>0.23174844424862501</v>
      </c>
      <c r="K190">
        <v>1.5526160258802999</v>
      </c>
      <c r="L190" t="s">
        <v>1129</v>
      </c>
      <c r="M190" t="str">
        <f>HYPERLINK("../../3.KEGG_map/SCI_II-vs-NC-Up/rno04918.html","rno04918")</f>
        <v>rno04918</v>
      </c>
    </row>
    <row r="191" spans="1:13" x14ac:dyDescent="0.25">
      <c r="A191" t="s">
        <v>628</v>
      </c>
      <c r="B191" t="s">
        <v>629</v>
      </c>
      <c r="C191" t="s">
        <v>281</v>
      </c>
      <c r="D191" t="s">
        <v>282</v>
      </c>
      <c r="E191">
        <v>10</v>
      </c>
      <c r="F191">
        <v>893</v>
      </c>
      <c r="G191">
        <v>117</v>
      </c>
      <c r="H191">
        <v>7679</v>
      </c>
      <c r="I191">
        <v>0.88750820186826895</v>
      </c>
      <c r="J191">
        <v>1</v>
      </c>
      <c r="K191">
        <v>0.73496616609718501</v>
      </c>
      <c r="L191" t="s">
        <v>1130</v>
      </c>
      <c r="M191" t="str">
        <f>HYPERLINK("../../3.KEGG_map/SCI_II-vs-NC-Up/rno04919.html","rno04919")</f>
        <v>rno04919</v>
      </c>
    </row>
    <row r="192" spans="1:13" x14ac:dyDescent="0.25">
      <c r="A192" t="s">
        <v>631</v>
      </c>
      <c r="B192" t="s">
        <v>632</v>
      </c>
      <c r="C192" t="s">
        <v>281</v>
      </c>
      <c r="D192" t="s">
        <v>282</v>
      </c>
      <c r="E192">
        <v>7</v>
      </c>
      <c r="F192">
        <v>893</v>
      </c>
      <c r="G192">
        <v>71</v>
      </c>
      <c r="H192">
        <v>7679</v>
      </c>
      <c r="I192">
        <v>0.73410304972143603</v>
      </c>
      <c r="J192">
        <v>1</v>
      </c>
      <c r="K192">
        <v>0.84779900004731601</v>
      </c>
      <c r="L192" t="s">
        <v>1131</v>
      </c>
      <c r="M192" t="str">
        <f>HYPERLINK("../../3.KEGG_map/SCI_II-vs-NC-Up/rno04920.html","rno04920")</f>
        <v>rno04920</v>
      </c>
    </row>
    <row r="193" spans="1:13" x14ac:dyDescent="0.25">
      <c r="A193" t="s">
        <v>634</v>
      </c>
      <c r="B193" t="s">
        <v>635</v>
      </c>
      <c r="C193" t="s">
        <v>281</v>
      </c>
      <c r="D193" t="s">
        <v>282</v>
      </c>
      <c r="E193">
        <v>10</v>
      </c>
      <c r="F193">
        <v>893</v>
      </c>
      <c r="G193">
        <v>152</v>
      </c>
      <c r="H193">
        <v>7679</v>
      </c>
      <c r="I193">
        <v>0.98708098682566103</v>
      </c>
      <c r="J193">
        <v>1</v>
      </c>
      <c r="K193">
        <v>0.56573053574585996</v>
      </c>
      <c r="L193" t="s">
        <v>1132</v>
      </c>
      <c r="M193" t="str">
        <f>HYPERLINK("../../3.KEGG_map/SCI_II-vs-NC-Up/rno04921.html","rno04921")</f>
        <v>rno04921</v>
      </c>
    </row>
    <row r="194" spans="1:13" x14ac:dyDescent="0.25">
      <c r="A194" t="s">
        <v>637</v>
      </c>
      <c r="B194" t="s">
        <v>638</v>
      </c>
      <c r="C194" t="s">
        <v>281</v>
      </c>
      <c r="D194" t="s">
        <v>282</v>
      </c>
      <c r="E194">
        <v>4</v>
      </c>
      <c r="F194">
        <v>893</v>
      </c>
      <c r="G194">
        <v>100</v>
      </c>
      <c r="H194">
        <v>7679</v>
      </c>
      <c r="I194">
        <v>0.99809231288145195</v>
      </c>
      <c r="J194">
        <v>1</v>
      </c>
      <c r="K194">
        <v>0.34396416573348298</v>
      </c>
      <c r="L194" t="s">
        <v>1133</v>
      </c>
      <c r="M194" t="str">
        <f>HYPERLINK("../../3.KEGG_map/SCI_II-vs-NC-Up/rno04922.html","rno04922")</f>
        <v>rno04922</v>
      </c>
    </row>
    <row r="195" spans="1:13" x14ac:dyDescent="0.25">
      <c r="A195" t="s">
        <v>640</v>
      </c>
      <c r="B195" t="s">
        <v>641</v>
      </c>
      <c r="C195" t="s">
        <v>281</v>
      </c>
      <c r="D195" t="s">
        <v>282</v>
      </c>
      <c r="E195">
        <v>7</v>
      </c>
      <c r="F195">
        <v>893</v>
      </c>
      <c r="G195">
        <v>55</v>
      </c>
      <c r="H195">
        <v>7679</v>
      </c>
      <c r="I195">
        <v>0.46101993056724899</v>
      </c>
      <c r="J195">
        <v>0.90048013966467499</v>
      </c>
      <c r="K195">
        <v>1.0944314364247201</v>
      </c>
      <c r="L195" t="s">
        <v>1134</v>
      </c>
      <c r="M195" t="str">
        <f>HYPERLINK("../../3.KEGG_map/SCI_II-vs-NC-Up/rno04923.html","rno04923")</f>
        <v>rno04923</v>
      </c>
    </row>
    <row r="196" spans="1:13" x14ac:dyDescent="0.25">
      <c r="A196" t="s">
        <v>643</v>
      </c>
      <c r="B196" t="s">
        <v>644</v>
      </c>
      <c r="C196" t="s">
        <v>281</v>
      </c>
      <c r="D196" t="s">
        <v>282</v>
      </c>
      <c r="E196">
        <v>11</v>
      </c>
      <c r="F196">
        <v>893</v>
      </c>
      <c r="G196">
        <v>68</v>
      </c>
      <c r="H196">
        <v>7679</v>
      </c>
      <c r="I196">
        <v>0.161217445120626</v>
      </c>
      <c r="J196">
        <v>0.42356219672600798</v>
      </c>
      <c r="K196">
        <v>1.3910315525986401</v>
      </c>
      <c r="L196" t="s">
        <v>1135</v>
      </c>
      <c r="M196" t="str">
        <f>HYPERLINK("../../3.KEGG_map/SCI_II-vs-NC-Up/rno04924.html","rno04924")</f>
        <v>rno04924</v>
      </c>
    </row>
    <row r="197" spans="1:13" x14ac:dyDescent="0.25">
      <c r="A197" t="s">
        <v>646</v>
      </c>
      <c r="B197" t="s">
        <v>647</v>
      </c>
      <c r="C197" t="s">
        <v>281</v>
      </c>
      <c r="D197" t="s">
        <v>282</v>
      </c>
      <c r="E197">
        <v>8</v>
      </c>
      <c r="F197">
        <v>893</v>
      </c>
      <c r="G197">
        <v>94</v>
      </c>
      <c r="H197">
        <v>7679</v>
      </c>
      <c r="I197">
        <v>0.86961384853822099</v>
      </c>
      <c r="J197">
        <v>1</v>
      </c>
      <c r="K197">
        <v>0.73183865049677199</v>
      </c>
      <c r="L197" t="s">
        <v>1136</v>
      </c>
      <c r="M197" t="str">
        <f>HYPERLINK("../../3.KEGG_map/SCI_II-vs-NC-Up/rno04925.html","rno04925")</f>
        <v>rno04925</v>
      </c>
    </row>
    <row r="198" spans="1:13" x14ac:dyDescent="0.25">
      <c r="A198" t="s">
        <v>649</v>
      </c>
      <c r="B198" t="s">
        <v>650</v>
      </c>
      <c r="C198" t="s">
        <v>281</v>
      </c>
      <c r="D198" t="s">
        <v>282</v>
      </c>
      <c r="E198">
        <v>20</v>
      </c>
      <c r="F198">
        <v>893</v>
      </c>
      <c r="G198">
        <v>126</v>
      </c>
      <c r="H198">
        <v>7679</v>
      </c>
      <c r="I198">
        <v>9.0976717586281799E-2</v>
      </c>
      <c r="J198">
        <v>0.28578555850473297</v>
      </c>
      <c r="K198">
        <v>1.3649371656090601</v>
      </c>
      <c r="L198" t="s">
        <v>1137</v>
      </c>
      <c r="M198" t="str">
        <f>HYPERLINK("../../3.KEGG_map/SCI_II-vs-NC-Up/rno04926.html","rno04926")</f>
        <v>rno04926</v>
      </c>
    </row>
    <row r="199" spans="1:13" x14ac:dyDescent="0.25">
      <c r="A199" t="s">
        <v>652</v>
      </c>
      <c r="B199" t="s">
        <v>653</v>
      </c>
      <c r="C199" t="s">
        <v>281</v>
      </c>
      <c r="D199" t="s">
        <v>282</v>
      </c>
      <c r="E199">
        <v>5</v>
      </c>
      <c r="F199">
        <v>893</v>
      </c>
      <c r="G199">
        <v>63</v>
      </c>
      <c r="H199">
        <v>7679</v>
      </c>
      <c r="I199">
        <v>0.87162791286887298</v>
      </c>
      <c r="J199">
        <v>1</v>
      </c>
      <c r="K199">
        <v>0.68246858280452904</v>
      </c>
      <c r="L199" t="s">
        <v>1138</v>
      </c>
      <c r="M199" t="str">
        <f>HYPERLINK("../../3.KEGG_map/SCI_II-vs-NC-Up/rno04927.html","rno04927")</f>
        <v>rno04927</v>
      </c>
    </row>
    <row r="200" spans="1:13" x14ac:dyDescent="0.25">
      <c r="A200" t="s">
        <v>655</v>
      </c>
      <c r="B200" t="s">
        <v>656</v>
      </c>
      <c r="C200" t="s">
        <v>235</v>
      </c>
      <c r="D200" t="s">
        <v>657</v>
      </c>
      <c r="E200">
        <v>7</v>
      </c>
      <c r="F200">
        <v>893</v>
      </c>
      <c r="G200">
        <v>47</v>
      </c>
      <c r="H200">
        <v>7679</v>
      </c>
      <c r="I200">
        <v>0.30269878704207298</v>
      </c>
      <c r="J200">
        <v>0.68343710511843003</v>
      </c>
      <c r="K200">
        <v>1.2807176383693499</v>
      </c>
      <c r="L200" t="s">
        <v>1139</v>
      </c>
      <c r="M200" t="str">
        <f>HYPERLINK("../../3.KEGG_map/SCI_II-vs-NC-Up/rno04930.html","rno04930")</f>
        <v>rno04930</v>
      </c>
    </row>
    <row r="201" spans="1:13" x14ac:dyDescent="0.25">
      <c r="A201" t="s">
        <v>659</v>
      </c>
      <c r="B201" t="s">
        <v>660</v>
      </c>
      <c r="C201" t="s">
        <v>235</v>
      </c>
      <c r="D201" t="s">
        <v>657</v>
      </c>
      <c r="E201">
        <v>13</v>
      </c>
      <c r="F201">
        <v>893</v>
      </c>
      <c r="G201">
        <v>108</v>
      </c>
      <c r="H201">
        <v>7679</v>
      </c>
      <c r="I201">
        <v>0.492010535504951</v>
      </c>
      <c r="J201">
        <v>0.935467399742967</v>
      </c>
      <c r="K201">
        <v>1.03507735058687</v>
      </c>
      <c r="L201" t="s">
        <v>1140</v>
      </c>
      <c r="M201" t="str">
        <f>HYPERLINK("../../3.KEGG_map/SCI_II-vs-NC-Up/rno04931.html","rno04931")</f>
        <v>rno04931</v>
      </c>
    </row>
    <row r="202" spans="1:13" x14ac:dyDescent="0.25">
      <c r="A202" t="s">
        <v>662</v>
      </c>
      <c r="B202" t="s">
        <v>663</v>
      </c>
      <c r="C202" t="s">
        <v>235</v>
      </c>
      <c r="D202" t="s">
        <v>657</v>
      </c>
      <c r="E202">
        <v>14</v>
      </c>
      <c r="F202">
        <v>893</v>
      </c>
      <c r="G202">
        <v>145</v>
      </c>
      <c r="H202">
        <v>7679</v>
      </c>
      <c r="I202">
        <v>0.80854999131971095</v>
      </c>
      <c r="J202">
        <v>1</v>
      </c>
      <c r="K202">
        <v>0.83025833108082003</v>
      </c>
      <c r="L202" t="s">
        <v>1141</v>
      </c>
      <c r="M202" t="str">
        <f>HYPERLINK("../../3.KEGG_map/SCI_II-vs-NC-Up/rno04932.html","rno04932")</f>
        <v>rno04932</v>
      </c>
    </row>
    <row r="203" spans="1:13" x14ac:dyDescent="0.25">
      <c r="A203" t="s">
        <v>665</v>
      </c>
      <c r="B203" t="s">
        <v>666</v>
      </c>
      <c r="C203" t="s">
        <v>235</v>
      </c>
      <c r="D203" t="s">
        <v>657</v>
      </c>
      <c r="E203">
        <v>22</v>
      </c>
      <c r="F203">
        <v>893</v>
      </c>
      <c r="G203">
        <v>99</v>
      </c>
      <c r="H203">
        <v>7679</v>
      </c>
      <c r="I203">
        <v>1.8846640245422099E-3</v>
      </c>
      <c r="J203">
        <v>9.3908259153913601E-3</v>
      </c>
      <c r="K203">
        <v>1.91091203185268</v>
      </c>
      <c r="L203" t="s">
        <v>1142</v>
      </c>
      <c r="M203" t="str">
        <f>HYPERLINK("../../3.KEGG_map/SCI_II-vs-NC-Up/rno04933.html","rno04933")</f>
        <v>rno04933</v>
      </c>
    </row>
    <row r="204" spans="1:13" x14ac:dyDescent="0.25">
      <c r="A204" t="s">
        <v>668</v>
      </c>
      <c r="B204" t="s">
        <v>669</v>
      </c>
      <c r="C204" t="s">
        <v>235</v>
      </c>
      <c r="D204" t="s">
        <v>657</v>
      </c>
      <c r="E204">
        <v>10</v>
      </c>
      <c r="F204">
        <v>893</v>
      </c>
      <c r="G204">
        <v>153</v>
      </c>
      <c r="H204">
        <v>7679</v>
      </c>
      <c r="I204">
        <v>0.98794272159838703</v>
      </c>
      <c r="J204">
        <v>1</v>
      </c>
      <c r="K204">
        <v>0.56203295054490598</v>
      </c>
      <c r="L204" t="s">
        <v>1143</v>
      </c>
      <c r="M204" t="str">
        <f>HYPERLINK("../../3.KEGG_map/SCI_II-vs-NC-Up/rno04934.html","rno04934")</f>
        <v>rno04934</v>
      </c>
    </row>
    <row r="205" spans="1:13" x14ac:dyDescent="0.25">
      <c r="A205" t="s">
        <v>671</v>
      </c>
      <c r="B205" t="s">
        <v>672</v>
      </c>
      <c r="C205" t="s">
        <v>235</v>
      </c>
      <c r="D205" t="s">
        <v>657</v>
      </c>
      <c r="E205">
        <v>25</v>
      </c>
      <c r="F205">
        <v>893</v>
      </c>
      <c r="G205">
        <v>60</v>
      </c>
      <c r="H205">
        <v>7679</v>
      </c>
      <c r="I205" s="1">
        <v>2.9585838959961902E-9</v>
      </c>
      <c r="J205" s="1">
        <v>4.5001618207521E-8</v>
      </c>
      <c r="K205">
        <v>3.5829600597237801</v>
      </c>
      <c r="L205" t="s">
        <v>1144</v>
      </c>
      <c r="M205" t="str">
        <f>HYPERLINK("../../3.KEGG_map/SCI_II-vs-NC-Up/rno04940.html","rno04940")</f>
        <v>rno04940</v>
      </c>
    </row>
    <row r="206" spans="1:13" x14ac:dyDescent="0.25">
      <c r="A206" t="s">
        <v>1145</v>
      </c>
      <c r="B206" t="s">
        <v>1146</v>
      </c>
      <c r="C206" t="s">
        <v>235</v>
      </c>
      <c r="D206" t="s">
        <v>657</v>
      </c>
      <c r="E206">
        <v>1</v>
      </c>
      <c r="F206">
        <v>893</v>
      </c>
      <c r="G206">
        <v>27</v>
      </c>
      <c r="H206">
        <v>7679</v>
      </c>
      <c r="I206">
        <v>0.96470368737703205</v>
      </c>
      <c r="J206">
        <v>1</v>
      </c>
      <c r="K206">
        <v>0.31848533864211398</v>
      </c>
      <c r="L206" t="s">
        <v>1147</v>
      </c>
      <c r="M206" t="str">
        <f>HYPERLINK("../../3.KEGG_map/SCI_II-vs-NC-Up/rno04950.html","rno04950")</f>
        <v>rno04950</v>
      </c>
    </row>
    <row r="207" spans="1:13" x14ac:dyDescent="0.25">
      <c r="A207" t="s">
        <v>674</v>
      </c>
      <c r="B207" t="s">
        <v>675</v>
      </c>
      <c r="C207" t="s">
        <v>281</v>
      </c>
      <c r="D207" t="s">
        <v>676</v>
      </c>
      <c r="E207">
        <v>7</v>
      </c>
      <c r="F207">
        <v>893</v>
      </c>
      <c r="G207">
        <v>38</v>
      </c>
      <c r="H207">
        <v>7679</v>
      </c>
      <c r="I207">
        <v>0.14560557117673001</v>
      </c>
      <c r="J207">
        <v>0.40836490532971498</v>
      </c>
      <c r="K207">
        <v>1.5840455000884099</v>
      </c>
      <c r="L207" t="s">
        <v>1148</v>
      </c>
      <c r="M207" t="str">
        <f>HYPERLINK("../../3.KEGG_map/SCI_II-vs-NC-Up/rno04960.html","rno04960")</f>
        <v>rno04960</v>
      </c>
    </row>
    <row r="208" spans="1:13" x14ac:dyDescent="0.25">
      <c r="A208" t="s">
        <v>678</v>
      </c>
      <c r="B208" t="s">
        <v>679</v>
      </c>
      <c r="C208" t="s">
        <v>281</v>
      </c>
      <c r="D208" t="s">
        <v>676</v>
      </c>
      <c r="E208">
        <v>4</v>
      </c>
      <c r="F208">
        <v>893</v>
      </c>
      <c r="G208">
        <v>52</v>
      </c>
      <c r="H208">
        <v>7679</v>
      </c>
      <c r="I208">
        <v>0.86980498360499503</v>
      </c>
      <c r="J208">
        <v>1</v>
      </c>
      <c r="K208">
        <v>0.66146954948746695</v>
      </c>
      <c r="L208" t="s">
        <v>1149</v>
      </c>
      <c r="M208" t="str">
        <f>HYPERLINK("../../3.KEGG_map/SCI_II-vs-NC-Up/rno04961.html","rno04961")</f>
        <v>rno04961</v>
      </c>
    </row>
    <row r="209" spans="1:13" x14ac:dyDescent="0.25">
      <c r="A209" t="s">
        <v>681</v>
      </c>
      <c r="B209" t="s">
        <v>682</v>
      </c>
      <c r="C209" t="s">
        <v>281</v>
      </c>
      <c r="D209" t="s">
        <v>676</v>
      </c>
      <c r="E209">
        <v>2</v>
      </c>
      <c r="F209">
        <v>893</v>
      </c>
      <c r="G209">
        <v>42</v>
      </c>
      <c r="H209">
        <v>7679</v>
      </c>
      <c r="I209">
        <v>0.96406692883561196</v>
      </c>
      <c r="J209">
        <v>1</v>
      </c>
      <c r="K209">
        <v>0.40948114968271698</v>
      </c>
      <c r="L209" t="s">
        <v>1150</v>
      </c>
      <c r="M209" t="str">
        <f>HYPERLINK("../../3.KEGG_map/SCI_II-vs-NC-Up/rno04962.html","rno04962")</f>
        <v>rno04962</v>
      </c>
    </row>
    <row r="210" spans="1:13" x14ac:dyDescent="0.25">
      <c r="A210" t="s">
        <v>684</v>
      </c>
      <c r="B210" t="s">
        <v>685</v>
      </c>
      <c r="C210" t="s">
        <v>281</v>
      </c>
      <c r="D210" t="s">
        <v>676</v>
      </c>
      <c r="E210">
        <v>5</v>
      </c>
      <c r="F210">
        <v>893</v>
      </c>
      <c r="G210">
        <v>22</v>
      </c>
      <c r="H210">
        <v>7679</v>
      </c>
      <c r="I210">
        <v>0.103740023773988</v>
      </c>
      <c r="J210">
        <v>0.31558807232297298</v>
      </c>
      <c r="K210">
        <v>1.95434185075842</v>
      </c>
      <c r="L210" t="s">
        <v>1151</v>
      </c>
      <c r="M210" t="str">
        <f>HYPERLINK("../../3.KEGG_map/SCI_II-vs-NC-Up/rno04964.html","rno04964")</f>
        <v>rno04964</v>
      </c>
    </row>
    <row r="211" spans="1:13" x14ac:dyDescent="0.25">
      <c r="A211" t="s">
        <v>687</v>
      </c>
      <c r="B211" t="s">
        <v>688</v>
      </c>
      <c r="C211" t="s">
        <v>281</v>
      </c>
      <c r="D211" t="s">
        <v>676</v>
      </c>
      <c r="E211">
        <v>1</v>
      </c>
      <c r="F211">
        <v>893</v>
      </c>
      <c r="G211">
        <v>27</v>
      </c>
      <c r="H211">
        <v>7679</v>
      </c>
      <c r="I211">
        <v>0.96470368737703205</v>
      </c>
      <c r="J211">
        <v>1</v>
      </c>
      <c r="K211">
        <v>0.31848533864211398</v>
      </c>
      <c r="L211" t="s">
        <v>1152</v>
      </c>
      <c r="M211" t="str">
        <f>HYPERLINK("../../3.KEGG_map/SCI_II-vs-NC-Up/rno04966.html","rno04966")</f>
        <v>rno04966</v>
      </c>
    </row>
    <row r="212" spans="1:13" x14ac:dyDescent="0.25">
      <c r="A212" t="s">
        <v>690</v>
      </c>
      <c r="B212" t="s">
        <v>691</v>
      </c>
      <c r="C212" t="s">
        <v>281</v>
      </c>
      <c r="D212" t="s">
        <v>692</v>
      </c>
      <c r="E212">
        <v>13</v>
      </c>
      <c r="F212">
        <v>893</v>
      </c>
      <c r="G212">
        <v>76</v>
      </c>
      <c r="H212">
        <v>7679</v>
      </c>
      <c r="I212">
        <v>9.8151437575162995E-2</v>
      </c>
      <c r="J212">
        <v>0.30500823074432398</v>
      </c>
      <c r="K212">
        <v>1.47089939293924</v>
      </c>
      <c r="L212" t="s">
        <v>1153</v>
      </c>
      <c r="M212" t="str">
        <f>HYPERLINK("../../3.KEGG_map/SCI_II-vs-NC-Up/rno04970.html","rno04970")</f>
        <v>rno04970</v>
      </c>
    </row>
    <row r="213" spans="1:13" x14ac:dyDescent="0.25">
      <c r="A213" t="s">
        <v>694</v>
      </c>
      <c r="B213" t="s">
        <v>695</v>
      </c>
      <c r="C213" t="s">
        <v>281</v>
      </c>
      <c r="D213" t="s">
        <v>692</v>
      </c>
      <c r="E213">
        <v>10</v>
      </c>
      <c r="F213">
        <v>893</v>
      </c>
      <c r="G213">
        <v>74</v>
      </c>
      <c r="H213">
        <v>7679</v>
      </c>
      <c r="I213">
        <v>0.35697083732532398</v>
      </c>
      <c r="J213">
        <v>0.75110118910839696</v>
      </c>
      <c r="K213">
        <v>1.1620411004509501</v>
      </c>
      <c r="L213" t="s">
        <v>1154</v>
      </c>
      <c r="M213" t="str">
        <f>HYPERLINK("../../3.KEGG_map/SCI_II-vs-NC-Up/rno04971.html","rno04971")</f>
        <v>rno04971</v>
      </c>
    </row>
    <row r="214" spans="1:13" x14ac:dyDescent="0.25">
      <c r="A214" t="s">
        <v>697</v>
      </c>
      <c r="B214" t="s">
        <v>698</v>
      </c>
      <c r="C214" t="s">
        <v>281</v>
      </c>
      <c r="D214" t="s">
        <v>692</v>
      </c>
      <c r="E214">
        <v>16</v>
      </c>
      <c r="F214">
        <v>893</v>
      </c>
      <c r="G214">
        <v>98</v>
      </c>
      <c r="H214">
        <v>7679</v>
      </c>
      <c r="I214">
        <v>0.100220093293945</v>
      </c>
      <c r="J214">
        <v>0.30812347831861697</v>
      </c>
      <c r="K214">
        <v>1.40393537034075</v>
      </c>
      <c r="L214" t="s">
        <v>1155</v>
      </c>
      <c r="M214" t="str">
        <f>HYPERLINK("../../3.KEGG_map/SCI_II-vs-NC-Up/rno04972.html","rno04972")</f>
        <v>rno04972</v>
      </c>
    </row>
    <row r="215" spans="1:13" x14ac:dyDescent="0.25">
      <c r="A215" t="s">
        <v>700</v>
      </c>
      <c r="B215" t="s">
        <v>701</v>
      </c>
      <c r="C215" t="s">
        <v>281</v>
      </c>
      <c r="D215" t="s">
        <v>692</v>
      </c>
      <c r="E215">
        <v>7</v>
      </c>
      <c r="F215">
        <v>893</v>
      </c>
      <c r="G215">
        <v>39</v>
      </c>
      <c r="H215">
        <v>7679</v>
      </c>
      <c r="I215">
        <v>0.16080004614325899</v>
      </c>
      <c r="J215">
        <v>0.42356219672600798</v>
      </c>
      <c r="K215">
        <v>1.54342894880409</v>
      </c>
      <c r="L215" t="s">
        <v>1156</v>
      </c>
      <c r="M215" t="str">
        <f>HYPERLINK("../../3.KEGG_map/SCI_II-vs-NC-Up/rno04973.html","rno04973")</f>
        <v>rno04973</v>
      </c>
    </row>
    <row r="216" spans="1:13" x14ac:dyDescent="0.25">
      <c r="A216" t="s">
        <v>703</v>
      </c>
      <c r="B216" t="s">
        <v>704</v>
      </c>
      <c r="C216" t="s">
        <v>281</v>
      </c>
      <c r="D216" t="s">
        <v>692</v>
      </c>
      <c r="E216">
        <v>15</v>
      </c>
      <c r="F216">
        <v>893</v>
      </c>
      <c r="G216">
        <v>87</v>
      </c>
      <c r="H216">
        <v>7679</v>
      </c>
      <c r="I216">
        <v>7.5544920364885998E-2</v>
      </c>
      <c r="J216">
        <v>0.24530878635339401</v>
      </c>
      <c r="K216">
        <v>1.48260416264432</v>
      </c>
      <c r="L216" t="s">
        <v>1157</v>
      </c>
      <c r="M216" t="str">
        <f>HYPERLINK("../../3.KEGG_map/SCI_II-vs-NC-Up/rno04974.html","rno04974")</f>
        <v>rno04974</v>
      </c>
    </row>
    <row r="217" spans="1:13" x14ac:dyDescent="0.25">
      <c r="A217" t="s">
        <v>706</v>
      </c>
      <c r="B217" t="s">
        <v>707</v>
      </c>
      <c r="C217" t="s">
        <v>281</v>
      </c>
      <c r="D217" t="s">
        <v>692</v>
      </c>
      <c r="E217">
        <v>2</v>
      </c>
      <c r="F217">
        <v>893</v>
      </c>
      <c r="G217">
        <v>40</v>
      </c>
      <c r="H217">
        <v>7679</v>
      </c>
      <c r="I217">
        <v>0.95579392590789702</v>
      </c>
      <c r="J217">
        <v>1</v>
      </c>
      <c r="K217">
        <v>0.42995520716685298</v>
      </c>
      <c r="L217" t="s">
        <v>1158</v>
      </c>
      <c r="M217" t="str">
        <f>HYPERLINK("../../3.KEGG_map/SCI_II-vs-NC-Up/rno04975.html","rno04975")</f>
        <v>rno04975</v>
      </c>
    </row>
    <row r="218" spans="1:13" x14ac:dyDescent="0.25">
      <c r="A218" t="s">
        <v>709</v>
      </c>
      <c r="B218" t="s">
        <v>710</v>
      </c>
      <c r="C218" t="s">
        <v>281</v>
      </c>
      <c r="D218" t="s">
        <v>692</v>
      </c>
      <c r="E218">
        <v>14</v>
      </c>
      <c r="F218">
        <v>893</v>
      </c>
      <c r="G218">
        <v>71</v>
      </c>
      <c r="H218">
        <v>7679</v>
      </c>
      <c r="I218">
        <v>3.2065284693222E-2</v>
      </c>
      <c r="J218">
        <v>0.114405768843718</v>
      </c>
      <c r="K218">
        <v>1.69559800009463</v>
      </c>
      <c r="L218" t="s">
        <v>1159</v>
      </c>
      <c r="M218" t="str">
        <f>HYPERLINK("../../3.KEGG_map/SCI_II-vs-NC-Up/rno04976.html","rno04976")</f>
        <v>rno04976</v>
      </c>
    </row>
    <row r="219" spans="1:13" x14ac:dyDescent="0.25">
      <c r="A219" t="s">
        <v>712</v>
      </c>
      <c r="B219" t="s">
        <v>713</v>
      </c>
      <c r="C219" t="s">
        <v>281</v>
      </c>
      <c r="D219" t="s">
        <v>692</v>
      </c>
      <c r="E219">
        <v>2</v>
      </c>
      <c r="F219">
        <v>893</v>
      </c>
      <c r="G219">
        <v>24</v>
      </c>
      <c r="H219">
        <v>7679</v>
      </c>
      <c r="I219">
        <v>0.78650160387007995</v>
      </c>
      <c r="J219">
        <v>1</v>
      </c>
      <c r="K219">
        <v>0.71659201194475597</v>
      </c>
      <c r="L219" t="s">
        <v>1160</v>
      </c>
      <c r="M219" t="str">
        <f>HYPERLINK("../../3.KEGG_map/SCI_II-vs-NC-Up/rno04977.html","rno04977")</f>
        <v>rno04977</v>
      </c>
    </row>
    <row r="220" spans="1:13" x14ac:dyDescent="0.25">
      <c r="A220" t="s">
        <v>715</v>
      </c>
      <c r="B220" t="s">
        <v>716</v>
      </c>
      <c r="C220" t="s">
        <v>281</v>
      </c>
      <c r="D220" t="s">
        <v>692</v>
      </c>
      <c r="E220">
        <v>12</v>
      </c>
      <c r="F220">
        <v>893</v>
      </c>
      <c r="G220">
        <v>43</v>
      </c>
      <c r="H220">
        <v>7679</v>
      </c>
      <c r="I220">
        <v>2.8255941895666101E-3</v>
      </c>
      <c r="J220">
        <v>1.3170914851366899E-2</v>
      </c>
      <c r="K220">
        <v>2.3997499934894102</v>
      </c>
      <c r="L220" t="s">
        <v>1161</v>
      </c>
      <c r="M220" t="str">
        <f>HYPERLINK("../../3.KEGG_map/SCI_II-vs-NC-Up/rno04978.html","rno04978")</f>
        <v>rno04978</v>
      </c>
    </row>
    <row r="221" spans="1:13" x14ac:dyDescent="0.25">
      <c r="A221" t="s">
        <v>718</v>
      </c>
      <c r="B221" t="s">
        <v>719</v>
      </c>
      <c r="C221" t="s">
        <v>281</v>
      </c>
      <c r="D221" t="s">
        <v>692</v>
      </c>
      <c r="E221">
        <v>5</v>
      </c>
      <c r="F221">
        <v>893</v>
      </c>
      <c r="G221">
        <v>49</v>
      </c>
      <c r="H221">
        <v>7679</v>
      </c>
      <c r="I221">
        <v>0.68882316105201802</v>
      </c>
      <c r="J221">
        <v>1</v>
      </c>
      <c r="K221">
        <v>0.87745960646296595</v>
      </c>
      <c r="L221" t="s">
        <v>1162</v>
      </c>
      <c r="M221" t="str">
        <f>HYPERLINK("../../3.KEGG_map/SCI_II-vs-NC-Up/rno04979.html","rno04979")</f>
        <v>rno04979</v>
      </c>
    </row>
    <row r="222" spans="1:13" x14ac:dyDescent="0.25">
      <c r="A222" t="s">
        <v>721</v>
      </c>
      <c r="B222" t="s">
        <v>722</v>
      </c>
      <c r="C222" t="s">
        <v>235</v>
      </c>
      <c r="D222" t="s">
        <v>723</v>
      </c>
      <c r="E222">
        <v>6</v>
      </c>
      <c r="F222">
        <v>893</v>
      </c>
      <c r="G222">
        <v>164</v>
      </c>
      <c r="H222">
        <v>7679</v>
      </c>
      <c r="I222">
        <v>0.99993490654258399</v>
      </c>
      <c r="J222">
        <v>1</v>
      </c>
      <c r="K222">
        <v>0.31460137109769798</v>
      </c>
      <c r="L222" t="s">
        <v>1163</v>
      </c>
      <c r="M222" t="str">
        <f>HYPERLINK("../../3.KEGG_map/SCI_II-vs-NC-Up/rno05010.html","rno05010")</f>
        <v>rno05010</v>
      </c>
    </row>
    <row r="223" spans="1:13" x14ac:dyDescent="0.25">
      <c r="A223" t="s">
        <v>725</v>
      </c>
      <c r="B223" t="s">
        <v>726</v>
      </c>
      <c r="C223" t="s">
        <v>235</v>
      </c>
      <c r="D223" t="s">
        <v>723</v>
      </c>
      <c r="E223">
        <v>4</v>
      </c>
      <c r="F223">
        <v>893</v>
      </c>
      <c r="G223">
        <v>127</v>
      </c>
      <c r="H223">
        <v>7679</v>
      </c>
      <c r="I223">
        <v>0.99987285050390695</v>
      </c>
      <c r="J223">
        <v>1</v>
      </c>
      <c r="K223">
        <v>0.27083792577439603</v>
      </c>
      <c r="L223" t="s">
        <v>1164</v>
      </c>
      <c r="M223" t="str">
        <f>HYPERLINK("../../3.KEGG_map/SCI_II-vs-NC-Up/rno05012.html","rno05012")</f>
        <v>rno05012</v>
      </c>
    </row>
    <row r="224" spans="1:13" x14ac:dyDescent="0.25">
      <c r="A224" t="s">
        <v>728</v>
      </c>
      <c r="B224" t="s">
        <v>729</v>
      </c>
      <c r="C224" t="s">
        <v>235</v>
      </c>
      <c r="D224" t="s">
        <v>723</v>
      </c>
      <c r="E224">
        <v>6</v>
      </c>
      <c r="F224">
        <v>893</v>
      </c>
      <c r="G224">
        <v>53</v>
      </c>
      <c r="H224">
        <v>7679</v>
      </c>
      <c r="I224">
        <v>0.59211376351609002</v>
      </c>
      <c r="J224">
        <v>1</v>
      </c>
      <c r="K224">
        <v>0.97348348792495099</v>
      </c>
      <c r="L224" t="s">
        <v>1165</v>
      </c>
      <c r="M224" t="str">
        <f>HYPERLINK("../../3.KEGG_map/SCI_II-vs-NC-Up/rno05014.html","rno05014")</f>
        <v>rno05014</v>
      </c>
    </row>
    <row r="225" spans="1:13" x14ac:dyDescent="0.25">
      <c r="A225" t="s">
        <v>731</v>
      </c>
      <c r="B225" t="s">
        <v>732</v>
      </c>
      <c r="C225" t="s">
        <v>235</v>
      </c>
      <c r="D225" t="s">
        <v>723</v>
      </c>
      <c r="E225">
        <v>9</v>
      </c>
      <c r="F225">
        <v>893</v>
      </c>
      <c r="G225">
        <v>181</v>
      </c>
      <c r="H225">
        <v>7679</v>
      </c>
      <c r="I225">
        <v>0.99944036518908397</v>
      </c>
      <c r="J225">
        <v>1</v>
      </c>
      <c r="K225">
        <v>0.42757976403333497</v>
      </c>
      <c r="L225" t="s">
        <v>1166</v>
      </c>
      <c r="M225" t="str">
        <f>HYPERLINK("../../3.KEGG_map/SCI_II-vs-NC-Up/rno05016.html","rno05016")</f>
        <v>rno05016</v>
      </c>
    </row>
    <row r="226" spans="1:13" x14ac:dyDescent="0.25">
      <c r="A226" t="s">
        <v>734</v>
      </c>
      <c r="B226" t="s">
        <v>735</v>
      </c>
      <c r="C226" t="s">
        <v>235</v>
      </c>
      <c r="D226" t="s">
        <v>723</v>
      </c>
      <c r="E226">
        <v>8</v>
      </c>
      <c r="F226">
        <v>893</v>
      </c>
      <c r="G226">
        <v>34</v>
      </c>
      <c r="H226">
        <v>7679</v>
      </c>
      <c r="I226">
        <v>3.7544040587345499E-2</v>
      </c>
      <c r="J226">
        <v>0.13072563529810699</v>
      </c>
      <c r="K226">
        <v>2.0233186219616601</v>
      </c>
      <c r="L226" t="s">
        <v>1167</v>
      </c>
      <c r="M226" t="str">
        <f>HYPERLINK("../../3.KEGG_map/SCI_II-vs-NC-Up/rno05020.html","rno05020")</f>
        <v>rno05020</v>
      </c>
    </row>
    <row r="227" spans="1:13" x14ac:dyDescent="0.25">
      <c r="A227" t="s">
        <v>737</v>
      </c>
      <c r="B227" t="s">
        <v>738</v>
      </c>
      <c r="C227" t="s">
        <v>235</v>
      </c>
      <c r="D227" t="s">
        <v>739</v>
      </c>
      <c r="E227">
        <v>5</v>
      </c>
      <c r="F227">
        <v>893</v>
      </c>
      <c r="G227">
        <v>47</v>
      </c>
      <c r="H227">
        <v>7679</v>
      </c>
      <c r="I227">
        <v>0.65212739916350404</v>
      </c>
      <c r="J227">
        <v>1</v>
      </c>
      <c r="K227">
        <v>0.91479831312096405</v>
      </c>
      <c r="L227" t="s">
        <v>1168</v>
      </c>
      <c r="M227" t="str">
        <f>HYPERLINK("../../3.KEGG_map/SCI_II-vs-NC-Up/rno05030.html","rno05030")</f>
        <v>rno05030</v>
      </c>
    </row>
    <row r="228" spans="1:13" x14ac:dyDescent="0.25">
      <c r="A228" t="s">
        <v>741</v>
      </c>
      <c r="B228" t="s">
        <v>742</v>
      </c>
      <c r="C228" t="s">
        <v>235</v>
      </c>
      <c r="D228" t="s">
        <v>739</v>
      </c>
      <c r="E228">
        <v>4</v>
      </c>
      <c r="F228">
        <v>893</v>
      </c>
      <c r="G228">
        <v>66</v>
      </c>
      <c r="H228">
        <v>7679</v>
      </c>
      <c r="I228">
        <v>0.95740933064531597</v>
      </c>
      <c r="J228">
        <v>1</v>
      </c>
      <c r="K228">
        <v>0.52115782686891299</v>
      </c>
      <c r="L228" t="s">
        <v>1169</v>
      </c>
      <c r="M228" t="str">
        <f>HYPERLINK("../../3.KEGG_map/SCI_II-vs-NC-Up/rno05031.html","rno05031")</f>
        <v>rno05031</v>
      </c>
    </row>
    <row r="229" spans="1:13" x14ac:dyDescent="0.25">
      <c r="A229" t="s">
        <v>744</v>
      </c>
      <c r="B229" t="s">
        <v>745</v>
      </c>
      <c r="C229" t="s">
        <v>235</v>
      </c>
      <c r="D229" t="s">
        <v>739</v>
      </c>
      <c r="E229">
        <v>10</v>
      </c>
      <c r="F229">
        <v>893</v>
      </c>
      <c r="G229">
        <v>90</v>
      </c>
      <c r="H229">
        <v>7679</v>
      </c>
      <c r="I229">
        <v>0.61071908177096801</v>
      </c>
      <c r="J229">
        <v>1</v>
      </c>
      <c r="K229">
        <v>0.955456015926341</v>
      </c>
      <c r="L229" t="s">
        <v>1170</v>
      </c>
      <c r="M229" t="str">
        <f>HYPERLINK("../../3.KEGG_map/SCI_II-vs-NC-Up/rno05032.html","rno05032")</f>
        <v>rno05032</v>
      </c>
    </row>
    <row r="230" spans="1:13" x14ac:dyDescent="0.25">
      <c r="A230" t="s">
        <v>747</v>
      </c>
      <c r="B230" t="s">
        <v>748</v>
      </c>
      <c r="C230" t="s">
        <v>235</v>
      </c>
      <c r="D230" t="s">
        <v>739</v>
      </c>
      <c r="E230">
        <v>3</v>
      </c>
      <c r="F230">
        <v>893</v>
      </c>
      <c r="G230">
        <v>40</v>
      </c>
      <c r="H230">
        <v>7679</v>
      </c>
      <c r="I230">
        <v>0.85994964416671804</v>
      </c>
      <c r="J230">
        <v>1</v>
      </c>
      <c r="K230">
        <v>0.64493281075027997</v>
      </c>
      <c r="L230" t="s">
        <v>1171</v>
      </c>
      <c r="M230" t="str">
        <f>HYPERLINK("../../3.KEGG_map/SCI_II-vs-NC-Up/rno05033.html","rno05033")</f>
        <v>rno05033</v>
      </c>
    </row>
    <row r="231" spans="1:13" x14ac:dyDescent="0.25">
      <c r="A231" t="s">
        <v>750</v>
      </c>
      <c r="B231" t="s">
        <v>751</v>
      </c>
      <c r="C231" t="s">
        <v>235</v>
      </c>
      <c r="D231" t="s">
        <v>739</v>
      </c>
      <c r="E231">
        <v>26</v>
      </c>
      <c r="F231">
        <v>893</v>
      </c>
      <c r="G231">
        <v>143</v>
      </c>
      <c r="H231">
        <v>7679</v>
      </c>
      <c r="I231">
        <v>1.3194732930097999E-2</v>
      </c>
      <c r="J231">
        <v>5.1914360707791402E-2</v>
      </c>
      <c r="K231">
        <v>1.5634734806067401</v>
      </c>
      <c r="L231" t="s">
        <v>1172</v>
      </c>
      <c r="M231" t="str">
        <f>HYPERLINK("../../3.KEGG_map/SCI_II-vs-NC-Up/rno05034.html","rno05034")</f>
        <v>rno05034</v>
      </c>
    </row>
    <row r="232" spans="1:13" x14ac:dyDescent="0.25">
      <c r="A232" t="s">
        <v>753</v>
      </c>
      <c r="B232" t="s">
        <v>754</v>
      </c>
      <c r="C232" t="s">
        <v>235</v>
      </c>
      <c r="D232" t="s">
        <v>755</v>
      </c>
      <c r="E232">
        <v>9</v>
      </c>
      <c r="F232">
        <v>893</v>
      </c>
      <c r="G232">
        <v>75</v>
      </c>
      <c r="H232">
        <v>7679</v>
      </c>
      <c r="I232">
        <v>0.51365876090428397</v>
      </c>
      <c r="J232">
        <v>0.93898926738243105</v>
      </c>
      <c r="K232">
        <v>1.03189249720045</v>
      </c>
      <c r="L232" t="s">
        <v>1173</v>
      </c>
      <c r="M232" t="str">
        <f>HYPERLINK("../../3.KEGG_map/SCI_II-vs-NC-Up/rno05100.html","rno05100")</f>
        <v>rno05100</v>
      </c>
    </row>
    <row r="233" spans="1:13" x14ac:dyDescent="0.25">
      <c r="A233" t="s">
        <v>757</v>
      </c>
      <c r="B233" t="s">
        <v>758</v>
      </c>
      <c r="C233" t="s">
        <v>235</v>
      </c>
      <c r="D233" t="s">
        <v>755</v>
      </c>
      <c r="E233">
        <v>23</v>
      </c>
      <c r="F233">
        <v>893</v>
      </c>
      <c r="G233">
        <v>80</v>
      </c>
      <c r="H233">
        <v>7679</v>
      </c>
      <c r="I233" s="1">
        <v>2.4508063768124698E-5</v>
      </c>
      <c r="J233">
        <v>1.60973418840638E-4</v>
      </c>
      <c r="K233">
        <v>2.4722424412094099</v>
      </c>
      <c r="L233" t="s">
        <v>1174</v>
      </c>
      <c r="M233" t="str">
        <f>HYPERLINK("../../3.KEGG_map/SCI_II-vs-NC-Up/rno05132.html","rno05132")</f>
        <v>rno05132</v>
      </c>
    </row>
    <row r="234" spans="1:13" x14ac:dyDescent="0.25">
      <c r="A234" t="s">
        <v>760</v>
      </c>
      <c r="B234" t="s">
        <v>761</v>
      </c>
      <c r="C234" t="s">
        <v>235</v>
      </c>
      <c r="D234" t="s">
        <v>755</v>
      </c>
      <c r="E234">
        <v>28</v>
      </c>
      <c r="F234">
        <v>893</v>
      </c>
      <c r="G234">
        <v>72</v>
      </c>
      <c r="H234">
        <v>7679</v>
      </c>
      <c r="I234" s="1">
        <v>2.1998585980588601E-9</v>
      </c>
      <c r="J234" s="1">
        <v>3.5319951935500498E-8</v>
      </c>
      <c r="K234">
        <v>3.3440960557421899</v>
      </c>
      <c r="L234" t="s">
        <v>1175</v>
      </c>
      <c r="M234" t="str">
        <f>HYPERLINK("../../3.KEGG_map/SCI_II-vs-NC-Up/rno05133.html","rno05133")</f>
        <v>rno05133</v>
      </c>
    </row>
    <row r="235" spans="1:13" x14ac:dyDescent="0.25">
      <c r="A235" t="s">
        <v>763</v>
      </c>
      <c r="B235" t="s">
        <v>764</v>
      </c>
      <c r="C235" t="s">
        <v>235</v>
      </c>
      <c r="D235" t="s">
        <v>755</v>
      </c>
      <c r="E235">
        <v>24</v>
      </c>
      <c r="F235">
        <v>893</v>
      </c>
      <c r="G235">
        <v>53</v>
      </c>
      <c r="H235">
        <v>7679</v>
      </c>
      <c r="I235" s="1">
        <v>7.82819432259122E-10</v>
      </c>
      <c r="J235" s="1">
        <v>1.5082321061525699E-8</v>
      </c>
      <c r="K235">
        <v>3.8939339516997999</v>
      </c>
      <c r="L235" t="s">
        <v>1176</v>
      </c>
      <c r="M235" t="str">
        <f>HYPERLINK("../../3.KEGG_map/SCI_II-vs-NC-Up/rno05134.html","rno05134")</f>
        <v>rno05134</v>
      </c>
    </row>
    <row r="236" spans="1:13" x14ac:dyDescent="0.25">
      <c r="A236" t="s">
        <v>766</v>
      </c>
      <c r="B236" t="s">
        <v>767</v>
      </c>
      <c r="C236" t="s">
        <v>235</v>
      </c>
      <c r="D236" t="s">
        <v>768</v>
      </c>
      <c r="E236">
        <v>34</v>
      </c>
      <c r="F236">
        <v>893</v>
      </c>
      <c r="G236">
        <v>65</v>
      </c>
      <c r="H236">
        <v>7679</v>
      </c>
      <c r="I236" s="1">
        <v>9.0917878426177799E-16</v>
      </c>
      <c r="J236" s="1">
        <v>5.2550533730330802E-14</v>
      </c>
      <c r="K236">
        <v>4.4979929365147697</v>
      </c>
      <c r="L236" t="s">
        <v>1177</v>
      </c>
      <c r="M236" t="str">
        <f>HYPERLINK("../../3.KEGG_map/SCI_II-vs-NC-Up/rno05140.html","rno05140")</f>
        <v>rno05140</v>
      </c>
    </row>
    <row r="237" spans="1:13" x14ac:dyDescent="0.25">
      <c r="A237" t="s">
        <v>770</v>
      </c>
      <c r="B237" t="s">
        <v>771</v>
      </c>
      <c r="C237" t="s">
        <v>235</v>
      </c>
      <c r="D237" t="s">
        <v>768</v>
      </c>
      <c r="E237">
        <v>31</v>
      </c>
      <c r="F237">
        <v>893</v>
      </c>
      <c r="G237">
        <v>101</v>
      </c>
      <c r="H237">
        <v>7679</v>
      </c>
      <c r="I237" s="1">
        <v>1.9851975884614899E-7</v>
      </c>
      <c r="J237" s="1">
        <v>1.9288382686768801E-6</v>
      </c>
      <c r="K237">
        <v>2.6393289944895901</v>
      </c>
      <c r="L237" t="s">
        <v>1178</v>
      </c>
      <c r="M237" t="str">
        <f>HYPERLINK("../../3.KEGG_map/SCI_II-vs-NC-Up/rno05142.html","rno05142")</f>
        <v>rno05142</v>
      </c>
    </row>
    <row r="238" spans="1:13" x14ac:dyDescent="0.25">
      <c r="A238" t="s">
        <v>773</v>
      </c>
      <c r="B238" t="s">
        <v>774</v>
      </c>
      <c r="C238" t="s">
        <v>235</v>
      </c>
      <c r="D238" t="s">
        <v>768</v>
      </c>
      <c r="E238">
        <v>14</v>
      </c>
      <c r="F238">
        <v>893</v>
      </c>
      <c r="G238">
        <v>34</v>
      </c>
      <c r="H238">
        <v>7679</v>
      </c>
      <c r="I238" s="1">
        <v>1.10466772879843E-5</v>
      </c>
      <c r="J238" s="1">
        <v>7.6011660386368204E-5</v>
      </c>
      <c r="K238">
        <v>3.54080758843291</v>
      </c>
      <c r="L238" t="s">
        <v>1179</v>
      </c>
      <c r="M238" t="str">
        <f>HYPERLINK("../../3.KEGG_map/SCI_II-vs-NC-Up/rno05143.html","rno05143")</f>
        <v>rno05143</v>
      </c>
    </row>
    <row r="239" spans="1:13" x14ac:dyDescent="0.25">
      <c r="A239" t="s">
        <v>776</v>
      </c>
      <c r="B239" t="s">
        <v>777</v>
      </c>
      <c r="C239" t="s">
        <v>235</v>
      </c>
      <c r="D239" t="s">
        <v>768</v>
      </c>
      <c r="E239">
        <v>26</v>
      </c>
      <c r="F239">
        <v>893</v>
      </c>
      <c r="G239">
        <v>52</v>
      </c>
      <c r="H239">
        <v>7679</v>
      </c>
      <c r="I239" s="1">
        <v>9.0165638458042204E-12</v>
      </c>
      <c r="J239" s="1">
        <v>2.36889722857947E-10</v>
      </c>
      <c r="K239">
        <v>4.29955207166853</v>
      </c>
      <c r="L239" t="s">
        <v>1180</v>
      </c>
      <c r="M239" t="str">
        <f>HYPERLINK("../../3.KEGG_map/SCI_II-vs-NC-Up/rno05144.html","rno05144")</f>
        <v>rno05144</v>
      </c>
    </row>
    <row r="240" spans="1:13" x14ac:dyDescent="0.25">
      <c r="A240" t="s">
        <v>779</v>
      </c>
      <c r="B240" t="s">
        <v>780</v>
      </c>
      <c r="C240" t="s">
        <v>235</v>
      </c>
      <c r="D240" t="s">
        <v>768</v>
      </c>
      <c r="E240">
        <v>33</v>
      </c>
      <c r="F240">
        <v>893</v>
      </c>
      <c r="G240">
        <v>107</v>
      </c>
      <c r="H240">
        <v>7679</v>
      </c>
      <c r="I240" s="1">
        <v>7.0548452546433199E-8</v>
      </c>
      <c r="J240" s="1">
        <v>7.2816081378282797E-7</v>
      </c>
      <c r="K240">
        <v>2.6520601563562902</v>
      </c>
      <c r="L240" t="s">
        <v>1181</v>
      </c>
      <c r="M240" t="str">
        <f>HYPERLINK("../../3.KEGG_map/SCI_II-vs-NC-Up/rno05145.html","rno05145")</f>
        <v>rno05145</v>
      </c>
    </row>
    <row r="241" spans="1:13" x14ac:dyDescent="0.25">
      <c r="A241" t="s">
        <v>782</v>
      </c>
      <c r="B241" t="s">
        <v>783</v>
      </c>
      <c r="C241" t="s">
        <v>235</v>
      </c>
      <c r="D241" t="s">
        <v>768</v>
      </c>
      <c r="E241">
        <v>28</v>
      </c>
      <c r="F241">
        <v>893</v>
      </c>
      <c r="G241">
        <v>96</v>
      </c>
      <c r="H241">
        <v>7679</v>
      </c>
      <c r="I241" s="1">
        <v>2.4069721500758098E-6</v>
      </c>
      <c r="J241" s="1">
        <v>1.8305656615050199E-5</v>
      </c>
      <c r="K241">
        <v>2.5080720418066398</v>
      </c>
      <c r="L241" t="s">
        <v>1182</v>
      </c>
      <c r="M241" t="str">
        <f>HYPERLINK("../../3.KEGG_map/SCI_II-vs-NC-Up/rno05146.html","rno05146")</f>
        <v>rno05146</v>
      </c>
    </row>
    <row r="242" spans="1:13" x14ac:dyDescent="0.25">
      <c r="A242" t="s">
        <v>785</v>
      </c>
      <c r="B242" t="s">
        <v>786</v>
      </c>
      <c r="C242" t="s">
        <v>235</v>
      </c>
      <c r="D242" t="s">
        <v>755</v>
      </c>
      <c r="E242">
        <v>33</v>
      </c>
      <c r="F242">
        <v>893</v>
      </c>
      <c r="G242">
        <v>46</v>
      </c>
      <c r="H242">
        <v>7679</v>
      </c>
      <c r="I242" s="1">
        <v>1.9402663113975001E-21</v>
      </c>
      <c r="J242" s="1">
        <v>1.86912321331293E-19</v>
      </c>
      <c r="K242">
        <v>6.1689225376113699</v>
      </c>
      <c r="L242" t="s">
        <v>1183</v>
      </c>
      <c r="M242" t="str">
        <f>HYPERLINK("../../3.KEGG_map/SCI_II-vs-NC-Up/rno05150.html","rno05150")</f>
        <v>rno05150</v>
      </c>
    </row>
    <row r="243" spans="1:13" x14ac:dyDescent="0.25">
      <c r="A243" t="s">
        <v>788</v>
      </c>
      <c r="B243" t="s">
        <v>789</v>
      </c>
      <c r="C243" t="s">
        <v>235</v>
      </c>
      <c r="D243" t="s">
        <v>755</v>
      </c>
      <c r="E243">
        <v>48</v>
      </c>
      <c r="F243">
        <v>893</v>
      </c>
      <c r="G243">
        <v>169</v>
      </c>
      <c r="H243">
        <v>7679</v>
      </c>
      <c r="I243" s="1">
        <v>1.66449607108221E-9</v>
      </c>
      <c r="J243" s="1">
        <v>2.82964332083976E-8</v>
      </c>
      <c r="K243">
        <v>2.4423491057998801</v>
      </c>
      <c r="L243" t="s">
        <v>1184</v>
      </c>
      <c r="M243" t="str">
        <f>HYPERLINK("../../3.KEGG_map/SCI_II-vs-NC-Up/rno05152.html","rno05152")</f>
        <v>rno05152</v>
      </c>
    </row>
    <row r="244" spans="1:13" x14ac:dyDescent="0.25">
      <c r="A244" t="s">
        <v>791</v>
      </c>
      <c r="B244" t="s">
        <v>792</v>
      </c>
      <c r="C244" t="s">
        <v>235</v>
      </c>
      <c r="D244" t="s">
        <v>793</v>
      </c>
      <c r="E244">
        <v>16</v>
      </c>
      <c r="F244">
        <v>893</v>
      </c>
      <c r="G244">
        <v>122</v>
      </c>
      <c r="H244">
        <v>7679</v>
      </c>
      <c r="I244">
        <v>0.34319807838460897</v>
      </c>
      <c r="J244">
        <v>0.73469810854186801</v>
      </c>
      <c r="K244">
        <v>1.1277513630606</v>
      </c>
      <c r="L244" t="s">
        <v>1185</v>
      </c>
      <c r="M244" t="str">
        <f>HYPERLINK("../../3.KEGG_map/SCI_II-vs-NC-Up/rno05160.html","rno05160")</f>
        <v>rno05160</v>
      </c>
    </row>
    <row r="245" spans="1:13" x14ac:dyDescent="0.25">
      <c r="A245" t="s">
        <v>795</v>
      </c>
      <c r="B245" t="s">
        <v>796</v>
      </c>
      <c r="C245" t="s">
        <v>235</v>
      </c>
      <c r="D245" t="s">
        <v>793</v>
      </c>
      <c r="E245">
        <v>23</v>
      </c>
      <c r="F245">
        <v>893</v>
      </c>
      <c r="G245">
        <v>134</v>
      </c>
      <c r="H245">
        <v>7679</v>
      </c>
      <c r="I245">
        <v>3.5046291862854302E-2</v>
      </c>
      <c r="J245">
        <v>0.12351680912640101</v>
      </c>
      <c r="K245">
        <v>1.4759656365429299</v>
      </c>
      <c r="L245" t="s">
        <v>1186</v>
      </c>
      <c r="M245" t="str">
        <f>HYPERLINK("../../3.KEGG_map/SCI_II-vs-NC-Up/rno05161.html","rno05161")</f>
        <v>rno05161</v>
      </c>
    </row>
    <row r="246" spans="1:13" x14ac:dyDescent="0.25">
      <c r="A246" t="s">
        <v>798</v>
      </c>
      <c r="B246" t="s">
        <v>799</v>
      </c>
      <c r="C246" t="s">
        <v>235</v>
      </c>
      <c r="D246" t="s">
        <v>793</v>
      </c>
      <c r="E246">
        <v>31</v>
      </c>
      <c r="F246">
        <v>893</v>
      </c>
      <c r="G246">
        <v>125</v>
      </c>
      <c r="H246">
        <v>7679</v>
      </c>
      <c r="I246" s="1">
        <v>2.7522528540712999E-5</v>
      </c>
      <c r="J246">
        <v>1.76755794405913E-4</v>
      </c>
      <c r="K246">
        <v>2.13257782754759</v>
      </c>
      <c r="L246" t="s">
        <v>1187</v>
      </c>
      <c r="M246" t="str">
        <f>HYPERLINK("../../3.KEGG_map/SCI_II-vs-NC-Up/rno05162.html","rno05162")</f>
        <v>rno05162</v>
      </c>
    </row>
    <row r="247" spans="1:13" x14ac:dyDescent="0.25">
      <c r="A247" t="s">
        <v>801</v>
      </c>
      <c r="B247" t="s">
        <v>802</v>
      </c>
      <c r="C247" t="s">
        <v>235</v>
      </c>
      <c r="D247" t="s">
        <v>793</v>
      </c>
      <c r="E247">
        <v>38</v>
      </c>
      <c r="F247">
        <v>893</v>
      </c>
      <c r="G247">
        <v>158</v>
      </c>
      <c r="H247">
        <v>7679</v>
      </c>
      <c r="I247" s="1">
        <v>7.6557322458980398E-6</v>
      </c>
      <c r="J247" s="1">
        <v>5.5312665476613297E-5</v>
      </c>
      <c r="K247">
        <v>2.0681389711823299</v>
      </c>
      <c r="L247" t="s">
        <v>1188</v>
      </c>
      <c r="M247" t="str">
        <f>HYPERLINK("../../3.KEGG_map/SCI_II-vs-NC-Up/rno05164.html","rno05164")</f>
        <v>rno05164</v>
      </c>
    </row>
    <row r="248" spans="1:13" x14ac:dyDescent="0.25">
      <c r="A248" t="s">
        <v>804</v>
      </c>
      <c r="B248" t="s">
        <v>805</v>
      </c>
      <c r="C248" t="s">
        <v>235</v>
      </c>
      <c r="D248" t="s">
        <v>793</v>
      </c>
      <c r="E248">
        <v>42</v>
      </c>
      <c r="F248">
        <v>893</v>
      </c>
      <c r="G248">
        <v>327</v>
      </c>
      <c r="H248">
        <v>7679</v>
      </c>
      <c r="I248">
        <v>0.26596014478008401</v>
      </c>
      <c r="J248">
        <v>0.62489822635320602</v>
      </c>
      <c r="K248">
        <v>1.1044720918047599</v>
      </c>
      <c r="L248" t="s">
        <v>1189</v>
      </c>
      <c r="M248" t="str">
        <f>HYPERLINK("../../3.KEGG_map/SCI_II-vs-NC-Up/rno05165.html","rno05165")</f>
        <v>rno05165</v>
      </c>
    </row>
    <row r="249" spans="1:13" x14ac:dyDescent="0.25">
      <c r="A249" t="s">
        <v>807</v>
      </c>
      <c r="B249" t="s">
        <v>808</v>
      </c>
      <c r="C249" t="s">
        <v>235</v>
      </c>
      <c r="D249" t="s">
        <v>793</v>
      </c>
      <c r="E249">
        <v>54</v>
      </c>
      <c r="F249">
        <v>893</v>
      </c>
      <c r="G249">
        <v>269</v>
      </c>
      <c r="H249">
        <v>7679</v>
      </c>
      <c r="I249" s="1">
        <v>3.2667725015842099E-5</v>
      </c>
      <c r="J249">
        <v>2.00871755948476E-4</v>
      </c>
      <c r="K249">
        <v>1.7262142146475901</v>
      </c>
      <c r="L249" t="s">
        <v>1190</v>
      </c>
      <c r="M249" t="str">
        <f>HYPERLINK("../../3.KEGG_map/SCI_II-vs-NC-Up/rno05166.html","rno05166")</f>
        <v>rno05166</v>
      </c>
    </row>
    <row r="250" spans="1:13" x14ac:dyDescent="0.25">
      <c r="A250" t="s">
        <v>810</v>
      </c>
      <c r="B250" t="s">
        <v>811</v>
      </c>
      <c r="C250" t="s">
        <v>235</v>
      </c>
      <c r="D250" t="s">
        <v>793</v>
      </c>
      <c r="E250">
        <v>41</v>
      </c>
      <c r="F250">
        <v>893</v>
      </c>
      <c r="G250">
        <v>194</v>
      </c>
      <c r="H250">
        <v>7679</v>
      </c>
      <c r="I250" s="1">
        <v>8.8581399211146898E-5</v>
      </c>
      <c r="J250">
        <v>5.2244947698003004E-4</v>
      </c>
      <c r="K250">
        <v>1.8173364426640199</v>
      </c>
      <c r="L250" t="s">
        <v>1191</v>
      </c>
      <c r="M250" t="str">
        <f>HYPERLINK("../../3.KEGG_map/SCI_II-vs-NC-Up/rno05167.html","rno05167")</f>
        <v>rno05167</v>
      </c>
    </row>
    <row r="251" spans="1:13" x14ac:dyDescent="0.25">
      <c r="A251" t="s">
        <v>813</v>
      </c>
      <c r="B251" t="s">
        <v>814</v>
      </c>
      <c r="C251" t="s">
        <v>235</v>
      </c>
      <c r="D251" t="s">
        <v>793</v>
      </c>
      <c r="E251">
        <v>44</v>
      </c>
      <c r="F251">
        <v>893</v>
      </c>
      <c r="G251">
        <v>190</v>
      </c>
      <c r="H251">
        <v>7679</v>
      </c>
      <c r="I251" s="1">
        <v>4.3362950863095504E-6</v>
      </c>
      <c r="J251" s="1">
        <v>3.2133058460088697E-5</v>
      </c>
      <c r="K251">
        <v>1.9913714858254301</v>
      </c>
      <c r="L251" t="s">
        <v>1192</v>
      </c>
      <c r="M251" t="str">
        <f>HYPERLINK("../../3.KEGG_map/SCI_II-vs-NC-Up/rno05168.html","rno05168")</f>
        <v>rno05168</v>
      </c>
    </row>
    <row r="252" spans="1:13" x14ac:dyDescent="0.25">
      <c r="A252" t="s">
        <v>816</v>
      </c>
      <c r="B252" t="s">
        <v>817</v>
      </c>
      <c r="C252" t="s">
        <v>235</v>
      </c>
      <c r="D252" t="s">
        <v>793</v>
      </c>
      <c r="E252">
        <v>32</v>
      </c>
      <c r="F252">
        <v>893</v>
      </c>
      <c r="G252">
        <v>204</v>
      </c>
      <c r="H252">
        <v>7679</v>
      </c>
      <c r="I252">
        <v>4.6784551936727599E-2</v>
      </c>
      <c r="J252">
        <v>0.159067476584874</v>
      </c>
      <c r="K252">
        <v>1.34887908130778</v>
      </c>
      <c r="L252" t="s">
        <v>1193</v>
      </c>
      <c r="M252" t="str">
        <f>HYPERLINK("../../3.KEGG_map/SCI_II-vs-NC-Up/rno05169.html","rno05169")</f>
        <v>rno05169</v>
      </c>
    </row>
    <row r="253" spans="1:13" x14ac:dyDescent="0.25">
      <c r="A253" t="s">
        <v>819</v>
      </c>
      <c r="B253" t="s">
        <v>820</v>
      </c>
      <c r="C253" t="s">
        <v>235</v>
      </c>
      <c r="D253" t="s">
        <v>821</v>
      </c>
      <c r="E253">
        <v>89</v>
      </c>
      <c r="F253">
        <v>893</v>
      </c>
      <c r="G253">
        <v>508</v>
      </c>
      <c r="H253">
        <v>7679</v>
      </c>
      <c r="I253" s="1">
        <v>3.2266603996358901E-5</v>
      </c>
      <c r="J253">
        <v>2.00871755948476E-4</v>
      </c>
      <c r="K253">
        <v>1.50653596212008</v>
      </c>
      <c r="L253" t="s">
        <v>1194</v>
      </c>
      <c r="M253" t="str">
        <f>HYPERLINK("../../3.KEGG_map/SCI_II-vs-NC-Up/rno05200.html","rno05200")</f>
        <v>rno05200</v>
      </c>
    </row>
    <row r="254" spans="1:13" x14ac:dyDescent="0.25">
      <c r="A254" t="s">
        <v>823</v>
      </c>
      <c r="B254" t="s">
        <v>824</v>
      </c>
      <c r="C254" t="s">
        <v>235</v>
      </c>
      <c r="D254" t="s">
        <v>821</v>
      </c>
      <c r="E254">
        <v>43</v>
      </c>
      <c r="F254">
        <v>893</v>
      </c>
      <c r="G254">
        <v>168</v>
      </c>
      <c r="H254">
        <v>7679</v>
      </c>
      <c r="I254" s="1">
        <v>3.15476916302477E-7</v>
      </c>
      <c r="J254" s="1">
        <v>2.86303545019347E-6</v>
      </c>
      <c r="K254">
        <v>2.2009611795446098</v>
      </c>
      <c r="L254" t="s">
        <v>1195</v>
      </c>
      <c r="M254" t="str">
        <f>HYPERLINK("../../3.KEGG_map/SCI_II-vs-NC-Up/rno05202.html","rno05202")</f>
        <v>rno05202</v>
      </c>
    </row>
    <row r="255" spans="1:13" x14ac:dyDescent="0.25">
      <c r="A255" t="s">
        <v>826</v>
      </c>
      <c r="B255" t="s">
        <v>827</v>
      </c>
      <c r="C255" t="s">
        <v>235</v>
      </c>
      <c r="D255" t="s">
        <v>821</v>
      </c>
      <c r="E255">
        <v>45</v>
      </c>
      <c r="F255">
        <v>893</v>
      </c>
      <c r="G255">
        <v>201</v>
      </c>
      <c r="H255">
        <v>7679</v>
      </c>
      <c r="I255" s="1">
        <v>8.7189126351328798E-6</v>
      </c>
      <c r="J255" s="1">
        <v>6.1457701257400094E-5</v>
      </c>
      <c r="K255">
        <v>1.92517256940382</v>
      </c>
      <c r="L255" t="s">
        <v>1196</v>
      </c>
      <c r="M255" t="str">
        <f>HYPERLINK("../../3.KEGG_map/SCI_II-vs-NC-Up/rno05203.html","rno05203")</f>
        <v>rno05203</v>
      </c>
    </row>
    <row r="256" spans="1:13" x14ac:dyDescent="0.25">
      <c r="A256" t="s">
        <v>829</v>
      </c>
      <c r="B256" t="s">
        <v>830</v>
      </c>
      <c r="C256" t="s">
        <v>235</v>
      </c>
      <c r="D256" t="s">
        <v>821</v>
      </c>
      <c r="E256">
        <v>13</v>
      </c>
      <c r="F256">
        <v>893</v>
      </c>
      <c r="G256">
        <v>85</v>
      </c>
      <c r="H256">
        <v>7679</v>
      </c>
      <c r="I256">
        <v>0.18400606586823101</v>
      </c>
      <c r="J256">
        <v>0.474801366392132</v>
      </c>
      <c r="K256">
        <v>1.31515710427508</v>
      </c>
      <c r="L256" t="s">
        <v>1197</v>
      </c>
      <c r="M256" t="str">
        <f>HYPERLINK("../../3.KEGG_map/SCI_II-vs-NC-Up/rno05204.html","rno05204")</f>
        <v>rno05204</v>
      </c>
    </row>
    <row r="257" spans="1:13" x14ac:dyDescent="0.25">
      <c r="A257" t="s">
        <v>832</v>
      </c>
      <c r="B257" t="s">
        <v>833</v>
      </c>
      <c r="C257" t="s">
        <v>235</v>
      </c>
      <c r="D257" t="s">
        <v>821</v>
      </c>
      <c r="E257">
        <v>28</v>
      </c>
      <c r="F257">
        <v>893</v>
      </c>
      <c r="G257">
        <v>198</v>
      </c>
      <c r="H257">
        <v>7679</v>
      </c>
      <c r="I257">
        <v>0.15725598183855799</v>
      </c>
      <c r="J257">
        <v>0.42356219672600798</v>
      </c>
      <c r="K257">
        <v>1.2160349293607999</v>
      </c>
      <c r="L257" t="s">
        <v>1198</v>
      </c>
      <c r="M257" t="str">
        <f>HYPERLINK("../../3.KEGG_map/SCI_II-vs-NC-Up/rno05205.html","rno05205")</f>
        <v>rno05205</v>
      </c>
    </row>
    <row r="258" spans="1:13" x14ac:dyDescent="0.25">
      <c r="A258" t="s">
        <v>835</v>
      </c>
      <c r="B258" t="s">
        <v>836</v>
      </c>
      <c r="C258" t="s">
        <v>235</v>
      </c>
      <c r="D258" t="s">
        <v>821</v>
      </c>
      <c r="E258">
        <v>26</v>
      </c>
      <c r="F258">
        <v>893</v>
      </c>
      <c r="G258">
        <v>141</v>
      </c>
      <c r="H258">
        <v>7679</v>
      </c>
      <c r="I258">
        <v>1.10528985633723E-2</v>
      </c>
      <c r="J258">
        <v>4.4989967391754898E-2</v>
      </c>
      <c r="K258">
        <v>1.5856504094096699</v>
      </c>
      <c r="L258" t="s">
        <v>1199</v>
      </c>
      <c r="M258" t="str">
        <f>HYPERLINK("../../3.KEGG_map/SCI_II-vs-NC-Up/rno05206.html","rno05206")</f>
        <v>rno05206</v>
      </c>
    </row>
    <row r="259" spans="1:13" x14ac:dyDescent="0.25">
      <c r="A259" t="s">
        <v>838</v>
      </c>
      <c r="B259" t="s">
        <v>839</v>
      </c>
      <c r="C259" t="s">
        <v>235</v>
      </c>
      <c r="D259" t="s">
        <v>840</v>
      </c>
      <c r="E259">
        <v>12</v>
      </c>
      <c r="F259">
        <v>893</v>
      </c>
      <c r="G259">
        <v>86</v>
      </c>
      <c r="H259">
        <v>7679</v>
      </c>
      <c r="I259">
        <v>0.29520005118075898</v>
      </c>
      <c r="J259">
        <v>0.67708583167650305</v>
      </c>
      <c r="K259">
        <v>1.19987499674471</v>
      </c>
      <c r="L259" t="s">
        <v>1200</v>
      </c>
      <c r="M259" t="str">
        <f>HYPERLINK("../../3.KEGG_map/SCI_II-vs-NC-Up/rno05210.html","rno05210")</f>
        <v>rno05210</v>
      </c>
    </row>
    <row r="260" spans="1:13" x14ac:dyDescent="0.25">
      <c r="A260" t="s">
        <v>842</v>
      </c>
      <c r="B260" t="s">
        <v>843</v>
      </c>
      <c r="C260" t="s">
        <v>235</v>
      </c>
      <c r="D260" t="s">
        <v>840</v>
      </c>
      <c r="E260">
        <v>9</v>
      </c>
      <c r="F260">
        <v>893</v>
      </c>
      <c r="G260">
        <v>66</v>
      </c>
      <c r="H260">
        <v>7679</v>
      </c>
      <c r="I260">
        <v>0.35888220304380197</v>
      </c>
      <c r="J260">
        <v>0.75110118910839696</v>
      </c>
      <c r="K260">
        <v>1.1726051104550499</v>
      </c>
      <c r="L260" t="s">
        <v>1201</v>
      </c>
      <c r="M260" t="str">
        <f>HYPERLINK("../../3.KEGG_map/SCI_II-vs-NC-Up/rno05211.html","rno05211")</f>
        <v>rno05211</v>
      </c>
    </row>
    <row r="261" spans="1:13" x14ac:dyDescent="0.25">
      <c r="A261" t="s">
        <v>845</v>
      </c>
      <c r="B261" t="s">
        <v>846</v>
      </c>
      <c r="C261" t="s">
        <v>235</v>
      </c>
      <c r="D261" t="s">
        <v>840</v>
      </c>
      <c r="E261">
        <v>11</v>
      </c>
      <c r="F261">
        <v>893</v>
      </c>
      <c r="G261">
        <v>74</v>
      </c>
      <c r="H261">
        <v>7679</v>
      </c>
      <c r="I261">
        <v>0.23743839068335701</v>
      </c>
      <c r="J261">
        <v>0.59154909403008804</v>
      </c>
      <c r="K261">
        <v>1.27824521049605</v>
      </c>
      <c r="L261" t="s">
        <v>1202</v>
      </c>
      <c r="M261" t="str">
        <f>HYPERLINK("../../3.KEGG_map/SCI_II-vs-NC-Up/rno05212.html","rno05212")</f>
        <v>rno05212</v>
      </c>
    </row>
    <row r="262" spans="1:13" x14ac:dyDescent="0.25">
      <c r="A262" t="s">
        <v>848</v>
      </c>
      <c r="B262" t="s">
        <v>849</v>
      </c>
      <c r="C262" t="s">
        <v>235</v>
      </c>
      <c r="D262" t="s">
        <v>840</v>
      </c>
      <c r="E262">
        <v>4</v>
      </c>
      <c r="F262">
        <v>893</v>
      </c>
      <c r="G262">
        <v>57</v>
      </c>
      <c r="H262">
        <v>7679</v>
      </c>
      <c r="I262">
        <v>0.91133894802124704</v>
      </c>
      <c r="J262">
        <v>1</v>
      </c>
      <c r="K262">
        <v>0.60344590479558402</v>
      </c>
      <c r="L262" t="s">
        <v>1203</v>
      </c>
      <c r="M262" t="str">
        <f>HYPERLINK("../../3.KEGG_map/SCI_II-vs-NC-Up/rno05213.html","rno05213")</f>
        <v>rno05213</v>
      </c>
    </row>
    <row r="263" spans="1:13" x14ac:dyDescent="0.25">
      <c r="A263" t="s">
        <v>851</v>
      </c>
      <c r="B263" t="s">
        <v>852</v>
      </c>
      <c r="C263" t="s">
        <v>235</v>
      </c>
      <c r="D263" t="s">
        <v>840</v>
      </c>
      <c r="E263">
        <v>8</v>
      </c>
      <c r="F263">
        <v>893</v>
      </c>
      <c r="G263">
        <v>71</v>
      </c>
      <c r="H263">
        <v>7679</v>
      </c>
      <c r="I263">
        <v>0.593581732306946</v>
      </c>
      <c r="J263">
        <v>1</v>
      </c>
      <c r="K263">
        <v>0.96891314291121899</v>
      </c>
      <c r="L263" t="s">
        <v>1204</v>
      </c>
      <c r="M263" t="str">
        <f>HYPERLINK("../../3.KEGG_map/SCI_II-vs-NC-Up/rno05214.html","rno05214")</f>
        <v>rno05214</v>
      </c>
    </row>
    <row r="264" spans="1:13" x14ac:dyDescent="0.25">
      <c r="A264" t="s">
        <v>854</v>
      </c>
      <c r="B264" t="s">
        <v>855</v>
      </c>
      <c r="C264" t="s">
        <v>235</v>
      </c>
      <c r="D264" t="s">
        <v>840</v>
      </c>
      <c r="E264">
        <v>16</v>
      </c>
      <c r="F264">
        <v>893</v>
      </c>
      <c r="G264">
        <v>96</v>
      </c>
      <c r="H264">
        <v>7679</v>
      </c>
      <c r="I264">
        <v>8.6886952433744905E-2</v>
      </c>
      <c r="J264">
        <v>0.27593768410277197</v>
      </c>
      <c r="K264">
        <v>1.4331840238895099</v>
      </c>
      <c r="L264" t="s">
        <v>1205</v>
      </c>
      <c r="M264" t="str">
        <f>HYPERLINK("../../3.KEGG_map/SCI_II-vs-NC-Up/rno05215.html","rno05215")</f>
        <v>rno05215</v>
      </c>
    </row>
    <row r="265" spans="1:13" x14ac:dyDescent="0.25">
      <c r="A265" t="s">
        <v>857</v>
      </c>
      <c r="B265" t="s">
        <v>858</v>
      </c>
      <c r="C265" t="s">
        <v>235</v>
      </c>
      <c r="D265" t="s">
        <v>840</v>
      </c>
      <c r="E265">
        <v>6</v>
      </c>
      <c r="F265">
        <v>893</v>
      </c>
      <c r="G265">
        <v>37</v>
      </c>
      <c r="H265">
        <v>7679</v>
      </c>
      <c r="I265">
        <v>0.25583020367587</v>
      </c>
      <c r="J265">
        <v>0.61612440718605299</v>
      </c>
      <c r="K265">
        <v>1.3944493205411499</v>
      </c>
      <c r="L265" t="s">
        <v>1206</v>
      </c>
      <c r="M265" t="str">
        <f>HYPERLINK("../../3.KEGG_map/SCI_II-vs-NC-Up/rno05216.html","rno05216")</f>
        <v>rno05216</v>
      </c>
    </row>
    <row r="266" spans="1:13" x14ac:dyDescent="0.25">
      <c r="A266" t="s">
        <v>860</v>
      </c>
      <c r="B266" t="s">
        <v>861</v>
      </c>
      <c r="C266" t="s">
        <v>235</v>
      </c>
      <c r="D266" t="s">
        <v>840</v>
      </c>
      <c r="E266">
        <v>3</v>
      </c>
      <c r="F266">
        <v>893</v>
      </c>
      <c r="G266">
        <v>60</v>
      </c>
      <c r="H266">
        <v>7679</v>
      </c>
      <c r="I266">
        <v>0.97663155894937903</v>
      </c>
      <c r="J266">
        <v>1</v>
      </c>
      <c r="K266">
        <v>0.42995520716685298</v>
      </c>
      <c r="L266" t="s">
        <v>1207</v>
      </c>
      <c r="M266" t="str">
        <f>HYPERLINK("../../3.KEGG_map/SCI_II-vs-NC-Up/rno05217.html","rno05217")</f>
        <v>rno05217</v>
      </c>
    </row>
    <row r="267" spans="1:13" x14ac:dyDescent="0.25">
      <c r="A267" t="s">
        <v>863</v>
      </c>
      <c r="B267" t="s">
        <v>864</v>
      </c>
      <c r="C267" t="s">
        <v>235</v>
      </c>
      <c r="D267" t="s">
        <v>840</v>
      </c>
      <c r="E267">
        <v>8</v>
      </c>
      <c r="F267">
        <v>893</v>
      </c>
      <c r="G267">
        <v>72</v>
      </c>
      <c r="H267">
        <v>7679</v>
      </c>
      <c r="I267">
        <v>0.60994633367777196</v>
      </c>
      <c r="J267">
        <v>1</v>
      </c>
      <c r="K267">
        <v>0.955456015926341</v>
      </c>
      <c r="L267" t="s">
        <v>1208</v>
      </c>
      <c r="M267" t="str">
        <f>HYPERLINK("../../3.KEGG_map/SCI_II-vs-NC-Up/rno05218.html","rno05218")</f>
        <v>rno05218</v>
      </c>
    </row>
    <row r="268" spans="1:13" x14ac:dyDescent="0.25">
      <c r="A268" t="s">
        <v>866</v>
      </c>
      <c r="B268" t="s">
        <v>867</v>
      </c>
      <c r="C268" t="s">
        <v>235</v>
      </c>
      <c r="D268" t="s">
        <v>840</v>
      </c>
      <c r="E268">
        <v>6</v>
      </c>
      <c r="F268">
        <v>893</v>
      </c>
      <c r="G268">
        <v>40</v>
      </c>
      <c r="H268">
        <v>7679</v>
      </c>
      <c r="I268">
        <v>0.31886116089537198</v>
      </c>
      <c r="J268">
        <v>0.70511325361931199</v>
      </c>
      <c r="K268">
        <v>1.2898656215005599</v>
      </c>
      <c r="L268" t="s">
        <v>1209</v>
      </c>
      <c r="M268" t="str">
        <f>HYPERLINK("../../3.KEGG_map/SCI_II-vs-NC-Up/rno05219.html","rno05219")</f>
        <v>rno05219</v>
      </c>
    </row>
    <row r="269" spans="1:13" x14ac:dyDescent="0.25">
      <c r="A269" t="s">
        <v>869</v>
      </c>
      <c r="B269" t="s">
        <v>870</v>
      </c>
      <c r="C269" t="s">
        <v>235</v>
      </c>
      <c r="D269" t="s">
        <v>840</v>
      </c>
      <c r="E269">
        <v>8</v>
      </c>
      <c r="F269">
        <v>893</v>
      </c>
      <c r="G269">
        <v>77</v>
      </c>
      <c r="H269">
        <v>7679</v>
      </c>
      <c r="I269">
        <v>0.68628122291357696</v>
      </c>
      <c r="J269">
        <v>1</v>
      </c>
      <c r="K269">
        <v>0.89341341748956504</v>
      </c>
      <c r="L269" t="s">
        <v>1210</v>
      </c>
      <c r="M269" t="str">
        <f>HYPERLINK("../../3.KEGG_map/SCI_II-vs-NC-Up/rno05220.html","rno05220")</f>
        <v>rno05220</v>
      </c>
    </row>
    <row r="270" spans="1:13" x14ac:dyDescent="0.25">
      <c r="A270" t="s">
        <v>872</v>
      </c>
      <c r="B270" t="s">
        <v>873</v>
      </c>
      <c r="C270" t="s">
        <v>235</v>
      </c>
      <c r="D270" t="s">
        <v>840</v>
      </c>
      <c r="E270">
        <v>14</v>
      </c>
      <c r="F270">
        <v>893</v>
      </c>
      <c r="G270">
        <v>66</v>
      </c>
      <c r="H270">
        <v>7679</v>
      </c>
      <c r="I270">
        <v>1.77674148234012E-2</v>
      </c>
      <c r="J270">
        <v>6.6685491999518606E-2</v>
      </c>
      <c r="K270">
        <v>1.8240523940411999</v>
      </c>
      <c r="L270" t="s">
        <v>1211</v>
      </c>
      <c r="M270" t="str">
        <f>HYPERLINK("../../3.KEGG_map/SCI_II-vs-NC-Up/rno05221.html","rno05221")</f>
        <v>rno05221</v>
      </c>
    </row>
    <row r="271" spans="1:13" x14ac:dyDescent="0.25">
      <c r="A271" t="s">
        <v>875</v>
      </c>
      <c r="B271" t="s">
        <v>876</v>
      </c>
      <c r="C271" t="s">
        <v>235</v>
      </c>
      <c r="D271" t="s">
        <v>840</v>
      </c>
      <c r="E271">
        <v>20</v>
      </c>
      <c r="F271">
        <v>893</v>
      </c>
      <c r="G271">
        <v>91</v>
      </c>
      <c r="H271">
        <v>7679</v>
      </c>
      <c r="I271">
        <v>3.4052387042973801E-3</v>
      </c>
      <c r="J271">
        <v>1.53767810240929E-2</v>
      </c>
      <c r="K271">
        <v>1.88991299853562</v>
      </c>
      <c r="L271" t="s">
        <v>1212</v>
      </c>
      <c r="M271" t="str">
        <f>HYPERLINK("../../3.KEGG_map/SCI_II-vs-NC-Up/rno05222.html","rno05222")</f>
        <v>rno05222</v>
      </c>
    </row>
    <row r="272" spans="1:13" x14ac:dyDescent="0.25">
      <c r="A272" t="s">
        <v>878</v>
      </c>
      <c r="B272" t="s">
        <v>879</v>
      </c>
      <c r="C272" t="s">
        <v>235</v>
      </c>
      <c r="D272" t="s">
        <v>840</v>
      </c>
      <c r="E272">
        <v>7</v>
      </c>
      <c r="F272">
        <v>893</v>
      </c>
      <c r="G272">
        <v>66</v>
      </c>
      <c r="H272">
        <v>7679</v>
      </c>
      <c r="I272">
        <v>0.66006122634624498</v>
      </c>
      <c r="J272">
        <v>1</v>
      </c>
      <c r="K272">
        <v>0.91202619702059795</v>
      </c>
      <c r="L272" t="s">
        <v>1213</v>
      </c>
      <c r="M272" t="str">
        <f>HYPERLINK("../../3.KEGG_map/SCI_II-vs-NC-Up/rno05223.html","rno05223")</f>
        <v>rno05223</v>
      </c>
    </row>
    <row r="273" spans="1:13" x14ac:dyDescent="0.25">
      <c r="A273" t="s">
        <v>881</v>
      </c>
      <c r="B273" t="s">
        <v>882</v>
      </c>
      <c r="C273" t="s">
        <v>235</v>
      </c>
      <c r="D273" t="s">
        <v>840</v>
      </c>
      <c r="E273">
        <v>14</v>
      </c>
      <c r="F273">
        <v>893</v>
      </c>
      <c r="G273">
        <v>145</v>
      </c>
      <c r="H273">
        <v>7679</v>
      </c>
      <c r="I273">
        <v>0.80854999131971095</v>
      </c>
      <c r="J273">
        <v>1</v>
      </c>
      <c r="K273">
        <v>0.83025833108082003</v>
      </c>
      <c r="L273" t="s">
        <v>1214</v>
      </c>
      <c r="M273" t="str">
        <f>HYPERLINK("../../3.KEGG_map/SCI_II-vs-NC-Up/rno05224.html","rno05224")</f>
        <v>rno05224</v>
      </c>
    </row>
    <row r="274" spans="1:13" x14ac:dyDescent="0.25">
      <c r="A274" t="s">
        <v>884</v>
      </c>
      <c r="B274" t="s">
        <v>885</v>
      </c>
      <c r="C274" t="s">
        <v>235</v>
      </c>
      <c r="D274" t="s">
        <v>840</v>
      </c>
      <c r="E274">
        <v>20</v>
      </c>
      <c r="F274">
        <v>893</v>
      </c>
      <c r="G274">
        <v>169</v>
      </c>
      <c r="H274">
        <v>7679</v>
      </c>
      <c r="I274">
        <v>0.50290948743614605</v>
      </c>
      <c r="J274">
        <v>0.93898926738243105</v>
      </c>
      <c r="K274">
        <v>1.0176454607499501</v>
      </c>
      <c r="L274" t="s">
        <v>1215</v>
      </c>
      <c r="M274" t="str">
        <f>HYPERLINK("../../3.KEGG_map/SCI_II-vs-NC-Up/rno05225.html","rno05225")</f>
        <v>rno05225</v>
      </c>
    </row>
    <row r="275" spans="1:13" x14ac:dyDescent="0.25">
      <c r="A275" t="s">
        <v>887</v>
      </c>
      <c r="B275" t="s">
        <v>888</v>
      </c>
      <c r="C275" t="s">
        <v>235</v>
      </c>
      <c r="D275" t="s">
        <v>840</v>
      </c>
      <c r="E275">
        <v>14</v>
      </c>
      <c r="F275">
        <v>893</v>
      </c>
      <c r="G275">
        <v>147</v>
      </c>
      <c r="H275">
        <v>7679</v>
      </c>
      <c r="I275">
        <v>0.82399415916007801</v>
      </c>
      <c r="J275">
        <v>1</v>
      </c>
      <c r="K275">
        <v>0.81896229936543496</v>
      </c>
      <c r="L275" t="s">
        <v>1216</v>
      </c>
      <c r="M275" t="str">
        <f>HYPERLINK("../../3.KEGG_map/SCI_II-vs-NC-Up/rno05226.html","rno05226")</f>
        <v>rno05226</v>
      </c>
    </row>
    <row r="276" spans="1:13" x14ac:dyDescent="0.25">
      <c r="A276" t="s">
        <v>890</v>
      </c>
      <c r="B276" t="s">
        <v>891</v>
      </c>
      <c r="C276" t="s">
        <v>235</v>
      </c>
      <c r="D276" t="s">
        <v>821</v>
      </c>
      <c r="E276">
        <v>15</v>
      </c>
      <c r="F276">
        <v>893</v>
      </c>
      <c r="G276">
        <v>61</v>
      </c>
      <c r="H276">
        <v>7679</v>
      </c>
      <c r="I276">
        <v>3.4771521621308498E-3</v>
      </c>
      <c r="J276">
        <v>1.54599534593202E-2</v>
      </c>
      <c r="K276">
        <v>2.11453380573862</v>
      </c>
      <c r="L276" t="s">
        <v>1217</v>
      </c>
      <c r="M276" t="str">
        <f>HYPERLINK("../../3.KEGG_map/SCI_II-vs-NC-Up/rno05230.html","rno05230")</f>
        <v>rno05230</v>
      </c>
    </row>
    <row r="277" spans="1:13" x14ac:dyDescent="0.25">
      <c r="A277" t="s">
        <v>893</v>
      </c>
      <c r="B277" t="s">
        <v>894</v>
      </c>
      <c r="C277" t="s">
        <v>235</v>
      </c>
      <c r="D277" t="s">
        <v>821</v>
      </c>
      <c r="E277">
        <v>8</v>
      </c>
      <c r="F277">
        <v>893</v>
      </c>
      <c r="G277">
        <v>97</v>
      </c>
      <c r="H277">
        <v>7679</v>
      </c>
      <c r="I277">
        <v>0.89048517045819298</v>
      </c>
      <c r="J277">
        <v>1</v>
      </c>
      <c r="K277">
        <v>0.70920446542986104</v>
      </c>
      <c r="L277" t="s">
        <v>1218</v>
      </c>
      <c r="M277" t="str">
        <f>HYPERLINK("../../3.KEGG_map/SCI_II-vs-NC-Up/rno05231.html","rno05231")</f>
        <v>rno05231</v>
      </c>
    </row>
    <row r="278" spans="1:13" x14ac:dyDescent="0.25">
      <c r="A278" t="s">
        <v>896</v>
      </c>
      <c r="B278" t="s">
        <v>897</v>
      </c>
      <c r="C278" t="s">
        <v>235</v>
      </c>
      <c r="D278" t="s">
        <v>898</v>
      </c>
      <c r="E278">
        <v>13</v>
      </c>
      <c r="F278">
        <v>893</v>
      </c>
      <c r="G278">
        <v>24</v>
      </c>
      <c r="H278">
        <v>7679</v>
      </c>
      <c r="I278" s="1">
        <v>4.7719828598624597E-7</v>
      </c>
      <c r="J278" s="1">
        <v>4.1791001409098502E-6</v>
      </c>
      <c r="K278">
        <v>4.6578480776409101</v>
      </c>
      <c r="L278" t="s">
        <v>1219</v>
      </c>
      <c r="M278" t="str">
        <f>HYPERLINK("../../3.KEGG_map/SCI_II-vs-NC-Up/rno05310.html","rno05310")</f>
        <v>rno05310</v>
      </c>
    </row>
    <row r="279" spans="1:13" x14ac:dyDescent="0.25">
      <c r="A279" t="s">
        <v>900</v>
      </c>
      <c r="B279" t="s">
        <v>901</v>
      </c>
      <c r="C279" t="s">
        <v>235</v>
      </c>
      <c r="D279" t="s">
        <v>898</v>
      </c>
      <c r="E279">
        <v>24</v>
      </c>
      <c r="F279">
        <v>893</v>
      </c>
      <c r="G279">
        <v>60</v>
      </c>
      <c r="H279">
        <v>7679</v>
      </c>
      <c r="I279" s="1">
        <v>1.6194111670636799E-8</v>
      </c>
      <c r="J279" s="1">
        <v>2.03482533600611E-7</v>
      </c>
      <c r="K279">
        <v>3.4396416573348301</v>
      </c>
      <c r="L279" t="s">
        <v>1220</v>
      </c>
      <c r="M279" t="str">
        <f>HYPERLINK("../../3.KEGG_map/SCI_II-vs-NC-Up/rno05320.html","rno05320")</f>
        <v>rno05320</v>
      </c>
    </row>
    <row r="280" spans="1:13" x14ac:dyDescent="0.25">
      <c r="A280" t="s">
        <v>903</v>
      </c>
      <c r="B280" t="s">
        <v>904</v>
      </c>
      <c r="C280" t="s">
        <v>235</v>
      </c>
      <c r="D280" t="s">
        <v>898</v>
      </c>
      <c r="E280">
        <v>30</v>
      </c>
      <c r="F280">
        <v>893</v>
      </c>
      <c r="G280">
        <v>59</v>
      </c>
      <c r="H280">
        <v>7679</v>
      </c>
      <c r="I280" s="1">
        <v>1.2388125112272099E-13</v>
      </c>
      <c r="J280" s="1">
        <v>5.1145259392094702E-12</v>
      </c>
      <c r="K280">
        <v>4.37242583559512</v>
      </c>
      <c r="L280" t="s">
        <v>1221</v>
      </c>
      <c r="M280" t="str">
        <f>HYPERLINK("../../3.KEGG_map/SCI_II-vs-NC-Up/rno05321.html","rno05321")</f>
        <v>rno05321</v>
      </c>
    </row>
    <row r="281" spans="1:13" x14ac:dyDescent="0.25">
      <c r="A281" t="s">
        <v>906</v>
      </c>
      <c r="B281" t="s">
        <v>907</v>
      </c>
      <c r="C281" t="s">
        <v>235</v>
      </c>
      <c r="D281" t="s">
        <v>898</v>
      </c>
      <c r="E281">
        <v>43</v>
      </c>
      <c r="F281">
        <v>893</v>
      </c>
      <c r="G281">
        <v>91</v>
      </c>
      <c r="H281">
        <v>7679</v>
      </c>
      <c r="I281" s="1">
        <v>1.88342729339794E-17</v>
      </c>
      <c r="J281" s="1">
        <v>1.36077621948001E-15</v>
      </c>
      <c r="K281">
        <v>4.0633129468515801</v>
      </c>
      <c r="L281" t="s">
        <v>1222</v>
      </c>
      <c r="M281" t="str">
        <f>HYPERLINK("../../3.KEGG_map/SCI_II-vs-NC-Up/rno05322.html","rno05322")</f>
        <v>rno05322</v>
      </c>
    </row>
    <row r="282" spans="1:13" x14ac:dyDescent="0.25">
      <c r="A282" t="s">
        <v>909</v>
      </c>
      <c r="B282" t="s">
        <v>910</v>
      </c>
      <c r="C282" t="s">
        <v>235</v>
      </c>
      <c r="D282" t="s">
        <v>898</v>
      </c>
      <c r="E282">
        <v>36</v>
      </c>
      <c r="F282">
        <v>893</v>
      </c>
      <c r="G282">
        <v>81</v>
      </c>
      <c r="H282">
        <v>7679</v>
      </c>
      <c r="I282" s="1">
        <v>8.7209312972926299E-14</v>
      </c>
      <c r="J282" s="1">
        <v>4.20058190819595E-12</v>
      </c>
      <c r="K282">
        <v>3.82182406370536</v>
      </c>
      <c r="L282" t="s">
        <v>1223</v>
      </c>
      <c r="M282" t="str">
        <f>HYPERLINK("../../3.KEGG_map/SCI_II-vs-NC-Up/rno05323.html","rno05323")</f>
        <v>rno05323</v>
      </c>
    </row>
    <row r="283" spans="1:13" x14ac:dyDescent="0.25">
      <c r="A283" t="s">
        <v>912</v>
      </c>
      <c r="B283" t="s">
        <v>913</v>
      </c>
      <c r="C283" t="s">
        <v>235</v>
      </c>
      <c r="D283" t="s">
        <v>898</v>
      </c>
      <c r="E283">
        <v>25</v>
      </c>
      <c r="F283">
        <v>893</v>
      </c>
      <c r="G283">
        <v>53</v>
      </c>
      <c r="H283">
        <v>7679</v>
      </c>
      <c r="I283" s="1">
        <v>1.1533509696368199E-10</v>
      </c>
      <c r="J283" s="1">
        <v>2.3808459301788699E-9</v>
      </c>
      <c r="K283">
        <v>4.0561811996873001</v>
      </c>
      <c r="L283" t="s">
        <v>1224</v>
      </c>
      <c r="M283" t="str">
        <f>HYPERLINK("../../3.KEGG_map/SCI_II-vs-NC-Up/rno05330.html","rno05330")</f>
        <v>rno05330</v>
      </c>
    </row>
    <row r="284" spans="1:13" x14ac:dyDescent="0.25">
      <c r="A284" t="s">
        <v>915</v>
      </c>
      <c r="B284" t="s">
        <v>916</v>
      </c>
      <c r="C284" t="s">
        <v>235</v>
      </c>
      <c r="D284" t="s">
        <v>898</v>
      </c>
      <c r="E284">
        <v>25</v>
      </c>
      <c r="F284">
        <v>893</v>
      </c>
      <c r="G284">
        <v>51</v>
      </c>
      <c r="H284">
        <v>7679</v>
      </c>
      <c r="I284" s="1">
        <v>3.9835279683418797E-11</v>
      </c>
      <c r="J284" s="1">
        <v>9.5936631904233507E-10</v>
      </c>
      <c r="K284">
        <v>4.2152471290867997</v>
      </c>
      <c r="L284" t="s">
        <v>1225</v>
      </c>
      <c r="M284" t="str">
        <f>HYPERLINK("../../3.KEGG_map/SCI_II-vs-NC-Up/rno05332.html","rno05332")</f>
        <v>rno05332</v>
      </c>
    </row>
    <row r="285" spans="1:13" x14ac:dyDescent="0.25">
      <c r="A285" t="s">
        <v>918</v>
      </c>
      <c r="B285" t="s">
        <v>919</v>
      </c>
      <c r="C285" t="s">
        <v>235</v>
      </c>
      <c r="D285" t="s">
        <v>898</v>
      </c>
      <c r="E285">
        <v>18</v>
      </c>
      <c r="F285">
        <v>893</v>
      </c>
      <c r="G285">
        <v>36</v>
      </c>
      <c r="H285">
        <v>7679</v>
      </c>
      <c r="I285" s="1">
        <v>1.50708925372506E-8</v>
      </c>
      <c r="J285" s="1">
        <v>2.00819447761412E-7</v>
      </c>
      <c r="K285">
        <v>4.29955207166853</v>
      </c>
      <c r="L285" t="s">
        <v>1226</v>
      </c>
      <c r="M285" t="str">
        <f>HYPERLINK("../../3.KEGG_map/SCI_II-vs-NC-Up/rno05340.html","rno05340")</f>
        <v>rno05340</v>
      </c>
    </row>
    <row r="286" spans="1:13" x14ac:dyDescent="0.25">
      <c r="A286" t="s">
        <v>921</v>
      </c>
      <c r="B286" t="s">
        <v>922</v>
      </c>
      <c r="C286" t="s">
        <v>235</v>
      </c>
      <c r="D286" t="s">
        <v>923</v>
      </c>
      <c r="E286">
        <v>14</v>
      </c>
      <c r="F286">
        <v>893</v>
      </c>
      <c r="G286">
        <v>86</v>
      </c>
      <c r="H286">
        <v>7679</v>
      </c>
      <c r="I286">
        <v>0.120650147759316</v>
      </c>
      <c r="J286">
        <v>0.35579482349431002</v>
      </c>
      <c r="K286">
        <v>1.3998541628688199</v>
      </c>
      <c r="L286" t="s">
        <v>1227</v>
      </c>
      <c r="M286" t="str">
        <f>HYPERLINK("../../3.KEGG_map/SCI_II-vs-NC-Up/rno05410.html","rno05410")</f>
        <v>rno05410</v>
      </c>
    </row>
    <row r="287" spans="1:13" x14ac:dyDescent="0.25">
      <c r="A287" t="s">
        <v>925</v>
      </c>
      <c r="B287" t="s">
        <v>926</v>
      </c>
      <c r="C287" t="s">
        <v>235</v>
      </c>
      <c r="D287" t="s">
        <v>923</v>
      </c>
      <c r="E287">
        <v>11</v>
      </c>
      <c r="F287">
        <v>893</v>
      </c>
      <c r="G287">
        <v>72</v>
      </c>
      <c r="H287">
        <v>7679</v>
      </c>
      <c r="I287">
        <v>0.210605574444127</v>
      </c>
      <c r="J287">
        <v>0.53390360538905901</v>
      </c>
      <c r="K287">
        <v>1.31375202189872</v>
      </c>
      <c r="L287" t="s">
        <v>1228</v>
      </c>
      <c r="M287" t="str">
        <f>HYPERLINK("../../3.KEGG_map/SCI_II-vs-NC-Up/rno05412.html","rno05412")</f>
        <v>rno05412</v>
      </c>
    </row>
    <row r="288" spans="1:13" x14ac:dyDescent="0.25">
      <c r="A288" t="s">
        <v>928</v>
      </c>
      <c r="B288" t="s">
        <v>929</v>
      </c>
      <c r="C288" t="s">
        <v>235</v>
      </c>
      <c r="D288" t="s">
        <v>923</v>
      </c>
      <c r="E288">
        <v>15</v>
      </c>
      <c r="F288">
        <v>893</v>
      </c>
      <c r="G288">
        <v>88</v>
      </c>
      <c r="H288">
        <v>7679</v>
      </c>
      <c r="I288">
        <v>8.1768724900543904E-2</v>
      </c>
      <c r="J288">
        <v>0.26256846106952397</v>
      </c>
      <c r="K288">
        <v>1.46575638806882</v>
      </c>
      <c r="L288" t="s">
        <v>1229</v>
      </c>
      <c r="M288" t="str">
        <f>HYPERLINK("../../3.KEGG_map/SCI_II-vs-NC-Up/rno05414.html","rno05414")</f>
        <v>rno05414</v>
      </c>
    </row>
    <row r="289" spans="1:13" x14ac:dyDescent="0.25">
      <c r="A289" t="s">
        <v>931</v>
      </c>
      <c r="B289" t="s">
        <v>932</v>
      </c>
      <c r="C289" t="s">
        <v>235</v>
      </c>
      <c r="D289" t="s">
        <v>923</v>
      </c>
      <c r="E289">
        <v>27</v>
      </c>
      <c r="F289">
        <v>893</v>
      </c>
      <c r="G289">
        <v>73</v>
      </c>
      <c r="H289">
        <v>7679</v>
      </c>
      <c r="I289" s="1">
        <v>1.5287293601214802E-8</v>
      </c>
      <c r="J289" s="1">
        <v>2.00819447761412E-7</v>
      </c>
      <c r="K289">
        <v>3.18049057356302</v>
      </c>
      <c r="L289" t="s">
        <v>1230</v>
      </c>
      <c r="M289" t="str">
        <f>HYPERLINK("../../3.KEGG_map/SCI_II-vs-NC-Up/rno05416.html","rno05416")</f>
        <v>rno05416</v>
      </c>
    </row>
    <row r="290" spans="1:13" x14ac:dyDescent="0.25">
      <c r="A290" t="s">
        <v>934</v>
      </c>
      <c r="B290" t="s">
        <v>935</v>
      </c>
      <c r="C290" t="s">
        <v>235</v>
      </c>
      <c r="D290" t="s">
        <v>923</v>
      </c>
      <c r="E290">
        <v>31</v>
      </c>
      <c r="F290">
        <v>893</v>
      </c>
      <c r="G290">
        <v>141</v>
      </c>
      <c r="H290">
        <v>7679</v>
      </c>
      <c r="I290">
        <v>3.0239802977089398E-4</v>
      </c>
      <c r="J290">
        <v>1.7135888353683999E-3</v>
      </c>
      <c r="K290">
        <v>1.89058318044999</v>
      </c>
      <c r="L290" t="s">
        <v>1231</v>
      </c>
      <c r="M290" t="str">
        <f>HYPERLINK("../../3.KEGG_map/SCI_II-vs-NC-Up/rno05418.html","rno05418")</f>
        <v>rno05418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9"/>
  <sheetViews>
    <sheetView workbookViewId="0"/>
  </sheetViews>
  <sheetFormatPr defaultRowHeight="13.8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>
        <v>1</v>
      </c>
      <c r="F2">
        <v>94</v>
      </c>
      <c r="G2">
        <v>64</v>
      </c>
      <c r="H2">
        <v>7679</v>
      </c>
      <c r="I2">
        <v>0.54685433043798104</v>
      </c>
      <c r="J2">
        <v>0.89954508929035504</v>
      </c>
      <c r="K2">
        <v>1.2764295212765999</v>
      </c>
      <c r="L2" t="s">
        <v>1232</v>
      </c>
      <c r="M2" t="str">
        <f>HYPERLINK("../../3.KEGG_map/SCI_III-vs-NC-Up/rno00010.html","rno00010")</f>
        <v>rno00010</v>
      </c>
    </row>
    <row r="3" spans="1:13" x14ac:dyDescent="0.25">
      <c r="A3" t="s">
        <v>24</v>
      </c>
      <c r="B3" t="s">
        <v>25</v>
      </c>
      <c r="C3" t="s">
        <v>15</v>
      </c>
      <c r="D3" t="s">
        <v>16</v>
      </c>
      <c r="E3">
        <v>1</v>
      </c>
      <c r="F3">
        <v>94</v>
      </c>
      <c r="G3">
        <v>33</v>
      </c>
      <c r="H3">
        <v>7679</v>
      </c>
      <c r="I3">
        <v>0.334559617069207</v>
      </c>
      <c r="J3">
        <v>0.87243048518519695</v>
      </c>
      <c r="K3">
        <v>2.4754996776273401</v>
      </c>
      <c r="L3" t="s">
        <v>1233</v>
      </c>
      <c r="M3" t="str">
        <f>HYPERLINK("../../3.KEGG_map/SCI_III-vs-NC-Up/rno00040.html","rno00040")</f>
        <v>rno00040</v>
      </c>
    </row>
    <row r="4" spans="1:13" x14ac:dyDescent="0.25">
      <c r="A4" t="s">
        <v>27</v>
      </c>
      <c r="B4" t="s">
        <v>28</v>
      </c>
      <c r="C4" t="s">
        <v>15</v>
      </c>
      <c r="D4" t="s">
        <v>16</v>
      </c>
      <c r="E4">
        <v>1</v>
      </c>
      <c r="F4">
        <v>94</v>
      </c>
      <c r="G4">
        <v>34</v>
      </c>
      <c r="H4">
        <v>7679</v>
      </c>
      <c r="I4">
        <v>0.34274054775132801</v>
      </c>
      <c r="J4">
        <v>0.87243048518519695</v>
      </c>
      <c r="K4">
        <v>2.4026908635794699</v>
      </c>
      <c r="L4" t="s">
        <v>1232</v>
      </c>
      <c r="M4" t="str">
        <f>HYPERLINK("../../3.KEGG_map/SCI_III-vs-NC-Up/rno00051.html","rno00051")</f>
        <v>rno00051</v>
      </c>
    </row>
    <row r="5" spans="1:13" x14ac:dyDescent="0.25">
      <c r="A5" t="s">
        <v>30</v>
      </c>
      <c r="B5" t="s">
        <v>31</v>
      </c>
      <c r="C5" t="s">
        <v>15</v>
      </c>
      <c r="D5" t="s">
        <v>16</v>
      </c>
      <c r="E5">
        <v>1</v>
      </c>
      <c r="F5">
        <v>94</v>
      </c>
      <c r="G5">
        <v>30</v>
      </c>
      <c r="H5">
        <v>7679</v>
      </c>
      <c r="I5">
        <v>0.30940751279059198</v>
      </c>
      <c r="J5">
        <v>0.87243048518519695</v>
      </c>
      <c r="K5">
        <v>2.7230496453900699</v>
      </c>
      <c r="L5" t="s">
        <v>1232</v>
      </c>
      <c r="M5" t="str">
        <f>HYPERLINK("../../3.KEGG_map/SCI_III-vs-NC-Up/rno00052.html","rno00052")</f>
        <v>rno00052</v>
      </c>
    </row>
    <row r="6" spans="1:13" x14ac:dyDescent="0.25">
      <c r="A6" t="s">
        <v>33</v>
      </c>
      <c r="B6" t="s">
        <v>34</v>
      </c>
      <c r="C6" t="s">
        <v>15</v>
      </c>
      <c r="D6" t="s">
        <v>16</v>
      </c>
      <c r="E6">
        <v>1</v>
      </c>
      <c r="F6">
        <v>94</v>
      </c>
      <c r="G6">
        <v>26</v>
      </c>
      <c r="H6">
        <v>7679</v>
      </c>
      <c r="I6">
        <v>0.27440286899355099</v>
      </c>
      <c r="J6">
        <v>0.87243048518519695</v>
      </c>
      <c r="K6">
        <v>3.1419803600654701</v>
      </c>
      <c r="L6" t="s">
        <v>1233</v>
      </c>
      <c r="M6" t="str">
        <f>HYPERLINK("../../3.KEGG_map/SCI_III-vs-NC-Up/rno00053.html","rno00053")</f>
        <v>rno00053</v>
      </c>
    </row>
    <row r="7" spans="1:13" x14ac:dyDescent="0.25">
      <c r="A7" t="s">
        <v>36</v>
      </c>
      <c r="B7" t="s">
        <v>37</v>
      </c>
      <c r="C7" t="s">
        <v>15</v>
      </c>
      <c r="D7" t="s">
        <v>38</v>
      </c>
      <c r="E7">
        <v>1</v>
      </c>
      <c r="F7">
        <v>94</v>
      </c>
      <c r="G7">
        <v>13</v>
      </c>
      <c r="H7">
        <v>7679</v>
      </c>
      <c r="I7">
        <v>0.14806355272182001</v>
      </c>
      <c r="J7">
        <v>0.87243048518519695</v>
      </c>
      <c r="K7">
        <v>6.2839607201309304</v>
      </c>
      <c r="L7" t="s">
        <v>1234</v>
      </c>
      <c r="M7" t="str">
        <f>HYPERLINK("../../3.KEGG_map/SCI_III-vs-NC-Up/rno00061.html","rno00061")</f>
        <v>rno00061</v>
      </c>
    </row>
    <row r="8" spans="1:13" x14ac:dyDescent="0.25">
      <c r="A8" t="s">
        <v>43</v>
      </c>
      <c r="B8" t="s">
        <v>44</v>
      </c>
      <c r="C8" t="s">
        <v>15</v>
      </c>
      <c r="D8" t="s">
        <v>38</v>
      </c>
      <c r="E8">
        <v>2</v>
      </c>
      <c r="F8">
        <v>94</v>
      </c>
      <c r="G8">
        <v>44</v>
      </c>
      <c r="H8">
        <v>7679</v>
      </c>
      <c r="I8">
        <v>0.1007990875516</v>
      </c>
      <c r="J8">
        <v>0.84622869751891505</v>
      </c>
      <c r="K8">
        <v>3.7132495164410102</v>
      </c>
      <c r="L8" t="s">
        <v>1235</v>
      </c>
      <c r="M8" t="str">
        <f>HYPERLINK("../../3.KEGG_map/SCI_III-vs-NC-Up/rno00071.html","rno00071")</f>
        <v>rno00071</v>
      </c>
    </row>
    <row r="9" spans="1:13" x14ac:dyDescent="0.25">
      <c r="A9" t="s">
        <v>59</v>
      </c>
      <c r="B9" t="s">
        <v>60</v>
      </c>
      <c r="C9" t="s">
        <v>15</v>
      </c>
      <c r="D9" t="s">
        <v>38</v>
      </c>
      <c r="E9">
        <v>3</v>
      </c>
      <c r="F9">
        <v>94</v>
      </c>
      <c r="G9">
        <v>75</v>
      </c>
      <c r="H9">
        <v>7679</v>
      </c>
      <c r="I9">
        <v>6.3843673079699806E-2</v>
      </c>
      <c r="J9">
        <v>0.84622869751891505</v>
      </c>
      <c r="K9">
        <v>3.2676595744680799</v>
      </c>
      <c r="L9" t="s">
        <v>1236</v>
      </c>
      <c r="M9" t="str">
        <f>HYPERLINK("../../3.KEGG_map/SCI_III-vs-NC-Up/rno00140.html","rno00140")</f>
        <v>rno00140</v>
      </c>
    </row>
    <row r="10" spans="1:13" x14ac:dyDescent="0.25">
      <c r="A10" t="s">
        <v>66</v>
      </c>
      <c r="B10" t="s">
        <v>67</v>
      </c>
      <c r="C10" t="s">
        <v>15</v>
      </c>
      <c r="D10" t="s">
        <v>68</v>
      </c>
      <c r="E10">
        <v>1</v>
      </c>
      <c r="F10">
        <v>94</v>
      </c>
      <c r="G10">
        <v>19</v>
      </c>
      <c r="H10">
        <v>7679</v>
      </c>
      <c r="I10">
        <v>0.20887085092640001</v>
      </c>
      <c r="J10">
        <v>0.87243048518519695</v>
      </c>
      <c r="K10">
        <v>4.29955207166853</v>
      </c>
      <c r="L10" t="s">
        <v>1237</v>
      </c>
      <c r="M10" t="str">
        <f>HYPERLINK("../../3.KEGG_map/SCI_III-vs-NC-Up/rno00220.html","rno00220")</f>
        <v>rno00220</v>
      </c>
    </row>
    <row r="11" spans="1:13" x14ac:dyDescent="0.25">
      <c r="A11" t="s">
        <v>70</v>
      </c>
      <c r="B11" t="s">
        <v>71</v>
      </c>
      <c r="C11" t="s">
        <v>15</v>
      </c>
      <c r="D11" t="s">
        <v>72</v>
      </c>
      <c r="E11">
        <v>2</v>
      </c>
      <c r="F11">
        <v>94</v>
      </c>
      <c r="G11">
        <v>169</v>
      </c>
      <c r="H11">
        <v>7679</v>
      </c>
      <c r="I11">
        <v>0.61709607865154903</v>
      </c>
      <c r="J11">
        <v>0.89954508929035504</v>
      </c>
      <c r="K11">
        <v>0.96676318771245096</v>
      </c>
      <c r="L11" t="s">
        <v>1238</v>
      </c>
      <c r="M11" t="str">
        <f>HYPERLINK("../../3.KEGG_map/SCI_III-vs-NC-Up/rno00230.html","rno00230")</f>
        <v>rno00230</v>
      </c>
    </row>
    <row r="12" spans="1:13" x14ac:dyDescent="0.25">
      <c r="A12" t="s">
        <v>74</v>
      </c>
      <c r="B12" t="s">
        <v>75</v>
      </c>
      <c r="C12" t="s">
        <v>15</v>
      </c>
      <c r="D12" t="s">
        <v>72</v>
      </c>
      <c r="E12">
        <v>2</v>
      </c>
      <c r="F12">
        <v>94</v>
      </c>
      <c r="G12">
        <v>96</v>
      </c>
      <c r="H12">
        <v>7679</v>
      </c>
      <c r="I12">
        <v>0.329134348133091</v>
      </c>
      <c r="J12">
        <v>0.87243048518519695</v>
      </c>
      <c r="K12">
        <v>1.7019060283687899</v>
      </c>
      <c r="L12" t="s">
        <v>1238</v>
      </c>
      <c r="M12" t="str">
        <f>HYPERLINK("../../3.KEGG_map/SCI_III-vs-NC-Up/rno00240.html","rno00240")</f>
        <v>rno00240</v>
      </c>
    </row>
    <row r="13" spans="1:13" x14ac:dyDescent="0.25">
      <c r="A13" t="s">
        <v>83</v>
      </c>
      <c r="B13" t="s">
        <v>84</v>
      </c>
      <c r="C13" t="s">
        <v>15</v>
      </c>
      <c r="D13" t="s">
        <v>68</v>
      </c>
      <c r="E13">
        <v>2</v>
      </c>
      <c r="F13">
        <v>94</v>
      </c>
      <c r="G13">
        <v>53</v>
      </c>
      <c r="H13">
        <v>7679</v>
      </c>
      <c r="I13">
        <v>0.13703887394499001</v>
      </c>
      <c r="J13">
        <v>0.87243048518519695</v>
      </c>
      <c r="K13">
        <v>3.0826977117623402</v>
      </c>
      <c r="L13" t="s">
        <v>1239</v>
      </c>
      <c r="M13" t="str">
        <f>HYPERLINK("../../3.KEGG_map/SCI_III-vs-NC-Up/rno00280.html","rno00280")</f>
        <v>rno00280</v>
      </c>
    </row>
    <row r="14" spans="1:13" x14ac:dyDescent="0.25">
      <c r="A14" t="s">
        <v>89</v>
      </c>
      <c r="B14" t="s">
        <v>90</v>
      </c>
      <c r="C14" t="s">
        <v>15</v>
      </c>
      <c r="D14" t="s">
        <v>68</v>
      </c>
      <c r="E14">
        <v>3</v>
      </c>
      <c r="F14">
        <v>94</v>
      </c>
      <c r="G14">
        <v>48</v>
      </c>
      <c r="H14">
        <v>7679</v>
      </c>
      <c r="I14">
        <v>2.06559506226652E-2</v>
      </c>
      <c r="J14">
        <v>0.60179128488675704</v>
      </c>
      <c r="K14">
        <v>5.1057180851063801</v>
      </c>
      <c r="L14" t="s">
        <v>1240</v>
      </c>
      <c r="M14" t="str">
        <f>HYPERLINK("../../3.KEGG_map/SCI_III-vs-NC-Up/rno00330.html","rno00330")</f>
        <v>rno00330</v>
      </c>
    </row>
    <row r="15" spans="1:13" x14ac:dyDescent="0.25">
      <c r="A15" t="s">
        <v>92</v>
      </c>
      <c r="B15" t="s">
        <v>93</v>
      </c>
      <c r="C15" t="s">
        <v>15</v>
      </c>
      <c r="D15" t="s">
        <v>68</v>
      </c>
      <c r="E15">
        <v>1</v>
      </c>
      <c r="F15">
        <v>94</v>
      </c>
      <c r="G15">
        <v>23</v>
      </c>
      <c r="H15">
        <v>7679</v>
      </c>
      <c r="I15">
        <v>0.24700268439468101</v>
      </c>
      <c r="J15">
        <v>0.87243048518519695</v>
      </c>
      <c r="K15">
        <v>3.5518038852913998</v>
      </c>
      <c r="L15" t="s">
        <v>1241</v>
      </c>
      <c r="M15" t="str">
        <f>HYPERLINK("../../3.KEGG_map/SCI_III-vs-NC-Up/rno00340.html","rno00340")</f>
        <v>rno00340</v>
      </c>
    </row>
    <row r="16" spans="1:13" x14ac:dyDescent="0.25">
      <c r="A16" t="s">
        <v>95</v>
      </c>
      <c r="B16" t="s">
        <v>96</v>
      </c>
      <c r="C16" t="s">
        <v>15</v>
      </c>
      <c r="D16" t="s">
        <v>68</v>
      </c>
      <c r="E16">
        <v>1</v>
      </c>
      <c r="F16">
        <v>94</v>
      </c>
      <c r="G16">
        <v>38</v>
      </c>
      <c r="H16">
        <v>7679</v>
      </c>
      <c r="I16">
        <v>0.374480982125874</v>
      </c>
      <c r="J16">
        <v>0.89954508929035504</v>
      </c>
      <c r="K16">
        <v>2.1497760358342699</v>
      </c>
      <c r="L16" t="s">
        <v>1242</v>
      </c>
      <c r="M16" t="str">
        <f>HYPERLINK("../../3.KEGG_map/SCI_III-vs-NC-Up/rno00350.html","rno00350")</f>
        <v>rno00350</v>
      </c>
    </row>
    <row r="17" spans="1:13" x14ac:dyDescent="0.25">
      <c r="A17" t="s">
        <v>101</v>
      </c>
      <c r="B17" t="s">
        <v>102</v>
      </c>
      <c r="C17" t="s">
        <v>15</v>
      </c>
      <c r="D17" t="s">
        <v>68</v>
      </c>
      <c r="E17">
        <v>2</v>
      </c>
      <c r="F17">
        <v>94</v>
      </c>
      <c r="G17">
        <v>45</v>
      </c>
      <c r="H17">
        <v>7679</v>
      </c>
      <c r="I17">
        <v>0.104678292322665</v>
      </c>
      <c r="J17">
        <v>0.84622869751891505</v>
      </c>
      <c r="K17">
        <v>3.6307328605200899</v>
      </c>
      <c r="L17" t="s">
        <v>1243</v>
      </c>
      <c r="M17" t="str">
        <f>HYPERLINK("../../3.KEGG_map/SCI_III-vs-NC-Up/rno00380.html","rno00380")</f>
        <v>rno00380</v>
      </c>
    </row>
    <row r="18" spans="1:13" x14ac:dyDescent="0.25">
      <c r="A18" t="s">
        <v>117</v>
      </c>
      <c r="B18" t="s">
        <v>118</v>
      </c>
      <c r="C18" t="s">
        <v>15</v>
      </c>
      <c r="D18" t="s">
        <v>106</v>
      </c>
      <c r="E18">
        <v>1</v>
      </c>
      <c r="F18">
        <v>94</v>
      </c>
      <c r="G18">
        <v>58</v>
      </c>
      <c r="H18">
        <v>7679</v>
      </c>
      <c r="I18">
        <v>0.51181010266681704</v>
      </c>
      <c r="J18">
        <v>0.89954508929035504</v>
      </c>
      <c r="K18">
        <v>1.4084739545121101</v>
      </c>
      <c r="L18" t="s">
        <v>1244</v>
      </c>
      <c r="M18" t="str">
        <f>HYPERLINK("../../3.KEGG_map/SCI_III-vs-NC-Up/rno00480.html","rno00480")</f>
        <v>rno00480</v>
      </c>
    </row>
    <row r="19" spans="1:13" x14ac:dyDescent="0.25">
      <c r="A19" t="s">
        <v>120</v>
      </c>
      <c r="B19" t="s">
        <v>121</v>
      </c>
      <c r="C19" t="s">
        <v>15</v>
      </c>
      <c r="D19" t="s">
        <v>16</v>
      </c>
      <c r="E19">
        <v>1</v>
      </c>
      <c r="F19">
        <v>94</v>
      </c>
      <c r="G19">
        <v>29</v>
      </c>
      <c r="H19">
        <v>7679</v>
      </c>
      <c r="I19">
        <v>0.30081623515722999</v>
      </c>
      <c r="J19">
        <v>0.87243048518519695</v>
      </c>
      <c r="K19">
        <v>2.81694790902421</v>
      </c>
      <c r="L19" t="s">
        <v>1232</v>
      </c>
      <c r="M19" t="str">
        <f>HYPERLINK("../../3.KEGG_map/SCI_III-vs-NC-Up/rno00500.html","rno00500")</f>
        <v>rno00500</v>
      </c>
    </row>
    <row r="20" spans="1:13" x14ac:dyDescent="0.25">
      <c r="A20" t="s">
        <v>968</v>
      </c>
      <c r="B20" t="s">
        <v>969</v>
      </c>
      <c r="C20" t="s">
        <v>15</v>
      </c>
      <c r="D20" t="s">
        <v>125</v>
      </c>
      <c r="E20">
        <v>1</v>
      </c>
      <c r="F20">
        <v>94</v>
      </c>
      <c r="G20">
        <v>48</v>
      </c>
      <c r="H20">
        <v>7679</v>
      </c>
      <c r="I20">
        <v>0.447350046174327</v>
      </c>
      <c r="J20">
        <v>0.89954508929035504</v>
      </c>
      <c r="K20">
        <v>1.7019060283687899</v>
      </c>
      <c r="L20" t="s">
        <v>1245</v>
      </c>
      <c r="M20" t="str">
        <f>HYPERLINK("../../3.KEGG_map/SCI_III-vs-NC-Up/rno00510.html","rno00510")</f>
        <v>rno00510</v>
      </c>
    </row>
    <row r="21" spans="1:13" x14ac:dyDescent="0.25">
      <c r="A21" t="s">
        <v>130</v>
      </c>
      <c r="B21" t="s">
        <v>131</v>
      </c>
      <c r="C21" t="s">
        <v>15</v>
      </c>
      <c r="D21" t="s">
        <v>125</v>
      </c>
      <c r="E21">
        <v>1</v>
      </c>
      <c r="F21">
        <v>94</v>
      </c>
      <c r="G21">
        <v>23</v>
      </c>
      <c r="H21">
        <v>7679</v>
      </c>
      <c r="I21">
        <v>0.24700268439468101</v>
      </c>
      <c r="J21">
        <v>0.87243048518519695</v>
      </c>
      <c r="K21">
        <v>3.5518038852913998</v>
      </c>
      <c r="L21" t="s">
        <v>1245</v>
      </c>
      <c r="M21" t="str">
        <f>HYPERLINK("../../3.KEGG_map/SCI_III-vs-NC-Up/rno00515.html","rno00515")</f>
        <v>rno00515</v>
      </c>
    </row>
    <row r="22" spans="1:13" x14ac:dyDescent="0.25">
      <c r="A22" t="s">
        <v>133</v>
      </c>
      <c r="B22" t="s">
        <v>134</v>
      </c>
      <c r="C22" t="s">
        <v>15</v>
      </c>
      <c r="D22" t="s">
        <v>16</v>
      </c>
      <c r="E22">
        <v>1</v>
      </c>
      <c r="F22">
        <v>94</v>
      </c>
      <c r="G22">
        <v>47</v>
      </c>
      <c r="H22">
        <v>7679</v>
      </c>
      <c r="I22">
        <v>0.44045841767079602</v>
      </c>
      <c r="J22">
        <v>0.89954508929035504</v>
      </c>
      <c r="K22">
        <v>1.73811679492983</v>
      </c>
      <c r="L22" t="s">
        <v>1232</v>
      </c>
      <c r="M22" t="str">
        <f>HYPERLINK("../../3.KEGG_map/SCI_III-vs-NC-Up/rno00520.html","rno00520")</f>
        <v>rno00520</v>
      </c>
    </row>
    <row r="23" spans="1:13" x14ac:dyDescent="0.25">
      <c r="A23" t="s">
        <v>145</v>
      </c>
      <c r="B23" t="s">
        <v>146</v>
      </c>
      <c r="C23" t="s">
        <v>15</v>
      </c>
      <c r="D23" t="s">
        <v>38</v>
      </c>
      <c r="E23">
        <v>1</v>
      </c>
      <c r="F23">
        <v>94</v>
      </c>
      <c r="G23">
        <v>61</v>
      </c>
      <c r="H23">
        <v>7679</v>
      </c>
      <c r="I23">
        <v>0.52965501738159304</v>
      </c>
      <c r="J23">
        <v>0.89954508929035504</v>
      </c>
      <c r="K23">
        <v>1.3392047436344601</v>
      </c>
      <c r="L23" t="s">
        <v>1246</v>
      </c>
      <c r="M23" t="str">
        <f>HYPERLINK("../../3.KEGG_map/SCI_III-vs-NC-Up/rno00561.html","rno00561")</f>
        <v>rno00561</v>
      </c>
    </row>
    <row r="24" spans="1:13" x14ac:dyDescent="0.25">
      <c r="A24" t="s">
        <v>151</v>
      </c>
      <c r="B24" t="s">
        <v>152</v>
      </c>
      <c r="C24" t="s">
        <v>15</v>
      </c>
      <c r="D24" t="s">
        <v>38</v>
      </c>
      <c r="E24">
        <v>1</v>
      </c>
      <c r="F24">
        <v>94</v>
      </c>
      <c r="G24">
        <v>96</v>
      </c>
      <c r="H24">
        <v>7679</v>
      </c>
      <c r="I24">
        <v>0.69572582460438703</v>
      </c>
      <c r="J24">
        <v>0.89954508929035504</v>
      </c>
      <c r="K24">
        <v>0.85095301418439695</v>
      </c>
      <c r="L24" t="s">
        <v>1246</v>
      </c>
      <c r="M24" t="str">
        <f>HYPERLINK("../../3.KEGG_map/SCI_III-vs-NC-Up/rno00564.html","rno00564")</f>
        <v>rno00564</v>
      </c>
    </row>
    <row r="25" spans="1:13" x14ac:dyDescent="0.25">
      <c r="A25" t="s">
        <v>154</v>
      </c>
      <c r="B25" t="s">
        <v>155</v>
      </c>
      <c r="C25" t="s">
        <v>15</v>
      </c>
      <c r="D25" t="s">
        <v>38</v>
      </c>
      <c r="E25">
        <v>2</v>
      </c>
      <c r="F25">
        <v>94</v>
      </c>
      <c r="G25">
        <v>45</v>
      </c>
      <c r="H25">
        <v>7679</v>
      </c>
      <c r="I25">
        <v>0.104678292322665</v>
      </c>
      <c r="J25">
        <v>0.84622869751891505</v>
      </c>
      <c r="K25">
        <v>3.6307328605200899</v>
      </c>
      <c r="L25" t="s">
        <v>1247</v>
      </c>
      <c r="M25" t="str">
        <f>HYPERLINK("../../3.KEGG_map/SCI_III-vs-NC-Up/rno00565.html","rno00565")</f>
        <v>rno00565</v>
      </c>
    </row>
    <row r="26" spans="1:13" x14ac:dyDescent="0.25">
      <c r="A26" t="s">
        <v>163</v>
      </c>
      <c r="B26" t="s">
        <v>164</v>
      </c>
      <c r="C26" t="s">
        <v>15</v>
      </c>
      <c r="D26" t="s">
        <v>38</v>
      </c>
      <c r="E26">
        <v>1</v>
      </c>
      <c r="F26">
        <v>94</v>
      </c>
      <c r="G26">
        <v>23</v>
      </c>
      <c r="H26">
        <v>7679</v>
      </c>
      <c r="I26">
        <v>0.24700268439468101</v>
      </c>
      <c r="J26">
        <v>0.87243048518519695</v>
      </c>
      <c r="K26">
        <v>3.5518038852913998</v>
      </c>
      <c r="L26" t="s">
        <v>1248</v>
      </c>
      <c r="M26" t="str">
        <f>HYPERLINK("../../3.KEGG_map/SCI_III-vs-NC-Up/rno00592.html","rno00592")</f>
        <v>rno00592</v>
      </c>
    </row>
    <row r="27" spans="1:13" x14ac:dyDescent="0.25">
      <c r="A27" t="s">
        <v>166</v>
      </c>
      <c r="B27" t="s">
        <v>167</v>
      </c>
      <c r="C27" t="s">
        <v>15</v>
      </c>
      <c r="D27" t="s">
        <v>38</v>
      </c>
      <c r="E27">
        <v>1</v>
      </c>
      <c r="F27">
        <v>94</v>
      </c>
      <c r="G27">
        <v>49</v>
      </c>
      <c r="H27">
        <v>7679</v>
      </c>
      <c r="I27">
        <v>0.45415768549546598</v>
      </c>
      <c r="J27">
        <v>0.89954508929035504</v>
      </c>
      <c r="K27">
        <v>1.6671732522796401</v>
      </c>
      <c r="L27" t="s">
        <v>1249</v>
      </c>
      <c r="M27" t="str">
        <f>HYPERLINK("../../3.KEGG_map/SCI_III-vs-NC-Up/rno00600.html","rno00600")</f>
        <v>rno00600</v>
      </c>
    </row>
    <row r="28" spans="1:13" x14ac:dyDescent="0.25">
      <c r="A28" t="s">
        <v>190</v>
      </c>
      <c r="B28" t="s">
        <v>191</v>
      </c>
      <c r="C28" t="s">
        <v>15</v>
      </c>
      <c r="D28" t="s">
        <v>57</v>
      </c>
      <c r="E28">
        <v>1</v>
      </c>
      <c r="F28">
        <v>94</v>
      </c>
      <c r="G28">
        <v>10</v>
      </c>
      <c r="H28">
        <v>7679</v>
      </c>
      <c r="I28">
        <v>0.115948411305275</v>
      </c>
      <c r="J28">
        <v>0.84622869751891505</v>
      </c>
      <c r="K28">
        <v>8.1691489361702097</v>
      </c>
      <c r="L28" t="s">
        <v>1242</v>
      </c>
      <c r="M28" t="str">
        <f>HYPERLINK("../../3.KEGG_map/SCI_III-vs-NC-Up/rno00750.html","rno00750")</f>
        <v>rno00750</v>
      </c>
    </row>
    <row r="29" spans="1:13" x14ac:dyDescent="0.25">
      <c r="A29" t="s">
        <v>193</v>
      </c>
      <c r="B29" t="s">
        <v>194</v>
      </c>
      <c r="C29" t="s">
        <v>15</v>
      </c>
      <c r="D29" t="s">
        <v>57</v>
      </c>
      <c r="E29">
        <v>1</v>
      </c>
      <c r="F29">
        <v>94</v>
      </c>
      <c r="G29">
        <v>32</v>
      </c>
      <c r="H29">
        <v>7679</v>
      </c>
      <c r="I29">
        <v>0.32627795468399601</v>
      </c>
      <c r="J29">
        <v>0.87243048518519695</v>
      </c>
      <c r="K29">
        <v>2.5528590425531901</v>
      </c>
      <c r="L29" t="s">
        <v>1242</v>
      </c>
      <c r="M29" t="str">
        <f>HYPERLINK("../../3.KEGG_map/SCI_III-vs-NC-Up/rno00760.html","rno00760")</f>
        <v>rno00760</v>
      </c>
    </row>
    <row r="30" spans="1:13" x14ac:dyDescent="0.25">
      <c r="A30" t="s">
        <v>202</v>
      </c>
      <c r="B30" t="s">
        <v>203</v>
      </c>
      <c r="C30" t="s">
        <v>15</v>
      </c>
      <c r="D30" t="s">
        <v>57</v>
      </c>
      <c r="E30">
        <v>3</v>
      </c>
      <c r="F30">
        <v>94</v>
      </c>
      <c r="G30">
        <v>80</v>
      </c>
      <c r="H30">
        <v>7679</v>
      </c>
      <c r="I30">
        <v>7.4423688889402401E-2</v>
      </c>
      <c r="J30">
        <v>0.84622869751891505</v>
      </c>
      <c r="K30">
        <v>3.06343085106383</v>
      </c>
      <c r="L30" t="s">
        <v>1250</v>
      </c>
      <c r="M30" t="str">
        <f>HYPERLINK("../../3.KEGG_map/SCI_III-vs-NC-Up/rno00830.html","rno00830")</f>
        <v>rno00830</v>
      </c>
    </row>
    <row r="31" spans="1:13" x14ac:dyDescent="0.25">
      <c r="A31" t="s">
        <v>205</v>
      </c>
      <c r="B31" t="s">
        <v>206</v>
      </c>
      <c r="C31" t="s">
        <v>15</v>
      </c>
      <c r="D31" t="s">
        <v>57</v>
      </c>
      <c r="E31">
        <v>1</v>
      </c>
      <c r="F31">
        <v>94</v>
      </c>
      <c r="G31">
        <v>40</v>
      </c>
      <c r="H31">
        <v>7679</v>
      </c>
      <c r="I31">
        <v>0.389777648917567</v>
      </c>
      <c r="J31">
        <v>0.89954508929035504</v>
      </c>
      <c r="K31">
        <v>2.0422872340425502</v>
      </c>
      <c r="L31" t="s">
        <v>1233</v>
      </c>
      <c r="M31" t="str">
        <f>HYPERLINK("../../3.KEGG_map/SCI_III-vs-NC-Up/rno00860.html","rno00860")</f>
        <v>rno00860</v>
      </c>
    </row>
    <row r="32" spans="1:13" x14ac:dyDescent="0.25">
      <c r="A32" t="s">
        <v>223</v>
      </c>
      <c r="B32" t="s">
        <v>224</v>
      </c>
      <c r="C32" t="s">
        <v>15</v>
      </c>
      <c r="D32" t="s">
        <v>225</v>
      </c>
      <c r="E32">
        <v>2</v>
      </c>
      <c r="F32">
        <v>94</v>
      </c>
      <c r="G32">
        <v>64</v>
      </c>
      <c r="H32">
        <v>7679</v>
      </c>
      <c r="I32">
        <v>0.18443418312541701</v>
      </c>
      <c r="J32">
        <v>0.87243048518519695</v>
      </c>
      <c r="K32">
        <v>2.5528590425531901</v>
      </c>
      <c r="L32" t="s">
        <v>1251</v>
      </c>
      <c r="M32" t="str">
        <f>HYPERLINK("../../3.KEGG_map/SCI_III-vs-NC-Up/rno00980.html","rno00980")</f>
        <v>rno00980</v>
      </c>
    </row>
    <row r="33" spans="1:13" x14ac:dyDescent="0.25">
      <c r="A33" t="s">
        <v>227</v>
      </c>
      <c r="B33" t="s">
        <v>228</v>
      </c>
      <c r="C33" t="s">
        <v>15</v>
      </c>
      <c r="D33" t="s">
        <v>225</v>
      </c>
      <c r="E33">
        <v>2</v>
      </c>
      <c r="F33">
        <v>94</v>
      </c>
      <c r="G33">
        <v>65</v>
      </c>
      <c r="H33">
        <v>7679</v>
      </c>
      <c r="I33">
        <v>0.18886032543665399</v>
      </c>
      <c r="J33">
        <v>0.87243048518519695</v>
      </c>
      <c r="K33">
        <v>2.5135842880523702</v>
      </c>
      <c r="L33" t="s">
        <v>1252</v>
      </c>
      <c r="M33" t="str">
        <f>HYPERLINK("../../3.KEGG_map/SCI_III-vs-NC-Up/rno00982.html","rno00982")</f>
        <v>rno00982</v>
      </c>
    </row>
    <row r="34" spans="1:13" x14ac:dyDescent="0.25">
      <c r="A34" t="s">
        <v>230</v>
      </c>
      <c r="B34" t="s">
        <v>231</v>
      </c>
      <c r="C34" t="s">
        <v>15</v>
      </c>
      <c r="D34" t="s">
        <v>225</v>
      </c>
      <c r="E34">
        <v>3</v>
      </c>
      <c r="F34">
        <v>94</v>
      </c>
      <c r="G34">
        <v>83</v>
      </c>
      <c r="H34">
        <v>7679</v>
      </c>
      <c r="I34">
        <v>8.1122881530117999E-2</v>
      </c>
      <c r="J34">
        <v>0.84622869751891505</v>
      </c>
      <c r="K34">
        <v>2.95270443476032</v>
      </c>
      <c r="L34" t="s">
        <v>1253</v>
      </c>
      <c r="M34" t="str">
        <f>HYPERLINK("../../3.KEGG_map/SCI_III-vs-NC-Up/rno00983.html","rno00983")</f>
        <v>rno00983</v>
      </c>
    </row>
    <row r="35" spans="1:13" x14ac:dyDescent="0.25">
      <c r="A35" t="s">
        <v>1254</v>
      </c>
      <c r="B35" t="s">
        <v>1255</v>
      </c>
      <c r="C35" t="s">
        <v>15</v>
      </c>
      <c r="D35" t="s">
        <v>38</v>
      </c>
      <c r="E35">
        <v>1</v>
      </c>
      <c r="F35">
        <v>94</v>
      </c>
      <c r="G35">
        <v>26</v>
      </c>
      <c r="H35">
        <v>7679</v>
      </c>
      <c r="I35">
        <v>0.27440286899355099</v>
      </c>
      <c r="J35">
        <v>0.87243048518519695</v>
      </c>
      <c r="K35">
        <v>3.1419803600654701</v>
      </c>
      <c r="L35" t="s">
        <v>1248</v>
      </c>
      <c r="M35" t="str">
        <f>HYPERLINK("../../3.KEGG_map/SCI_III-vs-NC-Up/rno01040.html","rno01040")</f>
        <v>rno01040</v>
      </c>
    </row>
    <row r="36" spans="1:13" x14ac:dyDescent="0.25">
      <c r="A36" t="s">
        <v>247</v>
      </c>
      <c r="B36" t="s">
        <v>248</v>
      </c>
      <c r="C36" t="s">
        <v>249</v>
      </c>
      <c r="D36" t="s">
        <v>250</v>
      </c>
      <c r="E36">
        <v>2</v>
      </c>
      <c r="F36">
        <v>94</v>
      </c>
      <c r="G36">
        <v>47</v>
      </c>
      <c r="H36">
        <v>7679</v>
      </c>
      <c r="I36">
        <v>0.11255621436393499</v>
      </c>
      <c r="J36">
        <v>0.84622869751891505</v>
      </c>
      <c r="K36">
        <v>3.4762335898596599</v>
      </c>
      <c r="L36" t="s">
        <v>1256</v>
      </c>
      <c r="M36" t="str">
        <f>HYPERLINK("../../3.KEGG_map/SCI_III-vs-NC-Up/rno02010.html","rno02010")</f>
        <v>rno02010</v>
      </c>
    </row>
    <row r="37" spans="1:13" x14ac:dyDescent="0.25">
      <c r="A37" t="s">
        <v>265</v>
      </c>
      <c r="B37" t="s">
        <v>266</v>
      </c>
      <c r="C37" t="s">
        <v>220</v>
      </c>
      <c r="D37" t="s">
        <v>267</v>
      </c>
      <c r="E37">
        <v>1</v>
      </c>
      <c r="F37">
        <v>94</v>
      </c>
      <c r="G37">
        <v>28</v>
      </c>
      <c r="H37">
        <v>7679</v>
      </c>
      <c r="I37">
        <v>0.29211922921635097</v>
      </c>
      <c r="J37">
        <v>0.87243048518519695</v>
      </c>
      <c r="K37">
        <v>2.9175531914893602</v>
      </c>
      <c r="L37" t="s">
        <v>1017</v>
      </c>
      <c r="M37" t="str">
        <f>HYPERLINK("../../3.KEGG_map/SCI_III-vs-NC-Up/rno03020.html","rno03020")</f>
        <v>rno03020</v>
      </c>
    </row>
    <row r="38" spans="1:13" x14ac:dyDescent="0.25">
      <c r="A38" t="s">
        <v>279</v>
      </c>
      <c r="B38" t="s">
        <v>280</v>
      </c>
      <c r="C38" t="s">
        <v>281</v>
      </c>
      <c r="D38" t="s">
        <v>282</v>
      </c>
      <c r="E38">
        <v>2</v>
      </c>
      <c r="F38">
        <v>94</v>
      </c>
      <c r="G38">
        <v>79</v>
      </c>
      <c r="H38">
        <v>7679</v>
      </c>
      <c r="I38">
        <v>0.25195321831885198</v>
      </c>
      <c r="J38">
        <v>0.87243048518519695</v>
      </c>
      <c r="K38">
        <v>2.0681389711823299</v>
      </c>
      <c r="L38" t="s">
        <v>1235</v>
      </c>
      <c r="M38" t="str">
        <f>HYPERLINK("../../3.KEGG_map/SCI_III-vs-NC-Up/rno03320.html","rno03320")</f>
        <v>rno03320</v>
      </c>
    </row>
    <row r="39" spans="1:13" x14ac:dyDescent="0.25">
      <c r="A39" t="s">
        <v>302</v>
      </c>
      <c r="B39" t="s">
        <v>303</v>
      </c>
      <c r="C39" t="s">
        <v>249</v>
      </c>
      <c r="D39" t="s">
        <v>304</v>
      </c>
      <c r="E39">
        <v>6</v>
      </c>
      <c r="F39">
        <v>94</v>
      </c>
      <c r="G39">
        <v>288</v>
      </c>
      <c r="H39">
        <v>7679</v>
      </c>
      <c r="I39">
        <v>0.14071623316995399</v>
      </c>
      <c r="J39">
        <v>0.87243048518519695</v>
      </c>
      <c r="K39">
        <v>1.7019060283687899</v>
      </c>
      <c r="L39" t="s">
        <v>1257</v>
      </c>
      <c r="M39" t="str">
        <f>HYPERLINK("../../3.KEGG_map/SCI_III-vs-NC-Up/rno04010.html","rno04010")</f>
        <v>rno04010</v>
      </c>
    </row>
    <row r="40" spans="1:13" x14ac:dyDescent="0.25">
      <c r="A40" t="s">
        <v>309</v>
      </c>
      <c r="B40" t="s">
        <v>310</v>
      </c>
      <c r="C40" t="s">
        <v>249</v>
      </c>
      <c r="D40" t="s">
        <v>304</v>
      </c>
      <c r="E40">
        <v>3</v>
      </c>
      <c r="F40">
        <v>94</v>
      </c>
      <c r="G40">
        <v>227</v>
      </c>
      <c r="H40">
        <v>7679</v>
      </c>
      <c r="I40">
        <v>0.52939290578788301</v>
      </c>
      <c r="J40">
        <v>0.89954508929035504</v>
      </c>
      <c r="K40">
        <v>1.07962320742338</v>
      </c>
      <c r="L40" t="s">
        <v>1258</v>
      </c>
      <c r="M40" t="str">
        <f>HYPERLINK("../../3.KEGG_map/SCI_III-vs-NC-Up/rno04014.html","rno04014")</f>
        <v>rno04014</v>
      </c>
    </row>
    <row r="41" spans="1:13" x14ac:dyDescent="0.25">
      <c r="A41" t="s">
        <v>312</v>
      </c>
      <c r="B41" t="s">
        <v>313</v>
      </c>
      <c r="C41" t="s">
        <v>249</v>
      </c>
      <c r="D41" t="s">
        <v>304</v>
      </c>
      <c r="E41">
        <v>2</v>
      </c>
      <c r="F41">
        <v>94</v>
      </c>
      <c r="G41">
        <v>205</v>
      </c>
      <c r="H41">
        <v>7679</v>
      </c>
      <c r="I41">
        <v>0.72067260420146895</v>
      </c>
      <c r="J41">
        <v>0.89954508929035504</v>
      </c>
      <c r="K41">
        <v>0.79699014011416702</v>
      </c>
      <c r="L41" t="s">
        <v>1259</v>
      </c>
      <c r="M41" t="str">
        <f>HYPERLINK("../../3.KEGG_map/SCI_III-vs-NC-Up/rno04015.html","rno04015")</f>
        <v>rno04015</v>
      </c>
    </row>
    <row r="42" spans="1:13" x14ac:dyDescent="0.25">
      <c r="A42" t="s">
        <v>315</v>
      </c>
      <c r="B42" t="s">
        <v>316</v>
      </c>
      <c r="C42" t="s">
        <v>249</v>
      </c>
      <c r="D42" t="s">
        <v>304</v>
      </c>
      <c r="E42">
        <v>4</v>
      </c>
      <c r="F42">
        <v>94</v>
      </c>
      <c r="G42">
        <v>182</v>
      </c>
      <c r="H42">
        <v>7679</v>
      </c>
      <c r="I42">
        <v>0.183315592140118</v>
      </c>
      <c r="J42">
        <v>0.87243048518519695</v>
      </c>
      <c r="K42">
        <v>1.7954173486088401</v>
      </c>
      <c r="L42" t="s">
        <v>1260</v>
      </c>
      <c r="M42" t="str">
        <f>HYPERLINK("../../3.KEGG_map/SCI_III-vs-NC-Up/rno04020.html","rno04020")</f>
        <v>rno04020</v>
      </c>
    </row>
    <row r="43" spans="1:13" x14ac:dyDescent="0.25">
      <c r="A43" t="s">
        <v>318</v>
      </c>
      <c r="B43" t="s">
        <v>319</v>
      </c>
      <c r="C43" t="s">
        <v>249</v>
      </c>
      <c r="D43" t="s">
        <v>304</v>
      </c>
      <c r="E43">
        <v>2</v>
      </c>
      <c r="F43">
        <v>94</v>
      </c>
      <c r="G43">
        <v>164</v>
      </c>
      <c r="H43">
        <v>7679</v>
      </c>
      <c r="I43">
        <v>0.60062261756725799</v>
      </c>
      <c r="J43">
        <v>0.89954508929035504</v>
      </c>
      <c r="K43">
        <v>0.996237675142709</v>
      </c>
      <c r="L43" t="s">
        <v>1261</v>
      </c>
      <c r="M43" t="str">
        <f>HYPERLINK("../../3.KEGG_map/SCI_III-vs-NC-Up/rno04022.html","rno04022")</f>
        <v>rno04022</v>
      </c>
    </row>
    <row r="44" spans="1:13" x14ac:dyDescent="0.25">
      <c r="A44" t="s">
        <v>321</v>
      </c>
      <c r="B44" t="s">
        <v>322</v>
      </c>
      <c r="C44" t="s">
        <v>249</v>
      </c>
      <c r="D44" t="s">
        <v>304</v>
      </c>
      <c r="E44">
        <v>5</v>
      </c>
      <c r="F44">
        <v>94</v>
      </c>
      <c r="G44">
        <v>194</v>
      </c>
      <c r="H44">
        <v>7679</v>
      </c>
      <c r="I44">
        <v>8.8914457154006005E-2</v>
      </c>
      <c r="J44">
        <v>0.84622869751891505</v>
      </c>
      <c r="K44">
        <v>2.1054507567448999</v>
      </c>
      <c r="L44" t="s">
        <v>1262</v>
      </c>
      <c r="M44" t="str">
        <f>HYPERLINK("../../3.KEGG_map/SCI_III-vs-NC-Up/rno04024.html","rno04024")</f>
        <v>rno04024</v>
      </c>
    </row>
    <row r="45" spans="1:13" x14ac:dyDescent="0.25">
      <c r="A45" t="s">
        <v>324</v>
      </c>
      <c r="B45" t="s">
        <v>325</v>
      </c>
      <c r="C45" t="s">
        <v>249</v>
      </c>
      <c r="D45" t="s">
        <v>326</v>
      </c>
      <c r="E45">
        <v>10</v>
      </c>
      <c r="F45">
        <v>94</v>
      </c>
      <c r="G45">
        <v>240</v>
      </c>
      <c r="H45">
        <v>7679</v>
      </c>
      <c r="I45">
        <v>6.6537142057761104E-4</v>
      </c>
      <c r="J45">
        <v>0.111782398657039</v>
      </c>
      <c r="K45">
        <v>3.40381205673759</v>
      </c>
      <c r="L45" t="s">
        <v>1263</v>
      </c>
      <c r="M45" t="str">
        <f>HYPERLINK("../../3.KEGG_map/SCI_III-vs-NC-Up/rno04060.html","rno04060")</f>
        <v>rno04060</v>
      </c>
    </row>
    <row r="46" spans="1:13" x14ac:dyDescent="0.25">
      <c r="A46" t="s">
        <v>328</v>
      </c>
      <c r="B46" t="s">
        <v>329</v>
      </c>
      <c r="C46" t="s">
        <v>281</v>
      </c>
      <c r="D46" t="s">
        <v>330</v>
      </c>
      <c r="E46">
        <v>4</v>
      </c>
      <c r="F46">
        <v>94</v>
      </c>
      <c r="G46">
        <v>172</v>
      </c>
      <c r="H46">
        <v>7679</v>
      </c>
      <c r="I46">
        <v>0.15937763325371301</v>
      </c>
      <c r="J46">
        <v>0.87243048518519695</v>
      </c>
      <c r="K46">
        <v>1.8998020781791201</v>
      </c>
      <c r="L46" t="s">
        <v>1264</v>
      </c>
      <c r="M46" t="str">
        <f>HYPERLINK("../../3.KEGG_map/SCI_III-vs-NC-Up/rno04062.html","rno04062")</f>
        <v>rno04062</v>
      </c>
    </row>
    <row r="47" spans="1:13" x14ac:dyDescent="0.25">
      <c r="A47" t="s">
        <v>332</v>
      </c>
      <c r="B47" t="s">
        <v>333</v>
      </c>
      <c r="C47" t="s">
        <v>249</v>
      </c>
      <c r="D47" t="s">
        <v>304</v>
      </c>
      <c r="E47">
        <v>1</v>
      </c>
      <c r="F47">
        <v>94</v>
      </c>
      <c r="G47">
        <v>89</v>
      </c>
      <c r="H47">
        <v>7679</v>
      </c>
      <c r="I47">
        <v>0.667978997103854</v>
      </c>
      <c r="J47">
        <v>0.89954508929035504</v>
      </c>
      <c r="K47">
        <v>0.917881902940473</v>
      </c>
      <c r="L47" t="s">
        <v>1265</v>
      </c>
      <c r="M47" t="str">
        <f>HYPERLINK("../../3.KEGG_map/SCI_III-vs-NC-Up/rno04064.html","rno04064")</f>
        <v>rno04064</v>
      </c>
    </row>
    <row r="48" spans="1:13" x14ac:dyDescent="0.25">
      <c r="A48" t="s">
        <v>335</v>
      </c>
      <c r="B48" t="s">
        <v>336</v>
      </c>
      <c r="C48" t="s">
        <v>249</v>
      </c>
      <c r="D48" t="s">
        <v>304</v>
      </c>
      <c r="E48">
        <v>2</v>
      </c>
      <c r="F48">
        <v>94</v>
      </c>
      <c r="G48">
        <v>99</v>
      </c>
      <c r="H48">
        <v>7679</v>
      </c>
      <c r="I48">
        <v>0.34259694838667798</v>
      </c>
      <c r="J48">
        <v>0.87243048518519695</v>
      </c>
      <c r="K48">
        <v>1.6503331184182199</v>
      </c>
      <c r="L48" t="s">
        <v>1266</v>
      </c>
      <c r="M48" t="str">
        <f>HYPERLINK("../../3.KEGG_map/SCI_III-vs-NC-Up/rno04066.html","rno04066")</f>
        <v>rno04066</v>
      </c>
    </row>
    <row r="49" spans="1:13" x14ac:dyDescent="0.25">
      <c r="A49" t="s">
        <v>344</v>
      </c>
      <c r="B49" t="s">
        <v>345</v>
      </c>
      <c r="C49" t="s">
        <v>249</v>
      </c>
      <c r="D49" t="s">
        <v>304</v>
      </c>
      <c r="E49">
        <v>3</v>
      </c>
      <c r="F49">
        <v>94</v>
      </c>
      <c r="G49">
        <v>119</v>
      </c>
      <c r="H49">
        <v>7679</v>
      </c>
      <c r="I49">
        <v>0.17844549716581801</v>
      </c>
      <c r="J49">
        <v>0.87243048518519695</v>
      </c>
      <c r="K49">
        <v>2.05944931163955</v>
      </c>
      <c r="L49" t="s">
        <v>1267</v>
      </c>
      <c r="M49" t="str">
        <f>HYPERLINK("../../3.KEGG_map/SCI_III-vs-NC-Up/rno04071.html","rno04071")</f>
        <v>rno04071</v>
      </c>
    </row>
    <row r="50" spans="1:13" x14ac:dyDescent="0.25">
      <c r="A50" t="s">
        <v>347</v>
      </c>
      <c r="B50" t="s">
        <v>348</v>
      </c>
      <c r="C50" t="s">
        <v>249</v>
      </c>
      <c r="D50" t="s">
        <v>304</v>
      </c>
      <c r="E50">
        <v>2</v>
      </c>
      <c r="F50">
        <v>94</v>
      </c>
      <c r="G50">
        <v>146</v>
      </c>
      <c r="H50">
        <v>7679</v>
      </c>
      <c r="I50">
        <v>0.537039267479266</v>
      </c>
      <c r="J50">
        <v>0.89954508929035504</v>
      </c>
      <c r="K50">
        <v>1.11906149810551</v>
      </c>
      <c r="L50" t="s">
        <v>1268</v>
      </c>
      <c r="M50" t="str">
        <f>HYPERLINK("../../3.KEGG_map/SCI_III-vs-NC-Up/rno04072.html","rno04072")</f>
        <v>rno04072</v>
      </c>
    </row>
    <row r="51" spans="1:13" x14ac:dyDescent="0.25">
      <c r="A51" t="s">
        <v>350</v>
      </c>
      <c r="B51" t="s">
        <v>351</v>
      </c>
      <c r="C51" t="s">
        <v>249</v>
      </c>
      <c r="D51" t="s">
        <v>326</v>
      </c>
      <c r="E51">
        <v>10</v>
      </c>
      <c r="F51">
        <v>94</v>
      </c>
      <c r="G51">
        <v>313</v>
      </c>
      <c r="H51">
        <v>7679</v>
      </c>
      <c r="I51">
        <v>4.7600185141175597E-3</v>
      </c>
      <c r="J51">
        <v>0.26656103679058302</v>
      </c>
      <c r="K51">
        <v>2.6099517367956002</v>
      </c>
      <c r="L51" t="s">
        <v>1269</v>
      </c>
      <c r="M51" t="str">
        <f>HYPERLINK("../../3.KEGG_map/SCI_III-vs-NC-Up/rno04080.html","rno04080")</f>
        <v>rno04080</v>
      </c>
    </row>
    <row r="52" spans="1:13" x14ac:dyDescent="0.25">
      <c r="A52" t="s">
        <v>353</v>
      </c>
      <c r="B52" t="s">
        <v>354</v>
      </c>
      <c r="C52" t="s">
        <v>355</v>
      </c>
      <c r="D52" t="s">
        <v>356</v>
      </c>
      <c r="E52">
        <v>1</v>
      </c>
      <c r="F52">
        <v>94</v>
      </c>
      <c r="G52">
        <v>123</v>
      </c>
      <c r="H52">
        <v>7679</v>
      </c>
      <c r="I52">
        <v>0.78285637001533204</v>
      </c>
      <c r="J52">
        <v>0.89954508929035504</v>
      </c>
      <c r="K52">
        <v>0.66415845009513896</v>
      </c>
      <c r="L52" t="s">
        <v>1270</v>
      </c>
      <c r="M52" t="str">
        <f>HYPERLINK("../../3.KEGG_map/SCI_III-vs-NC-Up/rno04110.html","rno04110")</f>
        <v>rno04110</v>
      </c>
    </row>
    <row r="53" spans="1:13" x14ac:dyDescent="0.25">
      <c r="A53" t="s">
        <v>358</v>
      </c>
      <c r="B53" t="s">
        <v>359</v>
      </c>
      <c r="C53" t="s">
        <v>355</v>
      </c>
      <c r="D53" t="s">
        <v>356</v>
      </c>
      <c r="E53">
        <v>1</v>
      </c>
      <c r="F53">
        <v>94</v>
      </c>
      <c r="G53">
        <v>112</v>
      </c>
      <c r="H53">
        <v>7679</v>
      </c>
      <c r="I53">
        <v>0.75082578113447795</v>
      </c>
      <c r="J53">
        <v>0.89954508929035504</v>
      </c>
      <c r="K53">
        <v>0.72938829787234005</v>
      </c>
      <c r="L53" t="s">
        <v>1271</v>
      </c>
      <c r="M53" t="str">
        <f>HYPERLINK("../../3.KEGG_map/SCI_III-vs-NC-Up/rno04114.html","rno04114")</f>
        <v>rno04114</v>
      </c>
    </row>
    <row r="54" spans="1:13" x14ac:dyDescent="0.25">
      <c r="A54" t="s">
        <v>361</v>
      </c>
      <c r="B54" t="s">
        <v>362</v>
      </c>
      <c r="C54" t="s">
        <v>355</v>
      </c>
      <c r="D54" t="s">
        <v>356</v>
      </c>
      <c r="E54">
        <v>1</v>
      </c>
      <c r="F54">
        <v>94</v>
      </c>
      <c r="G54">
        <v>66</v>
      </c>
      <c r="H54">
        <v>7679</v>
      </c>
      <c r="I54">
        <v>0.55797332026284097</v>
      </c>
      <c r="J54">
        <v>0.89954508929035504</v>
      </c>
      <c r="K54">
        <v>1.2377498388136701</v>
      </c>
      <c r="L54" t="s">
        <v>1272</v>
      </c>
      <c r="M54" t="str">
        <f>HYPERLINK("../../3.KEGG_map/SCI_III-vs-NC-Up/rno04115.html","rno04115")</f>
        <v>rno04115</v>
      </c>
    </row>
    <row r="55" spans="1:13" x14ac:dyDescent="0.25">
      <c r="A55" t="s">
        <v>380</v>
      </c>
      <c r="B55" t="s">
        <v>381</v>
      </c>
      <c r="C55" t="s">
        <v>355</v>
      </c>
      <c r="D55" t="s">
        <v>372</v>
      </c>
      <c r="E55">
        <v>1</v>
      </c>
      <c r="F55">
        <v>94</v>
      </c>
      <c r="G55">
        <v>125</v>
      </c>
      <c r="H55">
        <v>7679</v>
      </c>
      <c r="I55">
        <v>0.78822584359866299</v>
      </c>
      <c r="J55">
        <v>0.89954508929035504</v>
      </c>
      <c r="K55">
        <v>0.65353191489361695</v>
      </c>
      <c r="L55" t="s">
        <v>1273</v>
      </c>
      <c r="M55" t="str">
        <f>HYPERLINK("../../3.KEGG_map/SCI_III-vs-NC-Up/rno04142.html","rno04142")</f>
        <v>rno04142</v>
      </c>
    </row>
    <row r="56" spans="1:13" x14ac:dyDescent="0.25">
      <c r="A56" t="s">
        <v>383</v>
      </c>
      <c r="B56" t="s">
        <v>384</v>
      </c>
      <c r="C56" t="s">
        <v>355</v>
      </c>
      <c r="D56" t="s">
        <v>372</v>
      </c>
      <c r="E56">
        <v>2</v>
      </c>
      <c r="F56">
        <v>94</v>
      </c>
      <c r="G56">
        <v>256</v>
      </c>
      <c r="H56">
        <v>7679</v>
      </c>
      <c r="I56">
        <v>0.82662892678738897</v>
      </c>
      <c r="J56">
        <v>0.89954508929035504</v>
      </c>
      <c r="K56">
        <v>0.63821476063829796</v>
      </c>
      <c r="L56" t="s">
        <v>1274</v>
      </c>
      <c r="M56" t="str">
        <f>HYPERLINK("../../3.KEGG_map/SCI_III-vs-NC-Up/rno04144.html","rno04144")</f>
        <v>rno04144</v>
      </c>
    </row>
    <row r="57" spans="1:13" x14ac:dyDescent="0.25">
      <c r="A57" t="s">
        <v>386</v>
      </c>
      <c r="B57" t="s">
        <v>387</v>
      </c>
      <c r="C57" t="s">
        <v>355</v>
      </c>
      <c r="D57" t="s">
        <v>372</v>
      </c>
      <c r="E57">
        <v>3</v>
      </c>
      <c r="F57">
        <v>94</v>
      </c>
      <c r="G57">
        <v>169</v>
      </c>
      <c r="H57">
        <v>7679</v>
      </c>
      <c r="I57">
        <v>0.34220038109124401</v>
      </c>
      <c r="J57">
        <v>0.87243048518519695</v>
      </c>
      <c r="K57">
        <v>1.4501447815686801</v>
      </c>
      <c r="L57" t="s">
        <v>1275</v>
      </c>
      <c r="M57" t="str">
        <f>HYPERLINK("../../3.KEGG_map/SCI_III-vs-NC-Up/rno04145.html","rno04145")</f>
        <v>rno04145</v>
      </c>
    </row>
    <row r="58" spans="1:13" x14ac:dyDescent="0.25">
      <c r="A58" t="s">
        <v>389</v>
      </c>
      <c r="B58" t="s">
        <v>390</v>
      </c>
      <c r="C58" t="s">
        <v>355</v>
      </c>
      <c r="D58" t="s">
        <v>372</v>
      </c>
      <c r="E58">
        <v>1</v>
      </c>
      <c r="F58">
        <v>94</v>
      </c>
      <c r="G58">
        <v>81</v>
      </c>
      <c r="H58">
        <v>7679</v>
      </c>
      <c r="I58">
        <v>0.63319324116171805</v>
      </c>
      <c r="J58">
        <v>0.89954508929035504</v>
      </c>
      <c r="K58">
        <v>1.00853690570003</v>
      </c>
      <c r="L58" t="s">
        <v>1248</v>
      </c>
      <c r="M58" t="str">
        <f>HYPERLINK("../../3.KEGG_map/SCI_III-vs-NC-Up/rno04146.html","rno04146")</f>
        <v>rno04146</v>
      </c>
    </row>
    <row r="59" spans="1:13" x14ac:dyDescent="0.25">
      <c r="A59" t="s">
        <v>392</v>
      </c>
      <c r="B59" t="s">
        <v>393</v>
      </c>
      <c r="C59" t="s">
        <v>249</v>
      </c>
      <c r="D59" t="s">
        <v>304</v>
      </c>
      <c r="E59">
        <v>1</v>
      </c>
      <c r="F59">
        <v>94</v>
      </c>
      <c r="G59">
        <v>150</v>
      </c>
      <c r="H59">
        <v>7679</v>
      </c>
      <c r="I59">
        <v>0.84522481494470403</v>
      </c>
      <c r="J59">
        <v>0.89954508929035504</v>
      </c>
      <c r="K59">
        <v>0.54460992907801398</v>
      </c>
      <c r="L59" t="s">
        <v>1276</v>
      </c>
      <c r="M59" t="str">
        <f>HYPERLINK("../../3.KEGG_map/SCI_III-vs-NC-Up/rno04150.html","rno04150")</f>
        <v>rno04150</v>
      </c>
    </row>
    <row r="60" spans="1:13" x14ac:dyDescent="0.25">
      <c r="A60" t="s">
        <v>395</v>
      </c>
      <c r="B60" t="s">
        <v>396</v>
      </c>
      <c r="C60" t="s">
        <v>249</v>
      </c>
      <c r="D60" t="s">
        <v>304</v>
      </c>
      <c r="E60">
        <v>7</v>
      </c>
      <c r="F60">
        <v>94</v>
      </c>
      <c r="G60">
        <v>335</v>
      </c>
      <c r="H60">
        <v>7679</v>
      </c>
      <c r="I60">
        <v>0.11546588833218201</v>
      </c>
      <c r="J60">
        <v>0.84622869751891505</v>
      </c>
      <c r="K60">
        <v>1.70698634487139</v>
      </c>
      <c r="L60" t="s">
        <v>1277</v>
      </c>
      <c r="M60" t="str">
        <f>HYPERLINK("../../3.KEGG_map/SCI_III-vs-NC-Up/rno04151.html","rno04151")</f>
        <v>rno04151</v>
      </c>
    </row>
    <row r="61" spans="1:13" x14ac:dyDescent="0.25">
      <c r="A61" t="s">
        <v>417</v>
      </c>
      <c r="B61" t="s">
        <v>418</v>
      </c>
      <c r="C61" t="s">
        <v>355</v>
      </c>
      <c r="D61" t="s">
        <v>356</v>
      </c>
      <c r="E61">
        <v>1</v>
      </c>
      <c r="F61">
        <v>94</v>
      </c>
      <c r="G61">
        <v>145</v>
      </c>
      <c r="H61">
        <v>7679</v>
      </c>
      <c r="I61">
        <v>0.83519437919054895</v>
      </c>
      <c r="J61">
        <v>0.89954508929035504</v>
      </c>
      <c r="K61">
        <v>0.563389581804842</v>
      </c>
      <c r="L61" t="s">
        <v>1278</v>
      </c>
      <c r="M61" t="str">
        <f>HYPERLINK("../../3.KEGG_map/SCI_III-vs-NC-Up/rno04217.html","rno04217")</f>
        <v>rno04217</v>
      </c>
    </row>
    <row r="62" spans="1:13" x14ac:dyDescent="0.25">
      <c r="A62" t="s">
        <v>420</v>
      </c>
      <c r="B62" t="s">
        <v>421</v>
      </c>
      <c r="C62" t="s">
        <v>355</v>
      </c>
      <c r="D62" t="s">
        <v>356</v>
      </c>
      <c r="E62">
        <v>1</v>
      </c>
      <c r="F62">
        <v>94</v>
      </c>
      <c r="G62">
        <v>173</v>
      </c>
      <c r="H62">
        <v>7679</v>
      </c>
      <c r="I62">
        <v>0.88411666239179898</v>
      </c>
      <c r="J62">
        <v>0.90019151079892201</v>
      </c>
      <c r="K62">
        <v>0.47220514081908699</v>
      </c>
      <c r="L62" t="s">
        <v>1278</v>
      </c>
      <c r="M62" t="str">
        <f>HYPERLINK("../../3.KEGG_map/SCI_III-vs-NC-Up/rno04218.html","rno04218")</f>
        <v>rno04218</v>
      </c>
    </row>
    <row r="63" spans="1:13" x14ac:dyDescent="0.25">
      <c r="A63" t="s">
        <v>423</v>
      </c>
      <c r="B63" t="s">
        <v>424</v>
      </c>
      <c r="C63" t="s">
        <v>281</v>
      </c>
      <c r="D63" t="s">
        <v>425</v>
      </c>
      <c r="E63">
        <v>2</v>
      </c>
      <c r="F63">
        <v>94</v>
      </c>
      <c r="G63">
        <v>75</v>
      </c>
      <c r="H63">
        <v>7679</v>
      </c>
      <c r="I63">
        <v>0.23377816340115501</v>
      </c>
      <c r="J63">
        <v>0.87243048518519695</v>
      </c>
      <c r="K63">
        <v>2.1784397163120599</v>
      </c>
      <c r="L63" t="s">
        <v>1279</v>
      </c>
      <c r="M63" t="str">
        <f>HYPERLINK("../../3.KEGG_map/SCI_III-vs-NC-Up/rno04260.html","rno04260")</f>
        <v>rno04260</v>
      </c>
    </row>
    <row r="64" spans="1:13" x14ac:dyDescent="0.25">
      <c r="A64" t="s">
        <v>427</v>
      </c>
      <c r="B64" t="s">
        <v>428</v>
      </c>
      <c r="C64" t="s">
        <v>281</v>
      </c>
      <c r="D64" t="s">
        <v>425</v>
      </c>
      <c r="E64">
        <v>3</v>
      </c>
      <c r="F64">
        <v>94</v>
      </c>
      <c r="G64">
        <v>143</v>
      </c>
      <c r="H64">
        <v>7679</v>
      </c>
      <c r="I64">
        <v>0.255076355728588</v>
      </c>
      <c r="J64">
        <v>0.87243048518519695</v>
      </c>
      <c r="K64">
        <v>1.7138074691266201</v>
      </c>
      <c r="L64" t="s">
        <v>1280</v>
      </c>
      <c r="M64" t="str">
        <f>HYPERLINK("../../3.KEGG_map/SCI_III-vs-NC-Up/rno04261.html","rno04261")</f>
        <v>rno04261</v>
      </c>
    </row>
    <row r="65" spans="1:13" x14ac:dyDescent="0.25">
      <c r="A65" t="s">
        <v>430</v>
      </c>
      <c r="B65" t="s">
        <v>431</v>
      </c>
      <c r="C65" t="s">
        <v>281</v>
      </c>
      <c r="D65" t="s">
        <v>425</v>
      </c>
      <c r="E65">
        <v>1</v>
      </c>
      <c r="F65">
        <v>94</v>
      </c>
      <c r="G65">
        <v>130</v>
      </c>
      <c r="H65">
        <v>7679</v>
      </c>
      <c r="I65">
        <v>0.80108160421575703</v>
      </c>
      <c r="J65">
        <v>0.89954508929035504</v>
      </c>
      <c r="K65">
        <v>0.628396072013093</v>
      </c>
      <c r="L65" t="s">
        <v>1281</v>
      </c>
      <c r="M65" t="str">
        <f>HYPERLINK("../../3.KEGG_map/SCI_III-vs-NC-Up/rno04270.html","rno04270")</f>
        <v>rno04270</v>
      </c>
    </row>
    <row r="66" spans="1:13" x14ac:dyDescent="0.25">
      <c r="A66" t="s">
        <v>433</v>
      </c>
      <c r="B66" t="s">
        <v>434</v>
      </c>
      <c r="C66" t="s">
        <v>249</v>
      </c>
      <c r="D66" t="s">
        <v>304</v>
      </c>
      <c r="E66">
        <v>1</v>
      </c>
      <c r="F66">
        <v>94</v>
      </c>
      <c r="G66">
        <v>143</v>
      </c>
      <c r="H66">
        <v>7679</v>
      </c>
      <c r="I66">
        <v>0.83100447846819003</v>
      </c>
      <c r="J66">
        <v>0.89954508929035504</v>
      </c>
      <c r="K66">
        <v>0.57126915637553899</v>
      </c>
      <c r="L66" t="s">
        <v>1276</v>
      </c>
      <c r="M66" t="str">
        <f>HYPERLINK("../../3.KEGG_map/SCI_III-vs-NC-Up/rno04310.html","rno04310")</f>
        <v>rno04310</v>
      </c>
    </row>
    <row r="67" spans="1:13" x14ac:dyDescent="0.25">
      <c r="A67" t="s">
        <v>436</v>
      </c>
      <c r="B67" t="s">
        <v>437</v>
      </c>
      <c r="C67" t="s">
        <v>249</v>
      </c>
      <c r="D67" t="s">
        <v>304</v>
      </c>
      <c r="E67">
        <v>3</v>
      </c>
      <c r="F67">
        <v>94</v>
      </c>
      <c r="G67">
        <v>84</v>
      </c>
      <c r="H67">
        <v>7679</v>
      </c>
      <c r="I67">
        <v>8.3412544372893194E-2</v>
      </c>
      <c r="J67">
        <v>0.84622869751891505</v>
      </c>
      <c r="K67">
        <v>2.9175531914893602</v>
      </c>
      <c r="L67" t="s">
        <v>1282</v>
      </c>
      <c r="M67" t="str">
        <f>HYPERLINK("../../3.KEGG_map/SCI_III-vs-NC-Up/rno04350.html","rno04350")</f>
        <v>rno04350</v>
      </c>
    </row>
    <row r="68" spans="1:13" x14ac:dyDescent="0.25">
      <c r="A68" t="s">
        <v>439</v>
      </c>
      <c r="B68" t="s">
        <v>440</v>
      </c>
      <c r="C68" t="s">
        <v>281</v>
      </c>
      <c r="D68" t="s">
        <v>441</v>
      </c>
      <c r="E68">
        <v>3</v>
      </c>
      <c r="F68">
        <v>94</v>
      </c>
      <c r="G68">
        <v>175</v>
      </c>
      <c r="H68">
        <v>7679</v>
      </c>
      <c r="I68">
        <v>0.36238292408580602</v>
      </c>
      <c r="J68">
        <v>0.89954508929035504</v>
      </c>
      <c r="K68">
        <v>1.4004255319148899</v>
      </c>
      <c r="L68" t="s">
        <v>1283</v>
      </c>
      <c r="M68" t="str">
        <f>HYPERLINK("../../3.KEGG_map/SCI_III-vs-NC-Up/rno04360.html","rno04360")</f>
        <v>rno04360</v>
      </c>
    </row>
    <row r="69" spans="1:13" x14ac:dyDescent="0.25">
      <c r="A69" t="s">
        <v>446</v>
      </c>
      <c r="B69" t="s">
        <v>447</v>
      </c>
      <c r="C69" t="s">
        <v>249</v>
      </c>
      <c r="D69" t="s">
        <v>304</v>
      </c>
      <c r="E69">
        <v>1</v>
      </c>
      <c r="F69">
        <v>94</v>
      </c>
      <c r="G69">
        <v>134</v>
      </c>
      <c r="H69">
        <v>7679</v>
      </c>
      <c r="I69">
        <v>0.810807688180195</v>
      </c>
      <c r="J69">
        <v>0.89954508929035504</v>
      </c>
      <c r="K69">
        <v>0.60963798031120997</v>
      </c>
      <c r="L69" t="s">
        <v>1284</v>
      </c>
      <c r="M69" t="str">
        <f>HYPERLINK("../../3.KEGG_map/SCI_III-vs-NC-Up/rno04371.html","rno04371")</f>
        <v>rno04371</v>
      </c>
    </row>
    <row r="70" spans="1:13" x14ac:dyDescent="0.25">
      <c r="A70" t="s">
        <v>449</v>
      </c>
      <c r="B70" t="s">
        <v>450</v>
      </c>
      <c r="C70" t="s">
        <v>281</v>
      </c>
      <c r="D70" t="s">
        <v>441</v>
      </c>
      <c r="E70">
        <v>2</v>
      </c>
      <c r="F70">
        <v>94</v>
      </c>
      <c r="G70">
        <v>122</v>
      </c>
      <c r="H70">
        <v>7679</v>
      </c>
      <c r="I70">
        <v>0.44229063228385201</v>
      </c>
      <c r="J70">
        <v>0.89954508929035504</v>
      </c>
      <c r="K70">
        <v>1.3392047436344601</v>
      </c>
      <c r="L70" t="s">
        <v>1285</v>
      </c>
      <c r="M70" t="str">
        <f>HYPERLINK("../../3.KEGG_map/SCI_III-vs-NC-Up/rno04380.html","rno04380")</f>
        <v>rno04380</v>
      </c>
    </row>
    <row r="71" spans="1:13" x14ac:dyDescent="0.25">
      <c r="A71" t="s">
        <v>452</v>
      </c>
      <c r="B71" t="s">
        <v>453</v>
      </c>
      <c r="C71" t="s">
        <v>249</v>
      </c>
      <c r="D71" t="s">
        <v>304</v>
      </c>
      <c r="E71">
        <v>2</v>
      </c>
      <c r="F71">
        <v>94</v>
      </c>
      <c r="G71">
        <v>152</v>
      </c>
      <c r="H71">
        <v>7679</v>
      </c>
      <c r="I71">
        <v>0.55897297106786803</v>
      </c>
      <c r="J71">
        <v>0.89954508929035504</v>
      </c>
      <c r="K71">
        <v>1.0748880179171301</v>
      </c>
      <c r="L71" t="s">
        <v>1286</v>
      </c>
      <c r="M71" t="str">
        <f>HYPERLINK("../../3.KEGG_map/SCI_III-vs-NC-Up/rno04390.html","rno04390")</f>
        <v>rno04390</v>
      </c>
    </row>
    <row r="72" spans="1:13" x14ac:dyDescent="0.25">
      <c r="A72" t="s">
        <v>458</v>
      </c>
      <c r="B72" t="s">
        <v>459</v>
      </c>
      <c r="C72" t="s">
        <v>355</v>
      </c>
      <c r="D72" t="s">
        <v>460</v>
      </c>
      <c r="E72">
        <v>6</v>
      </c>
      <c r="F72">
        <v>94</v>
      </c>
      <c r="G72">
        <v>196</v>
      </c>
      <c r="H72">
        <v>7679</v>
      </c>
      <c r="I72">
        <v>3.2686314616011E-2</v>
      </c>
      <c r="J72">
        <v>0.61858347087967602</v>
      </c>
      <c r="K72">
        <v>2.50075987841945</v>
      </c>
      <c r="L72" t="s">
        <v>1287</v>
      </c>
      <c r="M72" t="str">
        <f>HYPERLINK("../../3.KEGG_map/SCI_III-vs-NC-Up/rno04510.html","rno04510")</f>
        <v>rno04510</v>
      </c>
    </row>
    <row r="73" spans="1:13" x14ac:dyDescent="0.25">
      <c r="A73" t="s">
        <v>462</v>
      </c>
      <c r="B73" t="s">
        <v>463</v>
      </c>
      <c r="C73" t="s">
        <v>249</v>
      </c>
      <c r="D73" t="s">
        <v>326</v>
      </c>
      <c r="E73">
        <v>5</v>
      </c>
      <c r="F73">
        <v>94</v>
      </c>
      <c r="G73">
        <v>82</v>
      </c>
      <c r="H73">
        <v>7679</v>
      </c>
      <c r="I73">
        <v>3.20763180536663E-3</v>
      </c>
      <c r="J73">
        <v>0.26656103679058302</v>
      </c>
      <c r="K73">
        <v>4.9811883757135398</v>
      </c>
      <c r="L73" t="s">
        <v>1288</v>
      </c>
      <c r="M73" t="str">
        <f>HYPERLINK("../../3.KEGG_map/SCI_III-vs-NC-Up/rno04512.html","rno04512")</f>
        <v>rno04512</v>
      </c>
    </row>
    <row r="74" spans="1:13" x14ac:dyDescent="0.25">
      <c r="A74" t="s">
        <v>465</v>
      </c>
      <c r="B74" t="s">
        <v>466</v>
      </c>
      <c r="C74" t="s">
        <v>249</v>
      </c>
      <c r="D74" t="s">
        <v>326</v>
      </c>
      <c r="E74">
        <v>2</v>
      </c>
      <c r="F74">
        <v>94</v>
      </c>
      <c r="G74">
        <v>155</v>
      </c>
      <c r="H74">
        <v>7679</v>
      </c>
      <c r="I74">
        <v>0.56966410326244399</v>
      </c>
      <c r="J74">
        <v>0.89954508929035504</v>
      </c>
      <c r="K74">
        <v>1.05408373369938</v>
      </c>
      <c r="L74" t="s">
        <v>1289</v>
      </c>
      <c r="M74" t="str">
        <f>HYPERLINK("../../3.KEGG_map/SCI_III-vs-NC-Up/rno04514.html","rno04514")</f>
        <v>rno04514</v>
      </c>
    </row>
    <row r="75" spans="1:13" x14ac:dyDescent="0.25">
      <c r="A75" t="s">
        <v>471</v>
      </c>
      <c r="B75" t="s">
        <v>472</v>
      </c>
      <c r="C75" t="s">
        <v>355</v>
      </c>
      <c r="D75" t="s">
        <v>460</v>
      </c>
      <c r="E75">
        <v>4</v>
      </c>
      <c r="F75">
        <v>94</v>
      </c>
      <c r="G75">
        <v>165</v>
      </c>
      <c r="H75">
        <v>7679</v>
      </c>
      <c r="I75">
        <v>0.14337844251795201</v>
      </c>
      <c r="J75">
        <v>0.87243048518519695</v>
      </c>
      <c r="K75">
        <v>1.98039974210187</v>
      </c>
      <c r="L75" t="s">
        <v>1290</v>
      </c>
      <c r="M75" t="str">
        <f>HYPERLINK("../../3.KEGG_map/SCI_III-vs-NC-Up/rno04530.html","rno04530")</f>
        <v>rno04530</v>
      </c>
    </row>
    <row r="76" spans="1:13" x14ac:dyDescent="0.25">
      <c r="A76" t="s">
        <v>474</v>
      </c>
      <c r="B76" t="s">
        <v>475</v>
      </c>
      <c r="C76" t="s">
        <v>355</v>
      </c>
      <c r="D76" t="s">
        <v>460</v>
      </c>
      <c r="E76">
        <v>1</v>
      </c>
      <c r="F76">
        <v>94</v>
      </c>
      <c r="G76">
        <v>86</v>
      </c>
      <c r="H76">
        <v>7679</v>
      </c>
      <c r="I76">
        <v>0.65533447360247798</v>
      </c>
      <c r="J76">
        <v>0.89954508929035504</v>
      </c>
      <c r="K76">
        <v>0.94990103908956003</v>
      </c>
      <c r="L76" t="s">
        <v>1291</v>
      </c>
      <c r="M76" t="str">
        <f>HYPERLINK("../../3.KEGG_map/SCI_III-vs-NC-Up/rno04540.html","rno04540")</f>
        <v>rno04540</v>
      </c>
    </row>
    <row r="77" spans="1:13" x14ac:dyDescent="0.25">
      <c r="A77" t="s">
        <v>477</v>
      </c>
      <c r="B77" t="s">
        <v>478</v>
      </c>
      <c r="C77" t="s">
        <v>355</v>
      </c>
      <c r="D77" t="s">
        <v>460</v>
      </c>
      <c r="E77">
        <v>5</v>
      </c>
      <c r="F77">
        <v>94</v>
      </c>
      <c r="G77">
        <v>135</v>
      </c>
      <c r="H77">
        <v>7679</v>
      </c>
      <c r="I77">
        <v>2.4627977768006602E-2</v>
      </c>
      <c r="J77">
        <v>0.60179128488675704</v>
      </c>
      <c r="K77">
        <v>3.0256107171000801</v>
      </c>
      <c r="L77" t="s">
        <v>1292</v>
      </c>
      <c r="M77" t="str">
        <f>HYPERLINK("../../3.KEGG_map/SCI_III-vs-NC-Up/rno04550.html","rno04550")</f>
        <v>rno04550</v>
      </c>
    </row>
    <row r="78" spans="1:13" x14ac:dyDescent="0.25">
      <c r="A78" t="s">
        <v>486</v>
      </c>
      <c r="B78" t="s">
        <v>487</v>
      </c>
      <c r="C78" t="s">
        <v>281</v>
      </c>
      <c r="D78" t="s">
        <v>330</v>
      </c>
      <c r="E78">
        <v>2</v>
      </c>
      <c r="F78">
        <v>94</v>
      </c>
      <c r="G78">
        <v>78</v>
      </c>
      <c r="H78">
        <v>7679</v>
      </c>
      <c r="I78">
        <v>0.247403727063402</v>
      </c>
      <c r="J78">
        <v>0.87243048518519695</v>
      </c>
      <c r="K78">
        <v>2.0946535733769802</v>
      </c>
      <c r="L78" t="s">
        <v>1293</v>
      </c>
      <c r="M78" t="str">
        <f>HYPERLINK("../../3.KEGG_map/SCI_III-vs-NC-Up/rno04612.html","rno04612")</f>
        <v>rno04612</v>
      </c>
    </row>
    <row r="79" spans="1:13" x14ac:dyDescent="0.25">
      <c r="A79" t="s">
        <v>489</v>
      </c>
      <c r="B79" t="s">
        <v>490</v>
      </c>
      <c r="C79" t="s">
        <v>281</v>
      </c>
      <c r="D79" t="s">
        <v>282</v>
      </c>
      <c r="E79">
        <v>3</v>
      </c>
      <c r="F79">
        <v>94</v>
      </c>
      <c r="G79">
        <v>35</v>
      </c>
      <c r="H79">
        <v>7679</v>
      </c>
      <c r="I79">
        <v>8.7584668249824308E-3</v>
      </c>
      <c r="J79">
        <v>0.36785560664926198</v>
      </c>
      <c r="K79">
        <v>7.0021276595744704</v>
      </c>
      <c r="L79" t="s">
        <v>1294</v>
      </c>
      <c r="M79" t="str">
        <f>HYPERLINK("../../3.KEGG_map/SCI_III-vs-NC-Up/rno04614.html","rno04614")</f>
        <v>rno04614</v>
      </c>
    </row>
    <row r="80" spans="1:13" x14ac:dyDescent="0.25">
      <c r="A80" t="s">
        <v>495</v>
      </c>
      <c r="B80" t="s">
        <v>496</v>
      </c>
      <c r="C80" t="s">
        <v>281</v>
      </c>
      <c r="D80" t="s">
        <v>330</v>
      </c>
      <c r="E80">
        <v>1</v>
      </c>
      <c r="F80">
        <v>94</v>
      </c>
      <c r="G80">
        <v>154</v>
      </c>
      <c r="H80">
        <v>7679</v>
      </c>
      <c r="I80">
        <v>0.85281225294531604</v>
      </c>
      <c r="J80">
        <v>0.89954508929035504</v>
      </c>
      <c r="K80">
        <v>0.530464216634429</v>
      </c>
      <c r="L80" t="s">
        <v>1295</v>
      </c>
      <c r="M80" t="str">
        <f>HYPERLINK("../../3.KEGG_map/SCI_III-vs-NC-Up/rno04621.html","rno04621")</f>
        <v>rno04621</v>
      </c>
    </row>
    <row r="81" spans="1:13" x14ac:dyDescent="0.25">
      <c r="A81" t="s">
        <v>504</v>
      </c>
      <c r="B81" t="s">
        <v>505</v>
      </c>
      <c r="C81" t="s">
        <v>281</v>
      </c>
      <c r="D81" t="s">
        <v>330</v>
      </c>
      <c r="E81">
        <v>2</v>
      </c>
      <c r="F81">
        <v>94</v>
      </c>
      <c r="G81">
        <v>108</v>
      </c>
      <c r="H81">
        <v>7679</v>
      </c>
      <c r="I81">
        <v>0.38244200660807398</v>
      </c>
      <c r="J81">
        <v>0.89954508929035504</v>
      </c>
      <c r="K81">
        <v>1.5128053585500401</v>
      </c>
      <c r="L81" t="s">
        <v>1296</v>
      </c>
      <c r="M81" t="str">
        <f>HYPERLINK("../../3.KEGG_map/SCI_III-vs-NC-Up/rno04625.html","rno04625")</f>
        <v>rno04625</v>
      </c>
    </row>
    <row r="82" spans="1:13" x14ac:dyDescent="0.25">
      <c r="A82" t="s">
        <v>507</v>
      </c>
      <c r="B82" t="s">
        <v>508</v>
      </c>
      <c r="C82" t="s">
        <v>249</v>
      </c>
      <c r="D82" t="s">
        <v>304</v>
      </c>
      <c r="E82">
        <v>2</v>
      </c>
      <c r="F82">
        <v>94</v>
      </c>
      <c r="G82">
        <v>151</v>
      </c>
      <c r="H82">
        <v>7679</v>
      </c>
      <c r="I82">
        <v>0.55536824577487198</v>
      </c>
      <c r="J82">
        <v>0.89954508929035504</v>
      </c>
      <c r="K82">
        <v>1.0820064816119499</v>
      </c>
      <c r="L82" t="s">
        <v>1297</v>
      </c>
      <c r="M82" t="str">
        <f>HYPERLINK("../../3.KEGG_map/SCI_III-vs-NC-Up/rno04630.html","rno04630")</f>
        <v>rno04630</v>
      </c>
    </row>
    <row r="83" spans="1:13" x14ac:dyDescent="0.25">
      <c r="A83" t="s">
        <v>510</v>
      </c>
      <c r="B83" t="s">
        <v>511</v>
      </c>
      <c r="C83" t="s">
        <v>281</v>
      </c>
      <c r="D83" t="s">
        <v>330</v>
      </c>
      <c r="E83">
        <v>2</v>
      </c>
      <c r="F83">
        <v>94</v>
      </c>
      <c r="G83">
        <v>87</v>
      </c>
      <c r="H83">
        <v>7679</v>
      </c>
      <c r="I83">
        <v>0.28838121199342298</v>
      </c>
      <c r="J83">
        <v>0.87243048518519695</v>
      </c>
      <c r="K83">
        <v>1.87796527268281</v>
      </c>
      <c r="L83" t="s">
        <v>1298</v>
      </c>
      <c r="M83" t="str">
        <f>HYPERLINK("../../3.KEGG_map/SCI_III-vs-NC-Up/rno04640.html","rno04640")</f>
        <v>rno04640</v>
      </c>
    </row>
    <row r="84" spans="1:13" x14ac:dyDescent="0.25">
      <c r="A84" t="s">
        <v>513</v>
      </c>
      <c r="B84" t="s">
        <v>514</v>
      </c>
      <c r="C84" t="s">
        <v>281</v>
      </c>
      <c r="D84" t="s">
        <v>330</v>
      </c>
      <c r="E84">
        <v>1</v>
      </c>
      <c r="F84">
        <v>94</v>
      </c>
      <c r="G84">
        <v>125</v>
      </c>
      <c r="H84">
        <v>7679</v>
      </c>
      <c r="I84">
        <v>0.78822584359866299</v>
      </c>
      <c r="J84">
        <v>0.89954508929035504</v>
      </c>
      <c r="K84">
        <v>0.65353191489361695</v>
      </c>
      <c r="L84" t="s">
        <v>1299</v>
      </c>
      <c r="M84" t="str">
        <f>HYPERLINK("../../3.KEGG_map/SCI_III-vs-NC-Up/rno04650.html","rno04650")</f>
        <v>rno04650</v>
      </c>
    </row>
    <row r="85" spans="1:13" x14ac:dyDescent="0.25">
      <c r="A85" t="s">
        <v>516</v>
      </c>
      <c r="B85" t="s">
        <v>517</v>
      </c>
      <c r="C85" t="s">
        <v>281</v>
      </c>
      <c r="D85" t="s">
        <v>330</v>
      </c>
      <c r="E85">
        <v>4</v>
      </c>
      <c r="F85">
        <v>94</v>
      </c>
      <c r="G85">
        <v>91</v>
      </c>
      <c r="H85">
        <v>7679</v>
      </c>
      <c r="I85">
        <v>2.50746368702815E-2</v>
      </c>
      <c r="J85">
        <v>0.60179128488675704</v>
      </c>
      <c r="K85">
        <v>3.5908346972176801</v>
      </c>
      <c r="L85" t="s">
        <v>1300</v>
      </c>
      <c r="M85" t="str">
        <f>HYPERLINK("../../3.KEGG_map/SCI_III-vs-NC-Up/rno04657.html","rno04657")</f>
        <v>rno04657</v>
      </c>
    </row>
    <row r="86" spans="1:13" x14ac:dyDescent="0.25">
      <c r="A86" t="s">
        <v>519</v>
      </c>
      <c r="B86" t="s">
        <v>520</v>
      </c>
      <c r="C86" t="s">
        <v>281</v>
      </c>
      <c r="D86" t="s">
        <v>330</v>
      </c>
      <c r="E86">
        <v>1</v>
      </c>
      <c r="F86">
        <v>94</v>
      </c>
      <c r="G86">
        <v>88</v>
      </c>
      <c r="H86">
        <v>7679</v>
      </c>
      <c r="I86">
        <v>0.66381600200284796</v>
      </c>
      <c r="J86">
        <v>0.89954508929035504</v>
      </c>
      <c r="K86">
        <v>0.928312379110251</v>
      </c>
      <c r="L86" t="s">
        <v>1301</v>
      </c>
      <c r="M86" t="str">
        <f>HYPERLINK("../../3.KEGG_map/SCI_III-vs-NC-Up/rno04658.html","rno04658")</f>
        <v>rno04658</v>
      </c>
    </row>
    <row r="87" spans="1:13" x14ac:dyDescent="0.25">
      <c r="A87" t="s">
        <v>522</v>
      </c>
      <c r="B87" t="s">
        <v>523</v>
      </c>
      <c r="C87" t="s">
        <v>281</v>
      </c>
      <c r="D87" t="s">
        <v>330</v>
      </c>
      <c r="E87">
        <v>1</v>
      </c>
      <c r="F87">
        <v>94</v>
      </c>
      <c r="G87">
        <v>102</v>
      </c>
      <c r="H87">
        <v>7679</v>
      </c>
      <c r="I87">
        <v>0.71767394902251702</v>
      </c>
      <c r="J87">
        <v>0.89954508929035504</v>
      </c>
      <c r="K87">
        <v>0.80089695452649101</v>
      </c>
      <c r="L87" t="s">
        <v>1301</v>
      </c>
      <c r="M87" t="str">
        <f>HYPERLINK("../../3.KEGG_map/SCI_III-vs-NC-Up/rno04659.html","rno04659")</f>
        <v>rno04659</v>
      </c>
    </row>
    <row r="88" spans="1:13" x14ac:dyDescent="0.25">
      <c r="A88" t="s">
        <v>525</v>
      </c>
      <c r="B88" t="s">
        <v>526</v>
      </c>
      <c r="C88" t="s">
        <v>281</v>
      </c>
      <c r="D88" t="s">
        <v>330</v>
      </c>
      <c r="E88">
        <v>1</v>
      </c>
      <c r="F88">
        <v>94</v>
      </c>
      <c r="G88">
        <v>101</v>
      </c>
      <c r="H88">
        <v>7679</v>
      </c>
      <c r="I88">
        <v>0.71412789760724704</v>
      </c>
      <c r="J88">
        <v>0.89954508929035504</v>
      </c>
      <c r="K88">
        <v>0.80882662734358501</v>
      </c>
      <c r="L88" t="s">
        <v>1301</v>
      </c>
      <c r="M88" t="str">
        <f>HYPERLINK("../../3.KEGG_map/SCI_III-vs-NC-Up/rno04660.html","rno04660")</f>
        <v>rno04660</v>
      </c>
    </row>
    <row r="89" spans="1:13" x14ac:dyDescent="0.25">
      <c r="A89" t="s">
        <v>531</v>
      </c>
      <c r="B89" t="s">
        <v>532</v>
      </c>
      <c r="C89" t="s">
        <v>281</v>
      </c>
      <c r="D89" t="s">
        <v>330</v>
      </c>
      <c r="E89">
        <v>2</v>
      </c>
      <c r="F89">
        <v>94</v>
      </c>
      <c r="G89">
        <v>65</v>
      </c>
      <c r="H89">
        <v>7679</v>
      </c>
      <c r="I89">
        <v>0.18886032543665399</v>
      </c>
      <c r="J89">
        <v>0.87243048518519695</v>
      </c>
      <c r="K89">
        <v>2.5135842880523702</v>
      </c>
      <c r="L89" t="s">
        <v>1268</v>
      </c>
      <c r="M89" t="str">
        <f>HYPERLINK("../../3.KEGG_map/SCI_III-vs-NC-Up/rno04664.html","rno04664")</f>
        <v>rno04664</v>
      </c>
    </row>
    <row r="90" spans="1:13" x14ac:dyDescent="0.25">
      <c r="A90" t="s">
        <v>537</v>
      </c>
      <c r="B90" t="s">
        <v>538</v>
      </c>
      <c r="C90" t="s">
        <v>249</v>
      </c>
      <c r="D90" t="s">
        <v>304</v>
      </c>
      <c r="E90">
        <v>1</v>
      </c>
      <c r="F90">
        <v>94</v>
      </c>
      <c r="G90">
        <v>106</v>
      </c>
      <c r="H90">
        <v>7679</v>
      </c>
      <c r="I90">
        <v>0.73142816652804599</v>
      </c>
      <c r="J90">
        <v>0.89954508929035504</v>
      </c>
      <c r="K90">
        <v>0.77067442794058605</v>
      </c>
      <c r="L90" t="s">
        <v>1295</v>
      </c>
      <c r="M90" t="str">
        <f>HYPERLINK("../../3.KEGG_map/SCI_III-vs-NC-Up/rno04668.html","rno04668")</f>
        <v>rno04668</v>
      </c>
    </row>
    <row r="91" spans="1:13" x14ac:dyDescent="0.25">
      <c r="A91" t="s">
        <v>540</v>
      </c>
      <c r="B91" t="s">
        <v>541</v>
      </c>
      <c r="C91" t="s">
        <v>281</v>
      </c>
      <c r="D91" t="s">
        <v>330</v>
      </c>
      <c r="E91">
        <v>2</v>
      </c>
      <c r="F91">
        <v>94</v>
      </c>
      <c r="G91">
        <v>113</v>
      </c>
      <c r="H91">
        <v>7679</v>
      </c>
      <c r="I91">
        <v>0.40414860706070899</v>
      </c>
      <c r="J91">
        <v>0.89954508929035504</v>
      </c>
      <c r="K91">
        <v>1.44586706834871</v>
      </c>
      <c r="L91" t="s">
        <v>1302</v>
      </c>
      <c r="M91" t="str">
        <f>HYPERLINK("../../3.KEGG_map/SCI_III-vs-NC-Up/rno04670.html","rno04670")</f>
        <v>rno04670</v>
      </c>
    </row>
    <row r="92" spans="1:13" x14ac:dyDescent="0.25">
      <c r="A92" t="s">
        <v>543</v>
      </c>
      <c r="B92" t="s">
        <v>544</v>
      </c>
      <c r="C92" t="s">
        <v>281</v>
      </c>
      <c r="D92" t="s">
        <v>330</v>
      </c>
      <c r="E92">
        <v>1</v>
      </c>
      <c r="F92">
        <v>94</v>
      </c>
      <c r="G92">
        <v>42</v>
      </c>
      <c r="H92">
        <v>7679</v>
      </c>
      <c r="I92">
        <v>0.40470412853999899</v>
      </c>
      <c r="J92">
        <v>0.89954508929035504</v>
      </c>
      <c r="K92">
        <v>1.9450354609929099</v>
      </c>
      <c r="L92" t="s">
        <v>1303</v>
      </c>
      <c r="M92" t="str">
        <f>HYPERLINK("../../3.KEGG_map/SCI_III-vs-NC-Up/rno04672.html","rno04672")</f>
        <v>rno04672</v>
      </c>
    </row>
    <row r="93" spans="1:13" x14ac:dyDescent="0.25">
      <c r="A93" t="s">
        <v>563</v>
      </c>
      <c r="B93" t="s">
        <v>564</v>
      </c>
      <c r="C93" t="s">
        <v>281</v>
      </c>
      <c r="D93" t="s">
        <v>558</v>
      </c>
      <c r="E93">
        <v>1</v>
      </c>
      <c r="F93">
        <v>94</v>
      </c>
      <c r="G93">
        <v>119</v>
      </c>
      <c r="H93">
        <v>7679</v>
      </c>
      <c r="I93">
        <v>0.77171011239933096</v>
      </c>
      <c r="J93">
        <v>0.89954508929035504</v>
      </c>
      <c r="K93">
        <v>0.68648310387985001</v>
      </c>
      <c r="L93" t="s">
        <v>1304</v>
      </c>
      <c r="M93" t="str">
        <f>HYPERLINK("../../3.KEGG_map/SCI_III-vs-NC-Up/rno04722.html","rno04722")</f>
        <v>rno04722</v>
      </c>
    </row>
    <row r="94" spans="1:13" x14ac:dyDescent="0.25">
      <c r="A94" t="s">
        <v>566</v>
      </c>
      <c r="B94" t="s">
        <v>567</v>
      </c>
      <c r="C94" t="s">
        <v>281</v>
      </c>
      <c r="D94" t="s">
        <v>558</v>
      </c>
      <c r="E94">
        <v>1</v>
      </c>
      <c r="F94">
        <v>94</v>
      </c>
      <c r="G94">
        <v>138</v>
      </c>
      <c r="H94">
        <v>7679</v>
      </c>
      <c r="I94">
        <v>0.82006303007868198</v>
      </c>
      <c r="J94">
        <v>0.89954508929035504</v>
      </c>
      <c r="K94">
        <v>0.59196731421523296</v>
      </c>
      <c r="L94" t="s">
        <v>1281</v>
      </c>
      <c r="M94" t="str">
        <f>HYPERLINK("../../3.KEGG_map/SCI_III-vs-NC-Up/rno04723.html","rno04723")</f>
        <v>rno04723</v>
      </c>
    </row>
    <row r="95" spans="1:13" x14ac:dyDescent="0.25">
      <c r="A95" t="s">
        <v>572</v>
      </c>
      <c r="B95" t="s">
        <v>573</v>
      </c>
      <c r="C95" t="s">
        <v>281</v>
      </c>
      <c r="D95" t="s">
        <v>558</v>
      </c>
      <c r="E95">
        <v>1</v>
      </c>
      <c r="F95">
        <v>94</v>
      </c>
      <c r="G95">
        <v>111</v>
      </c>
      <c r="H95">
        <v>7679</v>
      </c>
      <c r="I95">
        <v>0.74769193358653097</v>
      </c>
      <c r="J95">
        <v>0.89954508929035504</v>
      </c>
      <c r="K95">
        <v>0.73595936361893799</v>
      </c>
      <c r="L95" t="s">
        <v>1281</v>
      </c>
      <c r="M95" t="str">
        <f>HYPERLINK("../../3.KEGG_map/SCI_III-vs-NC-Up/rno04725.html","rno04725")</f>
        <v>rno04725</v>
      </c>
    </row>
    <row r="96" spans="1:13" x14ac:dyDescent="0.25">
      <c r="A96" t="s">
        <v>575</v>
      </c>
      <c r="B96" t="s">
        <v>576</v>
      </c>
      <c r="C96" t="s">
        <v>281</v>
      </c>
      <c r="D96" t="s">
        <v>558</v>
      </c>
      <c r="E96">
        <v>1</v>
      </c>
      <c r="F96">
        <v>94</v>
      </c>
      <c r="G96">
        <v>119</v>
      </c>
      <c r="H96">
        <v>7679</v>
      </c>
      <c r="I96">
        <v>0.77171011239933096</v>
      </c>
      <c r="J96">
        <v>0.89954508929035504</v>
      </c>
      <c r="K96">
        <v>0.68648310387985001</v>
      </c>
      <c r="L96" t="s">
        <v>1281</v>
      </c>
      <c r="M96" t="str">
        <f>HYPERLINK("../../3.KEGG_map/SCI_III-vs-NC-Up/rno04726.html","rno04726")</f>
        <v>rno04726</v>
      </c>
    </row>
    <row r="97" spans="1:13" x14ac:dyDescent="0.25">
      <c r="A97" t="s">
        <v>578</v>
      </c>
      <c r="B97" t="s">
        <v>579</v>
      </c>
      <c r="C97" t="s">
        <v>281</v>
      </c>
      <c r="D97" t="s">
        <v>558</v>
      </c>
      <c r="E97">
        <v>1</v>
      </c>
      <c r="F97">
        <v>94</v>
      </c>
      <c r="G97">
        <v>87</v>
      </c>
      <c r="H97">
        <v>7679</v>
      </c>
      <c r="I97">
        <v>0.65960137199328195</v>
      </c>
      <c r="J97">
        <v>0.89954508929035504</v>
      </c>
      <c r="K97">
        <v>0.938982636341404</v>
      </c>
      <c r="L97" t="s">
        <v>1281</v>
      </c>
      <c r="M97" t="str">
        <f>HYPERLINK("../../3.KEGG_map/SCI_III-vs-NC-Up/rno04727.html","rno04727")</f>
        <v>rno04727</v>
      </c>
    </row>
    <row r="98" spans="1:13" x14ac:dyDescent="0.25">
      <c r="A98" t="s">
        <v>587</v>
      </c>
      <c r="B98" t="s">
        <v>588</v>
      </c>
      <c r="C98" t="s">
        <v>281</v>
      </c>
      <c r="D98" t="s">
        <v>589</v>
      </c>
      <c r="E98">
        <v>3</v>
      </c>
      <c r="F98">
        <v>94</v>
      </c>
      <c r="G98">
        <v>1088</v>
      </c>
      <c r="H98">
        <v>7679</v>
      </c>
      <c r="I98">
        <v>0.99992670207200796</v>
      </c>
      <c r="J98">
        <v>0.99992670207200796</v>
      </c>
      <c r="K98">
        <v>0.225252268460576</v>
      </c>
      <c r="L98" t="s">
        <v>1305</v>
      </c>
      <c r="M98" t="str">
        <f>HYPERLINK("../../3.KEGG_map/SCI_III-vs-NC-Up/rno04740.html","rno04740")</f>
        <v>rno04740</v>
      </c>
    </row>
    <row r="99" spans="1:13" x14ac:dyDescent="0.25">
      <c r="A99" t="s">
        <v>591</v>
      </c>
      <c r="B99" t="s">
        <v>592</v>
      </c>
      <c r="C99" t="s">
        <v>281</v>
      </c>
      <c r="D99" t="s">
        <v>589</v>
      </c>
      <c r="E99">
        <v>1</v>
      </c>
      <c r="F99">
        <v>94</v>
      </c>
      <c r="G99">
        <v>86</v>
      </c>
      <c r="H99">
        <v>7679</v>
      </c>
      <c r="I99">
        <v>0.65533447360247798</v>
      </c>
      <c r="J99">
        <v>0.89954508929035504</v>
      </c>
      <c r="K99">
        <v>0.94990103908956003</v>
      </c>
      <c r="L99" t="s">
        <v>1306</v>
      </c>
      <c r="M99" t="str">
        <f>HYPERLINK("../../3.KEGG_map/SCI_III-vs-NC-Up/rno04742.html","rno04742")</f>
        <v>rno04742</v>
      </c>
    </row>
    <row r="100" spans="1:13" x14ac:dyDescent="0.25">
      <c r="A100" t="s">
        <v>597</v>
      </c>
      <c r="B100" t="s">
        <v>598</v>
      </c>
      <c r="C100" t="s">
        <v>355</v>
      </c>
      <c r="D100" t="s">
        <v>599</v>
      </c>
      <c r="E100">
        <v>4</v>
      </c>
      <c r="F100">
        <v>94</v>
      </c>
      <c r="G100">
        <v>208</v>
      </c>
      <c r="H100">
        <v>7679</v>
      </c>
      <c r="I100">
        <v>0.25031739349322302</v>
      </c>
      <c r="J100">
        <v>0.87243048518519695</v>
      </c>
      <c r="K100">
        <v>1.5709901800327299</v>
      </c>
      <c r="L100" t="s">
        <v>1307</v>
      </c>
      <c r="M100" t="str">
        <f>HYPERLINK("../../3.KEGG_map/SCI_III-vs-NC-Up/rno04810.html","rno04810")</f>
        <v>rno04810</v>
      </c>
    </row>
    <row r="101" spans="1:13" x14ac:dyDescent="0.25">
      <c r="A101" t="s">
        <v>601</v>
      </c>
      <c r="B101" t="s">
        <v>602</v>
      </c>
      <c r="C101" t="s">
        <v>281</v>
      </c>
      <c r="D101" t="s">
        <v>282</v>
      </c>
      <c r="E101">
        <v>1</v>
      </c>
      <c r="F101">
        <v>94</v>
      </c>
      <c r="G101">
        <v>134</v>
      </c>
      <c r="H101">
        <v>7679</v>
      </c>
      <c r="I101">
        <v>0.810807688180195</v>
      </c>
      <c r="J101">
        <v>0.89954508929035504</v>
      </c>
      <c r="K101">
        <v>0.60963798031120997</v>
      </c>
      <c r="L101" t="s">
        <v>1232</v>
      </c>
      <c r="M101" t="str">
        <f>HYPERLINK("../../3.KEGG_map/SCI_III-vs-NC-Up/rno04910.html","rno04910")</f>
        <v>rno04910</v>
      </c>
    </row>
    <row r="102" spans="1:13" x14ac:dyDescent="0.25">
      <c r="A102" t="s">
        <v>604</v>
      </c>
      <c r="B102" t="s">
        <v>605</v>
      </c>
      <c r="C102" t="s">
        <v>281</v>
      </c>
      <c r="D102" t="s">
        <v>282</v>
      </c>
      <c r="E102">
        <v>1</v>
      </c>
      <c r="F102">
        <v>94</v>
      </c>
      <c r="G102">
        <v>85</v>
      </c>
      <c r="H102">
        <v>7679</v>
      </c>
      <c r="I102">
        <v>0.65101466567163002</v>
      </c>
      <c r="J102">
        <v>0.89954508929035504</v>
      </c>
      <c r="K102">
        <v>0.96107634543178999</v>
      </c>
      <c r="L102" t="s">
        <v>1281</v>
      </c>
      <c r="M102" t="str">
        <f>HYPERLINK("../../3.KEGG_map/SCI_III-vs-NC-Up/rno04911.html","rno04911")</f>
        <v>rno04911</v>
      </c>
    </row>
    <row r="103" spans="1:13" x14ac:dyDescent="0.25">
      <c r="A103" t="s">
        <v>607</v>
      </c>
      <c r="B103" t="s">
        <v>608</v>
      </c>
      <c r="C103" t="s">
        <v>281</v>
      </c>
      <c r="D103" t="s">
        <v>282</v>
      </c>
      <c r="E103">
        <v>1</v>
      </c>
      <c r="F103">
        <v>94</v>
      </c>
      <c r="G103">
        <v>89</v>
      </c>
      <c r="H103">
        <v>7679</v>
      </c>
      <c r="I103">
        <v>0.667978997103854</v>
      </c>
      <c r="J103">
        <v>0.89954508929035504</v>
      </c>
      <c r="K103">
        <v>0.917881902940473</v>
      </c>
      <c r="L103" t="s">
        <v>1281</v>
      </c>
      <c r="M103" t="str">
        <f>HYPERLINK("../../3.KEGG_map/SCI_III-vs-NC-Up/rno04912.html","rno04912")</f>
        <v>rno04912</v>
      </c>
    </row>
    <row r="104" spans="1:13" x14ac:dyDescent="0.25">
      <c r="A104" t="s">
        <v>613</v>
      </c>
      <c r="B104" t="s">
        <v>614</v>
      </c>
      <c r="C104" t="s">
        <v>281</v>
      </c>
      <c r="D104" t="s">
        <v>282</v>
      </c>
      <c r="E104">
        <v>1</v>
      </c>
      <c r="F104">
        <v>94</v>
      </c>
      <c r="G104">
        <v>88</v>
      </c>
      <c r="H104">
        <v>7679</v>
      </c>
      <c r="I104">
        <v>0.66381600200284796</v>
      </c>
      <c r="J104">
        <v>0.89954508929035504</v>
      </c>
      <c r="K104">
        <v>0.928312379110251</v>
      </c>
      <c r="L104" t="s">
        <v>1271</v>
      </c>
      <c r="M104" t="str">
        <f>HYPERLINK("../../3.KEGG_map/SCI_III-vs-NC-Up/rno04914.html","rno04914")</f>
        <v>rno04914</v>
      </c>
    </row>
    <row r="105" spans="1:13" x14ac:dyDescent="0.25">
      <c r="A105" t="s">
        <v>616</v>
      </c>
      <c r="B105" t="s">
        <v>617</v>
      </c>
      <c r="C105" t="s">
        <v>281</v>
      </c>
      <c r="D105" t="s">
        <v>282</v>
      </c>
      <c r="E105">
        <v>1</v>
      </c>
      <c r="F105">
        <v>94</v>
      </c>
      <c r="G105">
        <v>130</v>
      </c>
      <c r="H105">
        <v>7679</v>
      </c>
      <c r="I105">
        <v>0.80108160421575703</v>
      </c>
      <c r="J105">
        <v>0.89954508929035504</v>
      </c>
      <c r="K105">
        <v>0.628396072013093</v>
      </c>
      <c r="L105" t="s">
        <v>1308</v>
      </c>
      <c r="M105" t="str">
        <f>HYPERLINK("../../3.KEGG_map/SCI_III-vs-NC-Up/rno04915.html","rno04915")</f>
        <v>rno04915</v>
      </c>
    </row>
    <row r="106" spans="1:13" x14ac:dyDescent="0.25">
      <c r="A106" t="s">
        <v>619</v>
      </c>
      <c r="B106" t="s">
        <v>620</v>
      </c>
      <c r="C106" t="s">
        <v>281</v>
      </c>
      <c r="D106" t="s">
        <v>282</v>
      </c>
      <c r="E106">
        <v>1</v>
      </c>
      <c r="F106">
        <v>94</v>
      </c>
      <c r="G106">
        <v>98</v>
      </c>
      <c r="H106">
        <v>7679</v>
      </c>
      <c r="I106">
        <v>0.70322321596614101</v>
      </c>
      <c r="J106">
        <v>0.89954508929035504</v>
      </c>
      <c r="K106">
        <v>0.83358662613981804</v>
      </c>
      <c r="L106" t="s">
        <v>1276</v>
      </c>
      <c r="M106" t="str">
        <f>HYPERLINK("../../3.KEGG_map/SCI_III-vs-NC-Up/rno04916.html","rno04916")</f>
        <v>rno04916</v>
      </c>
    </row>
    <row r="107" spans="1:13" x14ac:dyDescent="0.25">
      <c r="A107" t="s">
        <v>625</v>
      </c>
      <c r="B107" t="s">
        <v>626</v>
      </c>
      <c r="C107" t="s">
        <v>281</v>
      </c>
      <c r="D107" t="s">
        <v>282</v>
      </c>
      <c r="E107">
        <v>1</v>
      </c>
      <c r="F107">
        <v>94</v>
      </c>
      <c r="G107">
        <v>72</v>
      </c>
      <c r="H107">
        <v>7679</v>
      </c>
      <c r="I107">
        <v>0.58973609394306103</v>
      </c>
      <c r="J107">
        <v>0.89954508929035504</v>
      </c>
      <c r="K107">
        <v>1.1346040189125299</v>
      </c>
      <c r="L107" t="s">
        <v>1309</v>
      </c>
      <c r="M107" t="str">
        <f>HYPERLINK("../../3.KEGG_map/SCI_III-vs-NC-Up/rno04918.html","rno04918")</f>
        <v>rno04918</v>
      </c>
    </row>
    <row r="108" spans="1:13" x14ac:dyDescent="0.25">
      <c r="A108" t="s">
        <v>631</v>
      </c>
      <c r="B108" t="s">
        <v>632</v>
      </c>
      <c r="C108" t="s">
        <v>281</v>
      </c>
      <c r="D108" t="s">
        <v>282</v>
      </c>
      <c r="E108">
        <v>1</v>
      </c>
      <c r="F108">
        <v>94</v>
      </c>
      <c r="G108">
        <v>71</v>
      </c>
      <c r="H108">
        <v>7679</v>
      </c>
      <c r="I108">
        <v>0.58460370012228002</v>
      </c>
      <c r="J108">
        <v>0.89954508929035504</v>
      </c>
      <c r="K108">
        <v>1.15058435720707</v>
      </c>
      <c r="L108" t="s">
        <v>1234</v>
      </c>
      <c r="M108" t="str">
        <f>HYPERLINK("../../3.KEGG_map/SCI_III-vs-NC-Up/rno04920.html","rno04920")</f>
        <v>rno04920</v>
      </c>
    </row>
    <row r="109" spans="1:13" x14ac:dyDescent="0.25">
      <c r="A109" t="s">
        <v>634</v>
      </c>
      <c r="B109" t="s">
        <v>635</v>
      </c>
      <c r="C109" t="s">
        <v>281</v>
      </c>
      <c r="D109" t="s">
        <v>282</v>
      </c>
      <c r="E109">
        <v>1</v>
      </c>
      <c r="F109">
        <v>94</v>
      </c>
      <c r="G109">
        <v>152</v>
      </c>
      <c r="H109">
        <v>7679</v>
      </c>
      <c r="I109">
        <v>0.84906569684736799</v>
      </c>
      <c r="J109">
        <v>0.89954508929035504</v>
      </c>
      <c r="K109">
        <v>0.53744400895856703</v>
      </c>
      <c r="L109" t="s">
        <v>1281</v>
      </c>
      <c r="M109" t="str">
        <f>HYPERLINK("../../3.KEGG_map/SCI_III-vs-NC-Up/rno04921.html","rno04921")</f>
        <v>rno04921</v>
      </c>
    </row>
    <row r="110" spans="1:13" x14ac:dyDescent="0.25">
      <c r="A110" t="s">
        <v>640</v>
      </c>
      <c r="B110" t="s">
        <v>641</v>
      </c>
      <c r="C110" t="s">
        <v>281</v>
      </c>
      <c r="D110" t="s">
        <v>282</v>
      </c>
      <c r="E110">
        <v>1</v>
      </c>
      <c r="F110">
        <v>94</v>
      </c>
      <c r="G110">
        <v>55</v>
      </c>
      <c r="H110">
        <v>7679</v>
      </c>
      <c r="I110">
        <v>0.49329562290146101</v>
      </c>
      <c r="J110">
        <v>0.89954508929035504</v>
      </c>
      <c r="K110">
        <v>1.4852998065764</v>
      </c>
      <c r="L110" t="s">
        <v>1309</v>
      </c>
      <c r="M110" t="str">
        <f>HYPERLINK("../../3.KEGG_map/SCI_III-vs-NC-Up/rno04923.html","rno04923")</f>
        <v>rno04923</v>
      </c>
    </row>
    <row r="111" spans="1:13" x14ac:dyDescent="0.25">
      <c r="A111" t="s">
        <v>643</v>
      </c>
      <c r="B111" t="s">
        <v>644</v>
      </c>
      <c r="C111" t="s">
        <v>281</v>
      </c>
      <c r="D111" t="s">
        <v>282</v>
      </c>
      <c r="E111">
        <v>1</v>
      </c>
      <c r="F111">
        <v>94</v>
      </c>
      <c r="G111">
        <v>68</v>
      </c>
      <c r="H111">
        <v>7679</v>
      </c>
      <c r="I111">
        <v>0.56882231150565499</v>
      </c>
      <c r="J111">
        <v>0.89954508929035504</v>
      </c>
      <c r="K111">
        <v>1.2013454317897401</v>
      </c>
      <c r="L111" t="s">
        <v>1281</v>
      </c>
      <c r="M111" t="str">
        <f>HYPERLINK("../../3.KEGG_map/SCI_III-vs-NC-Up/rno04924.html","rno04924")</f>
        <v>rno04924</v>
      </c>
    </row>
    <row r="112" spans="1:13" x14ac:dyDescent="0.25">
      <c r="A112" t="s">
        <v>646</v>
      </c>
      <c r="B112" t="s">
        <v>647</v>
      </c>
      <c r="C112" t="s">
        <v>281</v>
      </c>
      <c r="D112" t="s">
        <v>282</v>
      </c>
      <c r="E112">
        <v>1</v>
      </c>
      <c r="F112">
        <v>94</v>
      </c>
      <c r="G112">
        <v>94</v>
      </c>
      <c r="H112">
        <v>7679</v>
      </c>
      <c r="I112">
        <v>0.68804109388891099</v>
      </c>
      <c r="J112">
        <v>0.89954508929035504</v>
      </c>
      <c r="K112">
        <v>0.86905839746491598</v>
      </c>
      <c r="L112" t="s">
        <v>1281</v>
      </c>
      <c r="M112" t="str">
        <f>HYPERLINK("../../3.KEGG_map/SCI_III-vs-NC-Up/rno04925.html","rno04925")</f>
        <v>rno04925</v>
      </c>
    </row>
    <row r="113" spans="1:13" x14ac:dyDescent="0.25">
      <c r="A113" t="s">
        <v>649</v>
      </c>
      <c r="B113" t="s">
        <v>650</v>
      </c>
      <c r="C113" t="s">
        <v>281</v>
      </c>
      <c r="D113" t="s">
        <v>282</v>
      </c>
      <c r="E113">
        <v>1</v>
      </c>
      <c r="F113">
        <v>94</v>
      </c>
      <c r="G113">
        <v>126</v>
      </c>
      <c r="H113">
        <v>7679</v>
      </c>
      <c r="I113">
        <v>0.79086110580434499</v>
      </c>
      <c r="J113">
        <v>0.89954508929035504</v>
      </c>
      <c r="K113">
        <v>0.64834515366430301</v>
      </c>
      <c r="L113" t="s">
        <v>1310</v>
      </c>
      <c r="M113" t="str">
        <f>HYPERLINK("../../3.KEGG_map/SCI_III-vs-NC-Up/rno04926.html","rno04926")</f>
        <v>rno04926</v>
      </c>
    </row>
    <row r="114" spans="1:13" x14ac:dyDescent="0.25">
      <c r="A114" t="s">
        <v>652</v>
      </c>
      <c r="B114" t="s">
        <v>653</v>
      </c>
      <c r="C114" t="s">
        <v>281</v>
      </c>
      <c r="D114" t="s">
        <v>282</v>
      </c>
      <c r="E114">
        <v>2</v>
      </c>
      <c r="F114">
        <v>94</v>
      </c>
      <c r="G114">
        <v>63</v>
      </c>
      <c r="H114">
        <v>7679</v>
      </c>
      <c r="I114">
        <v>0.180023917018345</v>
      </c>
      <c r="J114">
        <v>0.87243048518519695</v>
      </c>
      <c r="K114">
        <v>2.5933806146572098</v>
      </c>
      <c r="L114" t="s">
        <v>1311</v>
      </c>
      <c r="M114" t="str">
        <f>HYPERLINK("../../3.KEGG_map/SCI_III-vs-NC-Up/rno04927.html","rno04927")</f>
        <v>rno04927</v>
      </c>
    </row>
    <row r="115" spans="1:13" x14ac:dyDescent="0.25">
      <c r="A115" t="s">
        <v>655</v>
      </c>
      <c r="B115" t="s">
        <v>656</v>
      </c>
      <c r="C115" t="s">
        <v>235</v>
      </c>
      <c r="D115" t="s">
        <v>657</v>
      </c>
      <c r="E115">
        <v>1</v>
      </c>
      <c r="F115">
        <v>94</v>
      </c>
      <c r="G115">
        <v>47</v>
      </c>
      <c r="H115">
        <v>7679</v>
      </c>
      <c r="I115">
        <v>0.44045841767079602</v>
      </c>
      <c r="J115">
        <v>0.89954508929035504</v>
      </c>
      <c r="K115">
        <v>1.73811679492983</v>
      </c>
      <c r="L115" t="s">
        <v>1232</v>
      </c>
      <c r="M115" t="str">
        <f>HYPERLINK("../../3.KEGG_map/SCI_III-vs-NC-Up/rno04930.html","rno04930")</f>
        <v>rno04930</v>
      </c>
    </row>
    <row r="116" spans="1:13" x14ac:dyDescent="0.25">
      <c r="A116" t="s">
        <v>662</v>
      </c>
      <c r="B116" t="s">
        <v>663</v>
      </c>
      <c r="C116" t="s">
        <v>235</v>
      </c>
      <c r="D116" t="s">
        <v>657</v>
      </c>
      <c r="E116">
        <v>1</v>
      </c>
      <c r="F116">
        <v>94</v>
      </c>
      <c r="G116">
        <v>145</v>
      </c>
      <c r="H116">
        <v>7679</v>
      </c>
      <c r="I116">
        <v>0.83519437919054895</v>
      </c>
      <c r="J116">
        <v>0.89954508929035504</v>
      </c>
      <c r="K116">
        <v>0.563389581804842</v>
      </c>
      <c r="L116" t="s">
        <v>1278</v>
      </c>
      <c r="M116" t="str">
        <f>HYPERLINK("../../3.KEGG_map/SCI_III-vs-NC-Up/rno04932.html","rno04932")</f>
        <v>rno04932</v>
      </c>
    </row>
    <row r="117" spans="1:13" x14ac:dyDescent="0.25">
      <c r="A117" t="s">
        <v>665</v>
      </c>
      <c r="B117" t="s">
        <v>666</v>
      </c>
      <c r="C117" t="s">
        <v>235</v>
      </c>
      <c r="D117" t="s">
        <v>657</v>
      </c>
      <c r="E117">
        <v>3</v>
      </c>
      <c r="F117">
        <v>94</v>
      </c>
      <c r="G117">
        <v>99</v>
      </c>
      <c r="H117">
        <v>7679</v>
      </c>
      <c r="I117">
        <v>0.120889813931274</v>
      </c>
      <c r="J117">
        <v>0.84622869751891505</v>
      </c>
      <c r="K117">
        <v>2.4754996776273401</v>
      </c>
      <c r="L117" t="s">
        <v>1312</v>
      </c>
      <c r="M117" t="str">
        <f>HYPERLINK("../../3.KEGG_map/SCI_III-vs-NC-Up/rno04933.html","rno04933")</f>
        <v>rno04933</v>
      </c>
    </row>
    <row r="118" spans="1:13" x14ac:dyDescent="0.25">
      <c r="A118" t="s">
        <v>668</v>
      </c>
      <c r="B118" t="s">
        <v>669</v>
      </c>
      <c r="C118" t="s">
        <v>235</v>
      </c>
      <c r="D118" t="s">
        <v>657</v>
      </c>
      <c r="E118">
        <v>3</v>
      </c>
      <c r="F118">
        <v>94</v>
      </c>
      <c r="G118">
        <v>153</v>
      </c>
      <c r="H118">
        <v>7679</v>
      </c>
      <c r="I118">
        <v>0.288362359395122</v>
      </c>
      <c r="J118">
        <v>0.87243048518519695</v>
      </c>
      <c r="K118">
        <v>1.60179390905298</v>
      </c>
      <c r="L118" t="s">
        <v>1313</v>
      </c>
      <c r="M118" t="str">
        <f>HYPERLINK("../../3.KEGG_map/SCI_III-vs-NC-Up/rno04934.html","rno04934")</f>
        <v>rno04934</v>
      </c>
    </row>
    <row r="119" spans="1:13" x14ac:dyDescent="0.25">
      <c r="A119" t="s">
        <v>671</v>
      </c>
      <c r="B119" t="s">
        <v>672</v>
      </c>
      <c r="C119" t="s">
        <v>235</v>
      </c>
      <c r="D119" t="s">
        <v>657</v>
      </c>
      <c r="E119">
        <v>3</v>
      </c>
      <c r="F119">
        <v>94</v>
      </c>
      <c r="G119">
        <v>60</v>
      </c>
      <c r="H119">
        <v>7679</v>
      </c>
      <c r="I119">
        <v>3.68204446952188E-2</v>
      </c>
      <c r="J119">
        <v>0.61858347087967602</v>
      </c>
      <c r="K119">
        <v>4.0845744680851102</v>
      </c>
      <c r="L119" t="s">
        <v>1314</v>
      </c>
      <c r="M119" t="str">
        <f>HYPERLINK("../../3.KEGG_map/SCI_III-vs-NC-Up/rno04940.html","rno04940")</f>
        <v>rno04940</v>
      </c>
    </row>
    <row r="120" spans="1:13" x14ac:dyDescent="0.25">
      <c r="A120" t="s">
        <v>678</v>
      </c>
      <c r="B120" t="s">
        <v>679</v>
      </c>
      <c r="C120" t="s">
        <v>281</v>
      </c>
      <c r="D120" t="s">
        <v>676</v>
      </c>
      <c r="E120">
        <v>1</v>
      </c>
      <c r="F120">
        <v>94</v>
      </c>
      <c r="G120">
        <v>52</v>
      </c>
      <c r="H120">
        <v>7679</v>
      </c>
      <c r="I120">
        <v>0.47408673524398298</v>
      </c>
      <c r="J120">
        <v>0.89954508929035504</v>
      </c>
      <c r="K120">
        <v>1.5709901800327299</v>
      </c>
      <c r="L120" t="s">
        <v>1315</v>
      </c>
      <c r="M120" t="str">
        <f>HYPERLINK("../../3.KEGG_map/SCI_III-vs-NC-Up/rno04961.html","rno04961")</f>
        <v>rno04961</v>
      </c>
    </row>
    <row r="121" spans="1:13" x14ac:dyDescent="0.25">
      <c r="A121" t="s">
        <v>697</v>
      </c>
      <c r="B121" t="s">
        <v>698</v>
      </c>
      <c r="C121" t="s">
        <v>281</v>
      </c>
      <c r="D121" t="s">
        <v>692</v>
      </c>
      <c r="E121">
        <v>1</v>
      </c>
      <c r="F121">
        <v>94</v>
      </c>
      <c r="G121">
        <v>98</v>
      </c>
      <c r="H121">
        <v>7679</v>
      </c>
      <c r="I121">
        <v>0.70322321596614101</v>
      </c>
      <c r="J121">
        <v>0.89954508929035504</v>
      </c>
      <c r="K121">
        <v>0.83358662613981804</v>
      </c>
      <c r="L121" t="s">
        <v>1316</v>
      </c>
      <c r="M121" t="str">
        <f>HYPERLINK("../../3.KEGG_map/SCI_III-vs-NC-Up/rno04972.html","rno04972")</f>
        <v>rno04972</v>
      </c>
    </row>
    <row r="122" spans="1:13" x14ac:dyDescent="0.25">
      <c r="A122" t="s">
        <v>700</v>
      </c>
      <c r="B122" t="s">
        <v>701</v>
      </c>
      <c r="C122" t="s">
        <v>281</v>
      </c>
      <c r="D122" t="s">
        <v>692</v>
      </c>
      <c r="E122">
        <v>1</v>
      </c>
      <c r="F122">
        <v>94</v>
      </c>
      <c r="G122">
        <v>39</v>
      </c>
      <c r="H122">
        <v>7679</v>
      </c>
      <c r="I122">
        <v>0.38217615130270499</v>
      </c>
      <c r="J122">
        <v>0.89954508929035504</v>
      </c>
      <c r="K122">
        <v>2.0946535733769802</v>
      </c>
      <c r="L122" t="s">
        <v>1232</v>
      </c>
      <c r="M122" t="str">
        <f>HYPERLINK("../../3.KEGG_map/SCI_III-vs-NC-Up/rno04973.html","rno04973")</f>
        <v>rno04973</v>
      </c>
    </row>
    <row r="123" spans="1:13" x14ac:dyDescent="0.25">
      <c r="A123" t="s">
        <v>703</v>
      </c>
      <c r="B123" t="s">
        <v>704</v>
      </c>
      <c r="C123" t="s">
        <v>281</v>
      </c>
      <c r="D123" t="s">
        <v>692</v>
      </c>
      <c r="E123">
        <v>1</v>
      </c>
      <c r="F123">
        <v>94</v>
      </c>
      <c r="G123">
        <v>87</v>
      </c>
      <c r="H123">
        <v>7679</v>
      </c>
      <c r="I123">
        <v>0.65960137199328195</v>
      </c>
      <c r="J123">
        <v>0.89954508929035504</v>
      </c>
      <c r="K123">
        <v>0.938982636341404</v>
      </c>
      <c r="L123" t="s">
        <v>1316</v>
      </c>
      <c r="M123" t="str">
        <f>HYPERLINK("../../3.KEGG_map/SCI_III-vs-NC-Up/rno04974.html","rno04974")</f>
        <v>rno04974</v>
      </c>
    </row>
    <row r="124" spans="1:13" x14ac:dyDescent="0.25">
      <c r="A124" t="s">
        <v>709</v>
      </c>
      <c r="B124" t="s">
        <v>710</v>
      </c>
      <c r="C124" t="s">
        <v>281</v>
      </c>
      <c r="D124" t="s">
        <v>692</v>
      </c>
      <c r="E124">
        <v>1</v>
      </c>
      <c r="F124">
        <v>94</v>
      </c>
      <c r="G124">
        <v>71</v>
      </c>
      <c r="H124">
        <v>7679</v>
      </c>
      <c r="I124">
        <v>0.58460370012228002</v>
      </c>
      <c r="J124">
        <v>0.89954508929035504</v>
      </c>
      <c r="K124">
        <v>1.15058435720707</v>
      </c>
      <c r="L124" t="s">
        <v>1317</v>
      </c>
      <c r="M124" t="str">
        <f>HYPERLINK("../../3.KEGG_map/SCI_III-vs-NC-Up/rno04976.html","rno04976")</f>
        <v>rno04976</v>
      </c>
    </row>
    <row r="125" spans="1:13" x14ac:dyDescent="0.25">
      <c r="A125" t="s">
        <v>721</v>
      </c>
      <c r="B125" t="s">
        <v>722</v>
      </c>
      <c r="C125" t="s">
        <v>235</v>
      </c>
      <c r="D125" t="s">
        <v>723</v>
      </c>
      <c r="E125">
        <v>1</v>
      </c>
      <c r="F125">
        <v>94</v>
      </c>
      <c r="G125">
        <v>164</v>
      </c>
      <c r="H125">
        <v>7679</v>
      </c>
      <c r="I125">
        <v>0.87020847130152301</v>
      </c>
      <c r="J125">
        <v>0.89954508929035504</v>
      </c>
      <c r="K125">
        <v>0.498118837571354</v>
      </c>
      <c r="L125" t="s">
        <v>1281</v>
      </c>
      <c r="M125" t="str">
        <f>HYPERLINK("../../3.KEGG_map/SCI_III-vs-NC-Up/rno05010.html","rno05010")</f>
        <v>rno05010</v>
      </c>
    </row>
    <row r="126" spans="1:13" x14ac:dyDescent="0.25">
      <c r="A126" t="s">
        <v>731</v>
      </c>
      <c r="B126" t="s">
        <v>732</v>
      </c>
      <c r="C126" t="s">
        <v>235</v>
      </c>
      <c r="D126" t="s">
        <v>723</v>
      </c>
      <c r="E126">
        <v>2</v>
      </c>
      <c r="F126">
        <v>94</v>
      </c>
      <c r="G126">
        <v>181</v>
      </c>
      <c r="H126">
        <v>7679</v>
      </c>
      <c r="I126">
        <v>0.65452386535226903</v>
      </c>
      <c r="J126">
        <v>0.89954508929035504</v>
      </c>
      <c r="K126">
        <v>0.90266839073703997</v>
      </c>
      <c r="L126" t="s">
        <v>1318</v>
      </c>
      <c r="M126" t="str">
        <f>HYPERLINK("../../3.KEGG_map/SCI_III-vs-NC-Up/rno05016.html","rno05016")</f>
        <v>rno05016</v>
      </c>
    </row>
    <row r="127" spans="1:13" x14ac:dyDescent="0.25">
      <c r="A127" t="s">
        <v>734</v>
      </c>
      <c r="B127" t="s">
        <v>735</v>
      </c>
      <c r="C127" t="s">
        <v>235</v>
      </c>
      <c r="D127" t="s">
        <v>723</v>
      </c>
      <c r="E127">
        <v>1</v>
      </c>
      <c r="F127">
        <v>94</v>
      </c>
      <c r="G127">
        <v>34</v>
      </c>
      <c r="H127">
        <v>7679</v>
      </c>
      <c r="I127">
        <v>0.34274054775132801</v>
      </c>
      <c r="J127">
        <v>0.87243048518519695</v>
      </c>
      <c r="K127">
        <v>2.4026908635794699</v>
      </c>
      <c r="L127" t="s">
        <v>1278</v>
      </c>
      <c r="M127" t="str">
        <f>HYPERLINK("../../3.KEGG_map/SCI_III-vs-NC-Up/rno05020.html","rno05020")</f>
        <v>rno05020</v>
      </c>
    </row>
    <row r="128" spans="1:13" x14ac:dyDescent="0.25">
      <c r="A128" t="s">
        <v>737</v>
      </c>
      <c r="B128" t="s">
        <v>738</v>
      </c>
      <c r="C128" t="s">
        <v>235</v>
      </c>
      <c r="D128" t="s">
        <v>739</v>
      </c>
      <c r="E128">
        <v>1</v>
      </c>
      <c r="F128">
        <v>94</v>
      </c>
      <c r="G128">
        <v>47</v>
      </c>
      <c r="H128">
        <v>7679</v>
      </c>
      <c r="I128">
        <v>0.44045841767079602</v>
      </c>
      <c r="J128">
        <v>0.89954508929035504</v>
      </c>
      <c r="K128">
        <v>1.73811679492983</v>
      </c>
      <c r="L128" t="s">
        <v>1304</v>
      </c>
      <c r="M128" t="str">
        <f>HYPERLINK("../../3.KEGG_map/SCI_III-vs-NC-Up/rno05030.html","rno05030")</f>
        <v>rno05030</v>
      </c>
    </row>
    <row r="129" spans="1:13" x14ac:dyDescent="0.25">
      <c r="A129" t="s">
        <v>750</v>
      </c>
      <c r="B129" t="s">
        <v>751</v>
      </c>
      <c r="C129" t="s">
        <v>235</v>
      </c>
      <c r="D129" t="s">
        <v>739</v>
      </c>
      <c r="E129">
        <v>1</v>
      </c>
      <c r="F129">
        <v>94</v>
      </c>
      <c r="G129">
        <v>143</v>
      </c>
      <c r="H129">
        <v>7679</v>
      </c>
      <c r="I129">
        <v>0.83100447846819003</v>
      </c>
      <c r="J129">
        <v>0.89954508929035504</v>
      </c>
      <c r="K129">
        <v>0.57126915637553899</v>
      </c>
      <c r="L129" t="s">
        <v>1304</v>
      </c>
      <c r="M129" t="str">
        <f>HYPERLINK("../../3.KEGG_map/SCI_III-vs-NC-Up/rno05034.html","rno05034")</f>
        <v>rno05034</v>
      </c>
    </row>
    <row r="130" spans="1:13" x14ac:dyDescent="0.25">
      <c r="A130" t="s">
        <v>753</v>
      </c>
      <c r="B130" t="s">
        <v>754</v>
      </c>
      <c r="C130" t="s">
        <v>235</v>
      </c>
      <c r="D130" t="s">
        <v>755</v>
      </c>
      <c r="E130">
        <v>1</v>
      </c>
      <c r="F130">
        <v>94</v>
      </c>
      <c r="G130">
        <v>75</v>
      </c>
      <c r="H130">
        <v>7679</v>
      </c>
      <c r="I130">
        <v>0.60475982317877097</v>
      </c>
      <c r="J130">
        <v>0.89954508929035504</v>
      </c>
      <c r="K130">
        <v>1.08921985815603</v>
      </c>
      <c r="L130" t="s">
        <v>1319</v>
      </c>
      <c r="M130" t="str">
        <f>HYPERLINK("../../3.KEGG_map/SCI_III-vs-NC-Up/rno05100.html","rno05100")</f>
        <v>rno05100</v>
      </c>
    </row>
    <row r="131" spans="1:13" x14ac:dyDescent="0.25">
      <c r="A131" t="s">
        <v>757</v>
      </c>
      <c r="B131" t="s">
        <v>758</v>
      </c>
      <c r="C131" t="s">
        <v>235</v>
      </c>
      <c r="D131" t="s">
        <v>755</v>
      </c>
      <c r="E131">
        <v>2</v>
      </c>
      <c r="F131">
        <v>94</v>
      </c>
      <c r="G131">
        <v>80</v>
      </c>
      <c r="H131">
        <v>7679</v>
      </c>
      <c r="I131">
        <v>0.25650525753499198</v>
      </c>
      <c r="J131">
        <v>0.87243048518519695</v>
      </c>
      <c r="K131">
        <v>2.0422872340425502</v>
      </c>
      <c r="L131" t="s">
        <v>1320</v>
      </c>
      <c r="M131" t="str">
        <f>HYPERLINK("../../3.KEGG_map/SCI_III-vs-NC-Up/rno05132.html","rno05132")</f>
        <v>rno05132</v>
      </c>
    </row>
    <row r="132" spans="1:13" x14ac:dyDescent="0.25">
      <c r="A132" t="s">
        <v>760</v>
      </c>
      <c r="B132" t="s">
        <v>761</v>
      </c>
      <c r="C132" t="s">
        <v>235</v>
      </c>
      <c r="D132" t="s">
        <v>755</v>
      </c>
      <c r="E132">
        <v>1</v>
      </c>
      <c r="F132">
        <v>94</v>
      </c>
      <c r="G132">
        <v>72</v>
      </c>
      <c r="H132">
        <v>7679</v>
      </c>
      <c r="I132">
        <v>0.58973609394306103</v>
      </c>
      <c r="J132">
        <v>0.89954508929035504</v>
      </c>
      <c r="K132">
        <v>1.1346040189125299</v>
      </c>
      <c r="L132" t="s">
        <v>1278</v>
      </c>
      <c r="M132" t="str">
        <f>HYPERLINK("../../3.KEGG_map/SCI_III-vs-NC-Up/rno05133.html","rno05133")</f>
        <v>rno05133</v>
      </c>
    </row>
    <row r="133" spans="1:13" x14ac:dyDescent="0.25">
      <c r="A133" t="s">
        <v>763</v>
      </c>
      <c r="B133" t="s">
        <v>764</v>
      </c>
      <c r="C133" t="s">
        <v>235</v>
      </c>
      <c r="D133" t="s">
        <v>755</v>
      </c>
      <c r="E133">
        <v>1</v>
      </c>
      <c r="F133">
        <v>94</v>
      </c>
      <c r="G133">
        <v>53</v>
      </c>
      <c r="H133">
        <v>7679</v>
      </c>
      <c r="I133">
        <v>0.48056842488434798</v>
      </c>
      <c r="J133">
        <v>0.89954508929035504</v>
      </c>
      <c r="K133">
        <v>1.5413488558811701</v>
      </c>
      <c r="L133" t="s">
        <v>1295</v>
      </c>
      <c r="M133" t="str">
        <f>HYPERLINK("../../3.KEGG_map/SCI_III-vs-NC-Up/rno05134.html","rno05134")</f>
        <v>rno05134</v>
      </c>
    </row>
    <row r="134" spans="1:13" x14ac:dyDescent="0.25">
      <c r="A134" t="s">
        <v>766</v>
      </c>
      <c r="B134" t="s">
        <v>767</v>
      </c>
      <c r="C134" t="s">
        <v>235</v>
      </c>
      <c r="D134" t="s">
        <v>768</v>
      </c>
      <c r="E134">
        <v>1</v>
      </c>
      <c r="F134">
        <v>94</v>
      </c>
      <c r="G134">
        <v>65</v>
      </c>
      <c r="H134">
        <v>7679</v>
      </c>
      <c r="I134">
        <v>0.55244798676612705</v>
      </c>
      <c r="J134">
        <v>0.89954508929035504</v>
      </c>
      <c r="K134">
        <v>1.25679214402619</v>
      </c>
      <c r="L134" t="s">
        <v>1278</v>
      </c>
      <c r="M134" t="str">
        <f>HYPERLINK("../../3.KEGG_map/SCI_III-vs-NC-Up/rno05140.html","rno05140")</f>
        <v>rno05140</v>
      </c>
    </row>
    <row r="135" spans="1:13" x14ac:dyDescent="0.25">
      <c r="A135" t="s">
        <v>770</v>
      </c>
      <c r="B135" t="s">
        <v>771</v>
      </c>
      <c r="C135" t="s">
        <v>235</v>
      </c>
      <c r="D135" t="s">
        <v>768</v>
      </c>
      <c r="E135">
        <v>1</v>
      </c>
      <c r="F135">
        <v>94</v>
      </c>
      <c r="G135">
        <v>101</v>
      </c>
      <c r="H135">
        <v>7679</v>
      </c>
      <c r="I135">
        <v>0.71412789760724704</v>
      </c>
      <c r="J135">
        <v>0.89954508929035504</v>
      </c>
      <c r="K135">
        <v>0.80882662734358501</v>
      </c>
      <c r="L135" t="s">
        <v>1301</v>
      </c>
      <c r="M135" t="str">
        <f>HYPERLINK("../../3.KEGG_map/SCI_III-vs-NC-Up/rno05142.html","rno05142")</f>
        <v>rno05142</v>
      </c>
    </row>
    <row r="136" spans="1:13" x14ac:dyDescent="0.25">
      <c r="A136" t="s">
        <v>776</v>
      </c>
      <c r="B136" t="s">
        <v>777</v>
      </c>
      <c r="C136" t="s">
        <v>235</v>
      </c>
      <c r="D136" t="s">
        <v>768</v>
      </c>
      <c r="E136">
        <v>1</v>
      </c>
      <c r="F136">
        <v>94</v>
      </c>
      <c r="G136">
        <v>52</v>
      </c>
      <c r="H136">
        <v>7679</v>
      </c>
      <c r="I136">
        <v>0.47408673524398298</v>
      </c>
      <c r="J136">
        <v>0.89954508929035504</v>
      </c>
      <c r="K136">
        <v>1.5709901800327299</v>
      </c>
      <c r="L136" t="s">
        <v>1272</v>
      </c>
      <c r="M136" t="str">
        <f>HYPERLINK("../../3.KEGG_map/SCI_III-vs-NC-Up/rno05144.html","rno05144")</f>
        <v>rno05144</v>
      </c>
    </row>
    <row r="137" spans="1:13" x14ac:dyDescent="0.25">
      <c r="A137" t="s">
        <v>779</v>
      </c>
      <c r="B137" t="s">
        <v>780</v>
      </c>
      <c r="C137" t="s">
        <v>235</v>
      </c>
      <c r="D137" t="s">
        <v>768</v>
      </c>
      <c r="E137">
        <v>1</v>
      </c>
      <c r="F137">
        <v>94</v>
      </c>
      <c r="G137">
        <v>107</v>
      </c>
      <c r="H137">
        <v>7679</v>
      </c>
      <c r="I137">
        <v>0.73476181928737005</v>
      </c>
      <c r="J137">
        <v>0.89954508929035504</v>
      </c>
      <c r="K137">
        <v>0.76347186319347804</v>
      </c>
      <c r="L137" t="s">
        <v>1321</v>
      </c>
      <c r="M137" t="str">
        <f>HYPERLINK("../../3.KEGG_map/SCI_III-vs-NC-Up/rno05145.html","rno05145")</f>
        <v>rno05145</v>
      </c>
    </row>
    <row r="138" spans="1:13" x14ac:dyDescent="0.25">
      <c r="A138" t="s">
        <v>782</v>
      </c>
      <c r="B138" t="s">
        <v>783</v>
      </c>
      <c r="C138" t="s">
        <v>235</v>
      </c>
      <c r="D138" t="s">
        <v>768</v>
      </c>
      <c r="E138">
        <v>3</v>
      </c>
      <c r="F138">
        <v>94</v>
      </c>
      <c r="G138">
        <v>96</v>
      </c>
      <c r="H138">
        <v>7679</v>
      </c>
      <c r="I138">
        <v>0.11295255033413799</v>
      </c>
      <c r="J138">
        <v>0.84622869751891505</v>
      </c>
      <c r="K138">
        <v>2.5528590425531901</v>
      </c>
      <c r="L138" t="s">
        <v>1322</v>
      </c>
      <c r="M138" t="str">
        <f>HYPERLINK("../../3.KEGG_map/SCI_III-vs-NC-Up/rno05146.html","rno05146")</f>
        <v>rno05146</v>
      </c>
    </row>
    <row r="139" spans="1:13" x14ac:dyDescent="0.25">
      <c r="A139" t="s">
        <v>788</v>
      </c>
      <c r="B139" t="s">
        <v>789</v>
      </c>
      <c r="C139" t="s">
        <v>235</v>
      </c>
      <c r="D139" t="s">
        <v>755</v>
      </c>
      <c r="E139">
        <v>2</v>
      </c>
      <c r="F139">
        <v>94</v>
      </c>
      <c r="G139">
        <v>169</v>
      </c>
      <c r="H139">
        <v>7679</v>
      </c>
      <c r="I139">
        <v>0.61709607865154903</v>
      </c>
      <c r="J139">
        <v>0.89954508929035504</v>
      </c>
      <c r="K139">
        <v>0.96676318771245096</v>
      </c>
      <c r="L139" t="s">
        <v>1323</v>
      </c>
      <c r="M139" t="str">
        <f>HYPERLINK("../../3.KEGG_map/SCI_III-vs-NC-Up/rno05152.html","rno05152")</f>
        <v>rno05152</v>
      </c>
    </row>
    <row r="140" spans="1:13" x14ac:dyDescent="0.25">
      <c r="A140" t="s">
        <v>791</v>
      </c>
      <c r="B140" t="s">
        <v>792</v>
      </c>
      <c r="C140" t="s">
        <v>235</v>
      </c>
      <c r="D140" t="s">
        <v>793</v>
      </c>
      <c r="E140">
        <v>1</v>
      </c>
      <c r="F140">
        <v>94</v>
      </c>
      <c r="G140">
        <v>122</v>
      </c>
      <c r="H140">
        <v>7679</v>
      </c>
      <c r="I140">
        <v>0.78012134372315001</v>
      </c>
      <c r="J140">
        <v>0.89954508929035504</v>
      </c>
      <c r="K140">
        <v>0.66960237181723103</v>
      </c>
      <c r="L140" t="s">
        <v>1324</v>
      </c>
      <c r="M140" t="str">
        <f>HYPERLINK("../../3.KEGG_map/SCI_III-vs-NC-Up/rno05160.html","rno05160")</f>
        <v>rno05160</v>
      </c>
    </row>
    <row r="141" spans="1:13" x14ac:dyDescent="0.25">
      <c r="A141" t="s">
        <v>798</v>
      </c>
      <c r="B141" t="s">
        <v>799</v>
      </c>
      <c r="C141" t="s">
        <v>235</v>
      </c>
      <c r="D141" t="s">
        <v>793</v>
      </c>
      <c r="E141">
        <v>2</v>
      </c>
      <c r="F141">
        <v>94</v>
      </c>
      <c r="G141">
        <v>125</v>
      </c>
      <c r="H141">
        <v>7679</v>
      </c>
      <c r="I141">
        <v>0.454712060229716</v>
      </c>
      <c r="J141">
        <v>0.89954508929035504</v>
      </c>
      <c r="K141">
        <v>1.3070638297872299</v>
      </c>
      <c r="L141" t="s">
        <v>1298</v>
      </c>
      <c r="M141" t="str">
        <f>HYPERLINK("../../3.KEGG_map/SCI_III-vs-NC-Up/rno05162.html","rno05162")</f>
        <v>rno05162</v>
      </c>
    </row>
    <row r="142" spans="1:13" x14ac:dyDescent="0.25">
      <c r="A142" t="s">
        <v>801</v>
      </c>
      <c r="B142" t="s">
        <v>802</v>
      </c>
      <c r="C142" t="s">
        <v>235</v>
      </c>
      <c r="D142" t="s">
        <v>793</v>
      </c>
      <c r="E142">
        <v>1</v>
      </c>
      <c r="F142">
        <v>94</v>
      </c>
      <c r="G142">
        <v>158</v>
      </c>
      <c r="H142">
        <v>7679</v>
      </c>
      <c r="I142">
        <v>0.86003150135984197</v>
      </c>
      <c r="J142">
        <v>0.89954508929035504</v>
      </c>
      <c r="K142">
        <v>0.51703474279558304</v>
      </c>
      <c r="L142" t="s">
        <v>1278</v>
      </c>
      <c r="M142" t="str">
        <f>HYPERLINK("../../3.KEGG_map/SCI_III-vs-NC-Up/rno05164.html","rno05164")</f>
        <v>rno05164</v>
      </c>
    </row>
    <row r="143" spans="1:13" x14ac:dyDescent="0.25">
      <c r="A143" t="s">
        <v>804</v>
      </c>
      <c r="B143" t="s">
        <v>805</v>
      </c>
      <c r="C143" t="s">
        <v>235</v>
      </c>
      <c r="D143" t="s">
        <v>793</v>
      </c>
      <c r="E143">
        <v>6</v>
      </c>
      <c r="F143">
        <v>94</v>
      </c>
      <c r="G143">
        <v>327</v>
      </c>
      <c r="H143">
        <v>7679</v>
      </c>
      <c r="I143">
        <v>0.21084553028167399</v>
      </c>
      <c r="J143">
        <v>0.87243048518519695</v>
      </c>
      <c r="K143">
        <v>1.4989264103064599</v>
      </c>
      <c r="L143" t="s">
        <v>1325</v>
      </c>
      <c r="M143" t="str">
        <f>HYPERLINK("../../3.KEGG_map/SCI_III-vs-NC-Up/rno05165.html","rno05165")</f>
        <v>rno05165</v>
      </c>
    </row>
    <row r="144" spans="1:13" x14ac:dyDescent="0.25">
      <c r="A144" t="s">
        <v>807</v>
      </c>
      <c r="B144" t="s">
        <v>808</v>
      </c>
      <c r="C144" t="s">
        <v>235</v>
      </c>
      <c r="D144" t="s">
        <v>793</v>
      </c>
      <c r="E144">
        <v>2</v>
      </c>
      <c r="F144">
        <v>94</v>
      </c>
      <c r="G144">
        <v>269</v>
      </c>
      <c r="H144">
        <v>7679</v>
      </c>
      <c r="I144">
        <v>0.84719123516369899</v>
      </c>
      <c r="J144">
        <v>0.89954508929035504</v>
      </c>
      <c r="K144">
        <v>0.60737166811674403</v>
      </c>
      <c r="L144" t="s">
        <v>1326</v>
      </c>
      <c r="M144" t="str">
        <f>HYPERLINK("../../3.KEGG_map/SCI_III-vs-NC-Up/rno05166.html","rno05166")</f>
        <v>rno05166</v>
      </c>
    </row>
    <row r="145" spans="1:13" x14ac:dyDescent="0.25">
      <c r="A145" t="s">
        <v>810</v>
      </c>
      <c r="B145" t="s">
        <v>811</v>
      </c>
      <c r="C145" t="s">
        <v>235</v>
      </c>
      <c r="D145" t="s">
        <v>793</v>
      </c>
      <c r="E145">
        <v>1</v>
      </c>
      <c r="F145">
        <v>94</v>
      </c>
      <c r="G145">
        <v>194</v>
      </c>
      <c r="H145">
        <v>7679</v>
      </c>
      <c r="I145">
        <v>0.91109412114186406</v>
      </c>
      <c r="J145">
        <v>0.91654977456187603</v>
      </c>
      <c r="K145">
        <v>0.42109015134897998</v>
      </c>
      <c r="L145" t="s">
        <v>1295</v>
      </c>
      <c r="M145" t="str">
        <f>HYPERLINK("../../3.KEGG_map/SCI_III-vs-NC-Up/rno05167.html","rno05167")</f>
        <v>rno05167</v>
      </c>
    </row>
    <row r="146" spans="1:13" x14ac:dyDescent="0.25">
      <c r="A146" t="s">
        <v>813</v>
      </c>
      <c r="B146" t="s">
        <v>814</v>
      </c>
      <c r="C146" t="s">
        <v>235</v>
      </c>
      <c r="D146" t="s">
        <v>793</v>
      </c>
      <c r="E146">
        <v>1</v>
      </c>
      <c r="F146">
        <v>94</v>
      </c>
      <c r="G146">
        <v>190</v>
      </c>
      <c r="H146">
        <v>7679</v>
      </c>
      <c r="I146">
        <v>0.90648581081192003</v>
      </c>
      <c r="J146">
        <v>0.91654977456187603</v>
      </c>
      <c r="K146">
        <v>0.42995520716685298</v>
      </c>
      <c r="L146" t="s">
        <v>1327</v>
      </c>
      <c r="M146" t="str">
        <f>HYPERLINK("../../3.KEGG_map/SCI_III-vs-NC-Up/rno05168.html","rno05168")</f>
        <v>rno05168</v>
      </c>
    </row>
    <row r="147" spans="1:13" x14ac:dyDescent="0.25">
      <c r="A147" t="s">
        <v>816</v>
      </c>
      <c r="B147" t="s">
        <v>817</v>
      </c>
      <c r="C147" t="s">
        <v>235</v>
      </c>
      <c r="D147" t="s">
        <v>793</v>
      </c>
      <c r="E147">
        <v>2</v>
      </c>
      <c r="F147">
        <v>94</v>
      </c>
      <c r="G147">
        <v>204</v>
      </c>
      <c r="H147">
        <v>7679</v>
      </c>
      <c r="I147">
        <v>0.71814058525051705</v>
      </c>
      <c r="J147">
        <v>0.89954508929035504</v>
      </c>
      <c r="K147">
        <v>0.80089695452649101</v>
      </c>
      <c r="L147" t="s">
        <v>1238</v>
      </c>
      <c r="M147" t="str">
        <f>HYPERLINK("../../3.KEGG_map/SCI_III-vs-NC-Up/rno05169.html","rno05169")</f>
        <v>rno05169</v>
      </c>
    </row>
    <row r="148" spans="1:13" x14ac:dyDescent="0.25">
      <c r="A148" t="s">
        <v>819</v>
      </c>
      <c r="B148" t="s">
        <v>820</v>
      </c>
      <c r="C148" t="s">
        <v>235</v>
      </c>
      <c r="D148" t="s">
        <v>821</v>
      </c>
      <c r="E148">
        <v>4</v>
      </c>
      <c r="F148">
        <v>94</v>
      </c>
      <c r="G148">
        <v>508</v>
      </c>
      <c r="H148">
        <v>7679</v>
      </c>
      <c r="I148">
        <v>0.87744340400961596</v>
      </c>
      <c r="J148">
        <v>0.89954508929035504</v>
      </c>
      <c r="K148">
        <v>0.64324007371419001</v>
      </c>
      <c r="L148" t="s">
        <v>1328</v>
      </c>
      <c r="M148" t="str">
        <f>HYPERLINK("../../3.KEGG_map/SCI_III-vs-NC-Up/rno05200.html","rno05200")</f>
        <v>rno05200</v>
      </c>
    </row>
    <row r="149" spans="1:13" x14ac:dyDescent="0.25">
      <c r="A149" t="s">
        <v>823</v>
      </c>
      <c r="B149" t="s">
        <v>824</v>
      </c>
      <c r="C149" t="s">
        <v>235</v>
      </c>
      <c r="D149" t="s">
        <v>821</v>
      </c>
      <c r="E149">
        <v>1</v>
      </c>
      <c r="F149">
        <v>94</v>
      </c>
      <c r="G149">
        <v>168</v>
      </c>
      <c r="H149">
        <v>7679</v>
      </c>
      <c r="I149">
        <v>0.87658278533887402</v>
      </c>
      <c r="J149">
        <v>0.89954508929035504</v>
      </c>
      <c r="K149">
        <v>0.48625886524822698</v>
      </c>
      <c r="L149" t="s">
        <v>1329</v>
      </c>
      <c r="M149" t="str">
        <f>HYPERLINK("../../3.KEGG_map/SCI_III-vs-NC-Up/rno05202.html","rno05202")</f>
        <v>rno05202</v>
      </c>
    </row>
    <row r="150" spans="1:13" x14ac:dyDescent="0.25">
      <c r="A150" t="s">
        <v>829</v>
      </c>
      <c r="B150" t="s">
        <v>830</v>
      </c>
      <c r="C150" t="s">
        <v>235</v>
      </c>
      <c r="D150" t="s">
        <v>821</v>
      </c>
      <c r="E150">
        <v>1</v>
      </c>
      <c r="F150">
        <v>94</v>
      </c>
      <c r="G150">
        <v>85</v>
      </c>
      <c r="H150">
        <v>7679</v>
      </c>
      <c r="I150">
        <v>0.65101466567163002</v>
      </c>
      <c r="J150">
        <v>0.89954508929035504</v>
      </c>
      <c r="K150">
        <v>0.96107634543178999</v>
      </c>
      <c r="L150" t="s">
        <v>1233</v>
      </c>
      <c r="M150" t="str">
        <f>HYPERLINK("../../3.KEGG_map/SCI_III-vs-NC-Up/rno05204.html","rno05204")</f>
        <v>rno05204</v>
      </c>
    </row>
    <row r="151" spans="1:13" x14ac:dyDescent="0.25">
      <c r="A151" t="s">
        <v>832</v>
      </c>
      <c r="B151" t="s">
        <v>833</v>
      </c>
      <c r="C151" t="s">
        <v>235</v>
      </c>
      <c r="D151" t="s">
        <v>821</v>
      </c>
      <c r="E151">
        <v>3</v>
      </c>
      <c r="F151">
        <v>94</v>
      </c>
      <c r="G151">
        <v>198</v>
      </c>
      <c r="H151">
        <v>7679</v>
      </c>
      <c r="I151">
        <v>0.43856699838784002</v>
      </c>
      <c r="J151">
        <v>0.89954508929035504</v>
      </c>
      <c r="K151">
        <v>1.2377498388136701</v>
      </c>
      <c r="L151" t="s">
        <v>1330</v>
      </c>
      <c r="M151" t="str">
        <f>HYPERLINK("../../3.KEGG_map/SCI_III-vs-NC-Up/rno05205.html","rno05205")</f>
        <v>rno05205</v>
      </c>
    </row>
    <row r="152" spans="1:13" x14ac:dyDescent="0.25">
      <c r="A152" t="s">
        <v>835</v>
      </c>
      <c r="B152" t="s">
        <v>836</v>
      </c>
      <c r="C152" t="s">
        <v>235</v>
      </c>
      <c r="D152" t="s">
        <v>821</v>
      </c>
      <c r="E152">
        <v>3</v>
      </c>
      <c r="F152">
        <v>94</v>
      </c>
      <c r="G152">
        <v>141</v>
      </c>
      <c r="H152">
        <v>7679</v>
      </c>
      <c r="I152">
        <v>0.24848583076452899</v>
      </c>
      <c r="J152">
        <v>0.87243048518519695</v>
      </c>
      <c r="K152">
        <v>1.73811679492983</v>
      </c>
      <c r="L152" t="s">
        <v>1331</v>
      </c>
      <c r="M152" t="str">
        <f>HYPERLINK("../../3.KEGG_map/SCI_III-vs-NC-Up/rno05206.html","rno05206")</f>
        <v>rno05206</v>
      </c>
    </row>
    <row r="153" spans="1:13" x14ac:dyDescent="0.25">
      <c r="A153" t="s">
        <v>860</v>
      </c>
      <c r="B153" t="s">
        <v>861</v>
      </c>
      <c r="C153" t="s">
        <v>235</v>
      </c>
      <c r="D153" t="s">
        <v>840</v>
      </c>
      <c r="E153">
        <v>1</v>
      </c>
      <c r="F153">
        <v>94</v>
      </c>
      <c r="G153">
        <v>60</v>
      </c>
      <c r="H153">
        <v>7679</v>
      </c>
      <c r="I153">
        <v>0.52377961161865205</v>
      </c>
      <c r="J153">
        <v>0.89954508929035504</v>
      </c>
      <c r="K153">
        <v>1.36152482269504</v>
      </c>
      <c r="L153" t="s">
        <v>1276</v>
      </c>
      <c r="M153" t="str">
        <f>HYPERLINK("../../3.KEGG_map/SCI_III-vs-NC-Up/rno05217.html","rno05217")</f>
        <v>rno05217</v>
      </c>
    </row>
    <row r="154" spans="1:13" x14ac:dyDescent="0.25">
      <c r="A154" t="s">
        <v>866</v>
      </c>
      <c r="B154" t="s">
        <v>867</v>
      </c>
      <c r="C154" t="s">
        <v>235</v>
      </c>
      <c r="D154" t="s">
        <v>840</v>
      </c>
      <c r="E154">
        <v>1</v>
      </c>
      <c r="F154">
        <v>94</v>
      </c>
      <c r="G154">
        <v>40</v>
      </c>
      <c r="H154">
        <v>7679</v>
      </c>
      <c r="I154">
        <v>0.389777648917567</v>
      </c>
      <c r="J154">
        <v>0.89954508929035504</v>
      </c>
      <c r="K154">
        <v>2.0422872340425502</v>
      </c>
      <c r="L154" t="s">
        <v>1272</v>
      </c>
      <c r="M154" t="str">
        <f>HYPERLINK("../../3.KEGG_map/SCI_III-vs-NC-Up/rno05219.html","rno05219")</f>
        <v>rno05219</v>
      </c>
    </row>
    <row r="155" spans="1:13" x14ac:dyDescent="0.25">
      <c r="A155" t="s">
        <v>875</v>
      </c>
      <c r="B155" t="s">
        <v>876</v>
      </c>
      <c r="C155" t="s">
        <v>235</v>
      </c>
      <c r="D155" t="s">
        <v>840</v>
      </c>
      <c r="E155">
        <v>2</v>
      </c>
      <c r="F155">
        <v>94</v>
      </c>
      <c r="G155">
        <v>91</v>
      </c>
      <c r="H155">
        <v>7679</v>
      </c>
      <c r="I155">
        <v>0.30654739609423698</v>
      </c>
      <c r="J155">
        <v>0.87243048518519695</v>
      </c>
      <c r="K155">
        <v>1.7954173486088401</v>
      </c>
      <c r="L155" t="s">
        <v>1332</v>
      </c>
      <c r="M155" t="str">
        <f>HYPERLINK("../../3.KEGG_map/SCI_III-vs-NC-Up/rno05222.html","rno05222")</f>
        <v>rno05222</v>
      </c>
    </row>
    <row r="156" spans="1:13" x14ac:dyDescent="0.25">
      <c r="A156" t="s">
        <v>881</v>
      </c>
      <c r="B156" t="s">
        <v>882</v>
      </c>
      <c r="C156" t="s">
        <v>235</v>
      </c>
      <c r="D156" t="s">
        <v>840</v>
      </c>
      <c r="E156">
        <v>1</v>
      </c>
      <c r="F156">
        <v>94</v>
      </c>
      <c r="G156">
        <v>145</v>
      </c>
      <c r="H156">
        <v>7679</v>
      </c>
      <c r="I156">
        <v>0.83519437919054895</v>
      </c>
      <c r="J156">
        <v>0.89954508929035504</v>
      </c>
      <c r="K156">
        <v>0.563389581804842</v>
      </c>
      <c r="L156" t="s">
        <v>1276</v>
      </c>
      <c r="M156" t="str">
        <f>HYPERLINK("../../3.KEGG_map/SCI_III-vs-NC-Up/rno05224.html","rno05224")</f>
        <v>rno05224</v>
      </c>
    </row>
    <row r="157" spans="1:13" x14ac:dyDescent="0.25">
      <c r="A157" t="s">
        <v>884</v>
      </c>
      <c r="B157" t="s">
        <v>885</v>
      </c>
      <c r="C157" t="s">
        <v>235</v>
      </c>
      <c r="D157" t="s">
        <v>840</v>
      </c>
      <c r="E157">
        <v>1</v>
      </c>
      <c r="F157">
        <v>94</v>
      </c>
      <c r="G157">
        <v>169</v>
      </c>
      <c r="H157">
        <v>7679</v>
      </c>
      <c r="I157">
        <v>0.87812734906915602</v>
      </c>
      <c r="J157">
        <v>0.89954508929035504</v>
      </c>
      <c r="K157">
        <v>0.48338159385622598</v>
      </c>
      <c r="L157" t="s">
        <v>1276</v>
      </c>
      <c r="M157" t="str">
        <f>HYPERLINK("../../3.KEGG_map/SCI_III-vs-NC-Up/rno05225.html","rno05225")</f>
        <v>rno05225</v>
      </c>
    </row>
    <row r="158" spans="1:13" x14ac:dyDescent="0.25">
      <c r="A158" t="s">
        <v>887</v>
      </c>
      <c r="B158" t="s">
        <v>888</v>
      </c>
      <c r="C158" t="s">
        <v>235</v>
      </c>
      <c r="D158" t="s">
        <v>840</v>
      </c>
      <c r="E158">
        <v>2</v>
      </c>
      <c r="F158">
        <v>94</v>
      </c>
      <c r="G158">
        <v>147</v>
      </c>
      <c r="H158">
        <v>7679</v>
      </c>
      <c r="I158">
        <v>0.54074558048989496</v>
      </c>
      <c r="J158">
        <v>0.89954508929035504</v>
      </c>
      <c r="K158">
        <v>1.11144883485309</v>
      </c>
      <c r="L158" t="s">
        <v>1333</v>
      </c>
      <c r="M158" t="str">
        <f>HYPERLINK("../../3.KEGG_map/SCI_III-vs-NC-Up/rno05226.html","rno05226")</f>
        <v>rno05226</v>
      </c>
    </row>
    <row r="159" spans="1:13" x14ac:dyDescent="0.25">
      <c r="A159" t="s">
        <v>890</v>
      </c>
      <c r="B159" t="s">
        <v>891</v>
      </c>
      <c r="C159" t="s">
        <v>235</v>
      </c>
      <c r="D159" t="s">
        <v>821</v>
      </c>
      <c r="E159">
        <v>1</v>
      </c>
      <c r="F159">
        <v>94</v>
      </c>
      <c r="G159">
        <v>61</v>
      </c>
      <c r="H159">
        <v>7679</v>
      </c>
      <c r="I159">
        <v>0.52965501738159304</v>
      </c>
      <c r="J159">
        <v>0.89954508929035504</v>
      </c>
      <c r="K159">
        <v>1.3392047436344601</v>
      </c>
      <c r="L159" t="s">
        <v>1232</v>
      </c>
      <c r="M159" t="str">
        <f>HYPERLINK("../../3.KEGG_map/SCI_III-vs-NC-Up/rno05230.html","rno05230")</f>
        <v>rno05230</v>
      </c>
    </row>
    <row r="160" spans="1:13" x14ac:dyDescent="0.25">
      <c r="A160" t="s">
        <v>896</v>
      </c>
      <c r="B160" t="s">
        <v>897</v>
      </c>
      <c r="C160" t="s">
        <v>235</v>
      </c>
      <c r="D160" t="s">
        <v>898</v>
      </c>
      <c r="E160">
        <v>2</v>
      </c>
      <c r="F160">
        <v>94</v>
      </c>
      <c r="G160">
        <v>24</v>
      </c>
      <c r="H160">
        <v>7679</v>
      </c>
      <c r="I160">
        <v>3.4361592918884298E-2</v>
      </c>
      <c r="J160">
        <v>0.61858347087967602</v>
      </c>
      <c r="K160">
        <v>6.80762411347518</v>
      </c>
      <c r="L160" t="s">
        <v>1268</v>
      </c>
      <c r="M160" t="str">
        <f>HYPERLINK("../../3.KEGG_map/SCI_III-vs-NC-Up/rno05310.html","rno05310")</f>
        <v>rno05310</v>
      </c>
    </row>
    <row r="161" spans="1:13" x14ac:dyDescent="0.25">
      <c r="A161" t="s">
        <v>900</v>
      </c>
      <c r="B161" t="s">
        <v>901</v>
      </c>
      <c r="C161" t="s">
        <v>235</v>
      </c>
      <c r="D161" t="s">
        <v>898</v>
      </c>
      <c r="E161">
        <v>1</v>
      </c>
      <c r="F161">
        <v>94</v>
      </c>
      <c r="G161">
        <v>60</v>
      </c>
      <c r="H161">
        <v>7679</v>
      </c>
      <c r="I161">
        <v>0.52377961161865205</v>
      </c>
      <c r="J161">
        <v>0.89954508929035504</v>
      </c>
      <c r="K161">
        <v>1.36152482269504</v>
      </c>
      <c r="L161" t="s">
        <v>1309</v>
      </c>
      <c r="M161" t="str">
        <f>HYPERLINK("../../3.KEGG_map/SCI_III-vs-NC-Up/rno05320.html","rno05320")</f>
        <v>rno05320</v>
      </c>
    </row>
    <row r="162" spans="1:13" x14ac:dyDescent="0.25">
      <c r="A162" t="s">
        <v>903</v>
      </c>
      <c r="B162" t="s">
        <v>904</v>
      </c>
      <c r="C162" t="s">
        <v>235</v>
      </c>
      <c r="D162" t="s">
        <v>898</v>
      </c>
      <c r="E162">
        <v>1</v>
      </c>
      <c r="F162">
        <v>94</v>
      </c>
      <c r="G162">
        <v>59</v>
      </c>
      <c r="H162">
        <v>7679</v>
      </c>
      <c r="I162">
        <v>0.51783160251582905</v>
      </c>
      <c r="J162">
        <v>0.89954508929035504</v>
      </c>
      <c r="K162">
        <v>1.38460151460512</v>
      </c>
      <c r="L162" t="s">
        <v>1278</v>
      </c>
      <c r="M162" t="str">
        <f>HYPERLINK("../../3.KEGG_map/SCI_III-vs-NC-Up/rno05321.html","rno05321")</f>
        <v>rno05321</v>
      </c>
    </row>
    <row r="163" spans="1:13" x14ac:dyDescent="0.25">
      <c r="A163" t="s">
        <v>909</v>
      </c>
      <c r="B163" t="s">
        <v>910</v>
      </c>
      <c r="C163" t="s">
        <v>235</v>
      </c>
      <c r="D163" t="s">
        <v>898</v>
      </c>
      <c r="E163">
        <v>2</v>
      </c>
      <c r="F163">
        <v>94</v>
      </c>
      <c r="G163">
        <v>81</v>
      </c>
      <c r="H163">
        <v>7679</v>
      </c>
      <c r="I163">
        <v>0.26105910901052698</v>
      </c>
      <c r="J163">
        <v>0.87243048518519695</v>
      </c>
      <c r="K163">
        <v>2.0170738114000502</v>
      </c>
      <c r="L163" t="s">
        <v>1334</v>
      </c>
      <c r="M163" t="str">
        <f>HYPERLINK("../../3.KEGG_map/SCI_III-vs-NC-Up/rno05323.html","rno05323")</f>
        <v>rno05323</v>
      </c>
    </row>
    <row r="164" spans="1:13" x14ac:dyDescent="0.25">
      <c r="A164" t="s">
        <v>915</v>
      </c>
      <c r="B164" t="s">
        <v>916</v>
      </c>
      <c r="C164" t="s">
        <v>235</v>
      </c>
      <c r="D164" t="s">
        <v>898</v>
      </c>
      <c r="E164">
        <v>1</v>
      </c>
      <c r="F164">
        <v>94</v>
      </c>
      <c r="G164">
        <v>51</v>
      </c>
      <c r="H164">
        <v>7679</v>
      </c>
      <c r="I164">
        <v>0.46752503536515799</v>
      </c>
      <c r="J164">
        <v>0.89954508929035504</v>
      </c>
      <c r="K164">
        <v>1.60179390905298</v>
      </c>
      <c r="L164" t="s">
        <v>1278</v>
      </c>
      <c r="M164" t="str">
        <f>HYPERLINK("../../3.KEGG_map/SCI_III-vs-NC-Up/rno05332.html","rno05332")</f>
        <v>rno05332</v>
      </c>
    </row>
    <row r="165" spans="1:13" x14ac:dyDescent="0.25">
      <c r="A165" t="s">
        <v>918</v>
      </c>
      <c r="B165" t="s">
        <v>919</v>
      </c>
      <c r="C165" t="s">
        <v>235</v>
      </c>
      <c r="D165" t="s">
        <v>898</v>
      </c>
      <c r="E165">
        <v>2</v>
      </c>
      <c r="F165">
        <v>94</v>
      </c>
      <c r="G165">
        <v>36</v>
      </c>
      <c r="H165">
        <v>7679</v>
      </c>
      <c r="I165">
        <v>7.1413827709672098E-2</v>
      </c>
      <c r="J165">
        <v>0.84622869751891505</v>
      </c>
      <c r="K165">
        <v>4.5384160756501197</v>
      </c>
      <c r="L165" t="s">
        <v>1335</v>
      </c>
      <c r="M165" t="str">
        <f>HYPERLINK("../../3.KEGG_map/SCI_III-vs-NC-Up/rno05340.html","rno05340")</f>
        <v>rno05340</v>
      </c>
    </row>
    <row r="166" spans="1:13" x14ac:dyDescent="0.25">
      <c r="A166" t="s">
        <v>921</v>
      </c>
      <c r="B166" t="s">
        <v>922</v>
      </c>
      <c r="C166" t="s">
        <v>235</v>
      </c>
      <c r="D166" t="s">
        <v>923</v>
      </c>
      <c r="E166">
        <v>2</v>
      </c>
      <c r="F166">
        <v>94</v>
      </c>
      <c r="G166">
        <v>86</v>
      </c>
      <c r="H166">
        <v>7679</v>
      </c>
      <c r="I166">
        <v>0.28383099154947</v>
      </c>
      <c r="J166">
        <v>0.87243048518519695</v>
      </c>
      <c r="K166">
        <v>1.8998020781791201</v>
      </c>
      <c r="L166" t="s">
        <v>1336</v>
      </c>
      <c r="M166" t="str">
        <f>HYPERLINK("../../3.KEGG_map/SCI_III-vs-NC-Up/rno05410.html","rno05410")</f>
        <v>rno05410</v>
      </c>
    </row>
    <row r="167" spans="1:13" x14ac:dyDescent="0.25">
      <c r="A167" t="s">
        <v>925</v>
      </c>
      <c r="B167" t="s">
        <v>926</v>
      </c>
      <c r="C167" t="s">
        <v>235</v>
      </c>
      <c r="D167" t="s">
        <v>923</v>
      </c>
      <c r="E167">
        <v>2</v>
      </c>
      <c r="F167">
        <v>94</v>
      </c>
      <c r="G167">
        <v>72</v>
      </c>
      <c r="H167">
        <v>7679</v>
      </c>
      <c r="I167">
        <v>0.22020373884679201</v>
      </c>
      <c r="J167">
        <v>0.87243048518519695</v>
      </c>
      <c r="K167">
        <v>2.2692080378250599</v>
      </c>
      <c r="L167" t="s">
        <v>1336</v>
      </c>
      <c r="M167" t="str">
        <f>HYPERLINK("../../3.KEGG_map/SCI_III-vs-NC-Up/rno05412.html","rno05412")</f>
        <v>rno05412</v>
      </c>
    </row>
    <row r="168" spans="1:13" x14ac:dyDescent="0.25">
      <c r="A168" t="s">
        <v>928</v>
      </c>
      <c r="B168" t="s">
        <v>929</v>
      </c>
      <c r="C168" t="s">
        <v>235</v>
      </c>
      <c r="D168" t="s">
        <v>923</v>
      </c>
      <c r="E168">
        <v>2</v>
      </c>
      <c r="F168">
        <v>94</v>
      </c>
      <c r="G168">
        <v>88</v>
      </c>
      <c r="H168">
        <v>7679</v>
      </c>
      <c r="I168">
        <v>0.29292856116096599</v>
      </c>
      <c r="J168">
        <v>0.87243048518519695</v>
      </c>
      <c r="K168">
        <v>1.8566247582205</v>
      </c>
      <c r="L168" t="s">
        <v>1336</v>
      </c>
      <c r="M168" t="str">
        <f>HYPERLINK("../../3.KEGG_map/SCI_III-vs-NC-Up/rno05414.html","rno05414")</f>
        <v>rno05414</v>
      </c>
    </row>
    <row r="169" spans="1:13" x14ac:dyDescent="0.25">
      <c r="A169" t="s">
        <v>934</v>
      </c>
      <c r="B169" t="s">
        <v>935</v>
      </c>
      <c r="C169" t="s">
        <v>235</v>
      </c>
      <c r="D169" t="s">
        <v>923</v>
      </c>
      <c r="E169">
        <v>2</v>
      </c>
      <c r="F169">
        <v>94</v>
      </c>
      <c r="G169">
        <v>141</v>
      </c>
      <c r="H169">
        <v>7679</v>
      </c>
      <c r="I169">
        <v>0.51820740235804297</v>
      </c>
      <c r="J169">
        <v>0.89954508929035504</v>
      </c>
      <c r="K169">
        <v>1.15874452995322</v>
      </c>
      <c r="L169" t="s">
        <v>1337</v>
      </c>
      <c r="M169" t="str">
        <f>HYPERLINK("../../3.KEGG_map/SCI_III-vs-NC-Up/rno05418.html","rno05418")</f>
        <v>rno05418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C3D96-7F68-4E06-9940-B929BBA30C84}">
  <dimension ref="A1:M252"/>
  <sheetViews>
    <sheetView workbookViewId="0"/>
  </sheetViews>
  <sheetFormatPr defaultRowHeight="13.8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18</v>
      </c>
      <c r="B2" t="s">
        <v>19</v>
      </c>
      <c r="C2" t="s">
        <v>15</v>
      </c>
      <c r="D2" t="s">
        <v>16</v>
      </c>
      <c r="E2">
        <v>1</v>
      </c>
      <c r="F2">
        <v>327</v>
      </c>
      <c r="G2">
        <v>16</v>
      </c>
      <c r="H2">
        <v>2681</v>
      </c>
      <c r="I2">
        <v>0.87599395906824595</v>
      </c>
      <c r="J2">
        <v>0.95183759188800698</v>
      </c>
      <c r="K2">
        <v>0.51242354740061202</v>
      </c>
      <c r="L2" t="s">
        <v>1338</v>
      </c>
      <c r="M2" t="str">
        <f>HYPERLINK("../../3.KEGG_map/SCI_I-vs-NC-Down/rno00020.html","rno00020")</f>
        <v>rno00020</v>
      </c>
    </row>
    <row r="3" spans="1:13" x14ac:dyDescent="0.25">
      <c r="A3" t="s">
        <v>21</v>
      </c>
      <c r="B3" t="s">
        <v>22</v>
      </c>
      <c r="C3" t="s">
        <v>15</v>
      </c>
      <c r="D3" t="s">
        <v>16</v>
      </c>
      <c r="E3">
        <v>1</v>
      </c>
      <c r="F3">
        <v>327</v>
      </c>
      <c r="G3">
        <v>6</v>
      </c>
      <c r="H3">
        <v>2681</v>
      </c>
      <c r="I3">
        <v>0.54215356525187797</v>
      </c>
      <c r="J3">
        <v>0.81976231854350301</v>
      </c>
      <c r="K3">
        <v>1.3664627930683</v>
      </c>
      <c r="L3" t="s">
        <v>1339</v>
      </c>
      <c r="M3" t="str">
        <f>HYPERLINK("../../3.KEGG_map/SCI_I-vs-NC-Down/rno00030.html","rno00030")</f>
        <v>rno00030</v>
      </c>
    </row>
    <row r="4" spans="1:13" x14ac:dyDescent="0.25">
      <c r="A4" t="s">
        <v>40</v>
      </c>
      <c r="B4" t="s">
        <v>41</v>
      </c>
      <c r="C4" t="s">
        <v>15</v>
      </c>
      <c r="D4" t="s">
        <v>38</v>
      </c>
      <c r="E4">
        <v>1</v>
      </c>
      <c r="F4">
        <v>327</v>
      </c>
      <c r="G4">
        <v>9</v>
      </c>
      <c r="H4">
        <v>2681</v>
      </c>
      <c r="I4">
        <v>0.69041858666620004</v>
      </c>
      <c r="J4">
        <v>0.90206688735895202</v>
      </c>
      <c r="K4">
        <v>0.91097519537886495</v>
      </c>
      <c r="L4" t="s">
        <v>1340</v>
      </c>
      <c r="M4" t="str">
        <f>HYPERLINK("../../3.KEGG_map/SCI_I-vs-NC-Down/rno00062.html","rno00062")</f>
        <v>rno00062</v>
      </c>
    </row>
    <row r="5" spans="1:13" x14ac:dyDescent="0.25">
      <c r="A5" t="s">
        <v>43</v>
      </c>
      <c r="B5" t="s">
        <v>44</v>
      </c>
      <c r="C5" t="s">
        <v>15</v>
      </c>
      <c r="D5" t="s">
        <v>38</v>
      </c>
      <c r="E5">
        <v>2</v>
      </c>
      <c r="F5">
        <v>327</v>
      </c>
      <c r="G5">
        <v>13</v>
      </c>
      <c r="H5">
        <v>2681</v>
      </c>
      <c r="I5">
        <v>0.48315476064184398</v>
      </c>
      <c r="J5">
        <v>0.79262643739282901</v>
      </c>
      <c r="K5">
        <v>1.26135027052458</v>
      </c>
      <c r="L5" t="s">
        <v>1341</v>
      </c>
      <c r="M5" t="str">
        <f>HYPERLINK("../../3.KEGG_map/SCI_I-vs-NC-Down/rno00071.html","rno00071")</f>
        <v>rno00071</v>
      </c>
    </row>
    <row r="6" spans="1:13" x14ac:dyDescent="0.25">
      <c r="A6" t="s">
        <v>55</v>
      </c>
      <c r="B6" t="s">
        <v>56</v>
      </c>
      <c r="C6" t="s">
        <v>15</v>
      </c>
      <c r="D6" t="s">
        <v>57</v>
      </c>
      <c r="E6">
        <v>1</v>
      </c>
      <c r="F6">
        <v>327</v>
      </c>
      <c r="G6">
        <v>5</v>
      </c>
      <c r="H6">
        <v>2681</v>
      </c>
      <c r="I6">
        <v>0.47841759923968802</v>
      </c>
      <c r="J6">
        <v>0.79262643739282901</v>
      </c>
      <c r="K6">
        <v>1.6397553516819601</v>
      </c>
      <c r="L6" t="s">
        <v>1342</v>
      </c>
      <c r="M6" t="str">
        <f>HYPERLINK("../../3.KEGG_map/SCI_I-vs-NC-Down/rno00130.html","rno00130")</f>
        <v>rno00130</v>
      </c>
    </row>
    <row r="7" spans="1:13" x14ac:dyDescent="0.25">
      <c r="A7" t="s">
        <v>62</v>
      </c>
      <c r="B7" t="s">
        <v>63</v>
      </c>
      <c r="C7" t="s">
        <v>15</v>
      </c>
      <c r="D7" t="s">
        <v>64</v>
      </c>
      <c r="E7">
        <v>1</v>
      </c>
      <c r="F7">
        <v>327</v>
      </c>
      <c r="G7">
        <v>21</v>
      </c>
      <c r="H7">
        <v>2681</v>
      </c>
      <c r="I7">
        <v>0.93559032459255598</v>
      </c>
      <c r="J7">
        <v>0.96566613147015101</v>
      </c>
      <c r="K7">
        <v>0.39041794087665599</v>
      </c>
      <c r="L7" t="s">
        <v>1343</v>
      </c>
      <c r="M7" t="str">
        <f>HYPERLINK("../../3.KEGG_map/SCI_I-vs-NC-Down/rno00190.html","rno00190")</f>
        <v>rno00190</v>
      </c>
    </row>
    <row r="8" spans="1:13" x14ac:dyDescent="0.25">
      <c r="A8" t="s">
        <v>66</v>
      </c>
      <c r="B8" t="s">
        <v>67</v>
      </c>
      <c r="C8" t="s">
        <v>15</v>
      </c>
      <c r="D8" t="s">
        <v>68</v>
      </c>
      <c r="E8">
        <v>1</v>
      </c>
      <c r="F8">
        <v>327</v>
      </c>
      <c r="G8">
        <v>5</v>
      </c>
      <c r="H8">
        <v>2681</v>
      </c>
      <c r="I8">
        <v>0.47841759923968802</v>
      </c>
      <c r="J8">
        <v>0.79262643739282901</v>
      </c>
      <c r="K8">
        <v>1.6397553516819601</v>
      </c>
      <c r="L8" t="s">
        <v>1344</v>
      </c>
      <c r="M8" t="str">
        <f>HYPERLINK("../../3.KEGG_map/SCI_I-vs-NC-Down/rno00220.html","rno00220")</f>
        <v>rno00220</v>
      </c>
    </row>
    <row r="9" spans="1:13" x14ac:dyDescent="0.25">
      <c r="A9" t="s">
        <v>70</v>
      </c>
      <c r="B9" t="s">
        <v>71</v>
      </c>
      <c r="C9" t="s">
        <v>15</v>
      </c>
      <c r="D9" t="s">
        <v>72</v>
      </c>
      <c r="E9">
        <v>13</v>
      </c>
      <c r="F9">
        <v>327</v>
      </c>
      <c r="G9">
        <v>57</v>
      </c>
      <c r="H9">
        <v>2681</v>
      </c>
      <c r="I9">
        <v>1.6951340774877598E-2</v>
      </c>
      <c r="J9">
        <v>0.151586795027955</v>
      </c>
      <c r="K9">
        <v>1.8698964536724101</v>
      </c>
      <c r="L9" t="s">
        <v>1345</v>
      </c>
      <c r="M9" t="str">
        <f>HYPERLINK("../../3.KEGG_map/SCI_I-vs-NC-Down/rno00230.html","rno00230")</f>
        <v>rno00230</v>
      </c>
    </row>
    <row r="10" spans="1:13" x14ac:dyDescent="0.25">
      <c r="A10" t="s">
        <v>74</v>
      </c>
      <c r="B10" t="s">
        <v>75</v>
      </c>
      <c r="C10" t="s">
        <v>15</v>
      </c>
      <c r="D10" t="s">
        <v>72</v>
      </c>
      <c r="E10">
        <v>1</v>
      </c>
      <c r="F10">
        <v>327</v>
      </c>
      <c r="G10">
        <v>19</v>
      </c>
      <c r="H10">
        <v>2681</v>
      </c>
      <c r="I10">
        <v>0.91628249059301903</v>
      </c>
      <c r="J10">
        <v>0.95451181741574198</v>
      </c>
      <c r="K10">
        <v>0.431514566232094</v>
      </c>
      <c r="L10" t="s">
        <v>1346</v>
      </c>
      <c r="M10" t="str">
        <f>HYPERLINK("../../3.KEGG_map/SCI_I-vs-NC-Down/rno00240.html","rno00240")</f>
        <v>rno00240</v>
      </c>
    </row>
    <row r="11" spans="1:13" x14ac:dyDescent="0.25">
      <c r="A11" t="s">
        <v>953</v>
      </c>
      <c r="B11" t="s">
        <v>954</v>
      </c>
      <c r="C11" t="s">
        <v>15</v>
      </c>
      <c r="D11" t="s">
        <v>68</v>
      </c>
      <c r="E11">
        <v>1</v>
      </c>
      <c r="F11">
        <v>327</v>
      </c>
      <c r="G11">
        <v>13</v>
      </c>
      <c r="H11">
        <v>2681</v>
      </c>
      <c r="I11">
        <v>0.81640352637997904</v>
      </c>
      <c r="J11">
        <v>0.91781566466534104</v>
      </c>
      <c r="K11">
        <v>0.63067513526229102</v>
      </c>
      <c r="L11" t="s">
        <v>1344</v>
      </c>
      <c r="M11" t="str">
        <f>HYPERLINK("../../3.KEGG_map/SCI_I-vs-NC-Down/rno00250.html","rno00250")</f>
        <v>rno00250</v>
      </c>
    </row>
    <row r="12" spans="1:13" x14ac:dyDescent="0.25">
      <c r="A12" t="s">
        <v>80</v>
      </c>
      <c r="B12" t="s">
        <v>81</v>
      </c>
      <c r="C12" t="s">
        <v>15</v>
      </c>
      <c r="D12" t="s">
        <v>68</v>
      </c>
      <c r="E12">
        <v>1</v>
      </c>
      <c r="F12">
        <v>327</v>
      </c>
      <c r="G12">
        <v>8</v>
      </c>
      <c r="H12">
        <v>2681</v>
      </c>
      <c r="I12">
        <v>0.64726721319639902</v>
      </c>
      <c r="J12">
        <v>0.88295690495813095</v>
      </c>
      <c r="K12">
        <v>1.02484709480122</v>
      </c>
      <c r="L12" t="s">
        <v>1347</v>
      </c>
      <c r="M12" t="str">
        <f>HYPERLINK("../../3.KEGG_map/SCI_I-vs-NC-Down/rno00270.html","rno00270")</f>
        <v>rno00270</v>
      </c>
    </row>
    <row r="13" spans="1:13" x14ac:dyDescent="0.25">
      <c r="A13" t="s">
        <v>83</v>
      </c>
      <c r="B13" t="s">
        <v>84</v>
      </c>
      <c r="C13" t="s">
        <v>15</v>
      </c>
      <c r="D13" t="s">
        <v>68</v>
      </c>
      <c r="E13">
        <v>9</v>
      </c>
      <c r="F13">
        <v>327</v>
      </c>
      <c r="G13">
        <v>35</v>
      </c>
      <c r="H13">
        <v>2681</v>
      </c>
      <c r="I13">
        <v>2.0982155122836601E-2</v>
      </c>
      <c r="J13">
        <v>0.151586795027955</v>
      </c>
      <c r="K13">
        <v>2.1082568807339501</v>
      </c>
      <c r="L13" t="s">
        <v>1348</v>
      </c>
      <c r="M13" t="str">
        <f>HYPERLINK("../../3.KEGG_map/SCI_I-vs-NC-Down/rno00280.html","rno00280")</f>
        <v>rno00280</v>
      </c>
    </row>
    <row r="14" spans="1:13" x14ac:dyDescent="0.25">
      <c r="A14" t="s">
        <v>86</v>
      </c>
      <c r="B14" t="s">
        <v>87</v>
      </c>
      <c r="C14" t="s">
        <v>15</v>
      </c>
      <c r="D14" t="s">
        <v>68</v>
      </c>
      <c r="E14">
        <v>16</v>
      </c>
      <c r="F14">
        <v>327</v>
      </c>
      <c r="G14">
        <v>83</v>
      </c>
      <c r="H14">
        <v>2681</v>
      </c>
      <c r="I14">
        <v>3.9380661140305202E-2</v>
      </c>
      <c r="J14">
        <v>0.241086486493088</v>
      </c>
      <c r="K14">
        <v>1.5804870859585101</v>
      </c>
      <c r="L14" t="s">
        <v>1349</v>
      </c>
      <c r="M14" t="str">
        <f>HYPERLINK("../../3.KEGG_map/SCI_I-vs-NC-Down/rno00310.html","rno00310")</f>
        <v>rno00310</v>
      </c>
    </row>
    <row r="15" spans="1:13" x14ac:dyDescent="0.25">
      <c r="A15" t="s">
        <v>101</v>
      </c>
      <c r="B15" t="s">
        <v>102</v>
      </c>
      <c r="C15" t="s">
        <v>15</v>
      </c>
      <c r="D15" t="s">
        <v>68</v>
      </c>
      <c r="E15">
        <v>1</v>
      </c>
      <c r="F15">
        <v>327</v>
      </c>
      <c r="G15">
        <v>7</v>
      </c>
      <c r="H15">
        <v>2681</v>
      </c>
      <c r="I15">
        <v>0.59812208269585498</v>
      </c>
      <c r="J15">
        <v>0.85653099053219806</v>
      </c>
      <c r="K15">
        <v>1.17125382262997</v>
      </c>
      <c r="L15" t="s">
        <v>1350</v>
      </c>
      <c r="M15" t="str">
        <f>HYPERLINK("../../3.KEGG_map/SCI_I-vs-NC-Down/rno00380.html","rno00380")</f>
        <v>rno00380</v>
      </c>
    </row>
    <row r="16" spans="1:13" x14ac:dyDescent="0.25">
      <c r="A16" t="s">
        <v>104</v>
      </c>
      <c r="B16" t="s">
        <v>105</v>
      </c>
      <c r="C16" t="s">
        <v>15</v>
      </c>
      <c r="D16" t="s">
        <v>106</v>
      </c>
      <c r="E16">
        <v>3</v>
      </c>
      <c r="F16">
        <v>327</v>
      </c>
      <c r="G16">
        <v>11</v>
      </c>
      <c r="H16">
        <v>2681</v>
      </c>
      <c r="I16">
        <v>0.14135297878181599</v>
      </c>
      <c r="J16">
        <v>0.43801972437328202</v>
      </c>
      <c r="K16">
        <v>2.2360300250208498</v>
      </c>
      <c r="L16" t="s">
        <v>1351</v>
      </c>
      <c r="M16" t="str">
        <f>HYPERLINK("../../3.KEGG_map/SCI_I-vs-NC-Down/rno00410.html","rno00410")</f>
        <v>rno00410</v>
      </c>
    </row>
    <row r="17" spans="1:13" x14ac:dyDescent="0.25">
      <c r="A17" t="s">
        <v>117</v>
      </c>
      <c r="B17" t="s">
        <v>118</v>
      </c>
      <c r="C17" t="s">
        <v>15</v>
      </c>
      <c r="D17" t="s">
        <v>106</v>
      </c>
      <c r="E17">
        <v>1</v>
      </c>
      <c r="F17">
        <v>327</v>
      </c>
      <c r="G17">
        <v>15</v>
      </c>
      <c r="H17">
        <v>2681</v>
      </c>
      <c r="I17">
        <v>0.85865750101579397</v>
      </c>
      <c r="J17">
        <v>0.93705666415201905</v>
      </c>
      <c r="K17">
        <v>0.54658511722731895</v>
      </c>
      <c r="L17" t="s">
        <v>1352</v>
      </c>
      <c r="M17" t="str">
        <f>HYPERLINK("../../3.KEGG_map/SCI_I-vs-NC-Down/rno00480.html","rno00480")</f>
        <v>rno00480</v>
      </c>
    </row>
    <row r="18" spans="1:13" x14ac:dyDescent="0.25">
      <c r="A18" t="s">
        <v>120</v>
      </c>
      <c r="B18" t="s">
        <v>121</v>
      </c>
      <c r="C18" t="s">
        <v>15</v>
      </c>
      <c r="D18" t="s">
        <v>16</v>
      </c>
      <c r="E18">
        <v>1</v>
      </c>
      <c r="F18">
        <v>327</v>
      </c>
      <c r="G18">
        <v>6</v>
      </c>
      <c r="H18">
        <v>2681</v>
      </c>
      <c r="I18">
        <v>0.54215356525187797</v>
      </c>
      <c r="J18">
        <v>0.81976231854350301</v>
      </c>
      <c r="K18">
        <v>1.3664627930683</v>
      </c>
      <c r="L18" t="s">
        <v>1353</v>
      </c>
      <c r="M18" t="str">
        <f>HYPERLINK("../../3.KEGG_map/SCI_I-vs-NC-Down/rno00500.html","rno00500")</f>
        <v>rno00500</v>
      </c>
    </row>
    <row r="19" spans="1:13" x14ac:dyDescent="0.25">
      <c r="A19" t="s">
        <v>968</v>
      </c>
      <c r="B19" t="s">
        <v>969</v>
      </c>
      <c r="C19" t="s">
        <v>15</v>
      </c>
      <c r="D19" t="s">
        <v>125</v>
      </c>
      <c r="E19">
        <v>2</v>
      </c>
      <c r="F19">
        <v>327</v>
      </c>
      <c r="G19">
        <v>21</v>
      </c>
      <c r="H19">
        <v>2681</v>
      </c>
      <c r="I19">
        <v>0.746086793734408</v>
      </c>
      <c r="J19">
        <v>0.90539337533675601</v>
      </c>
      <c r="K19">
        <v>0.78083588175331298</v>
      </c>
      <c r="L19" t="s">
        <v>1354</v>
      </c>
      <c r="M19" t="str">
        <f>HYPERLINK("../../3.KEGG_map/SCI_I-vs-NC-Down/rno00510.html","rno00510")</f>
        <v>rno00510</v>
      </c>
    </row>
    <row r="20" spans="1:13" x14ac:dyDescent="0.25">
      <c r="A20" t="s">
        <v>123</v>
      </c>
      <c r="B20" t="s">
        <v>124</v>
      </c>
      <c r="C20" t="s">
        <v>15</v>
      </c>
      <c r="D20" t="s">
        <v>125</v>
      </c>
      <c r="E20">
        <v>1</v>
      </c>
      <c r="F20">
        <v>327</v>
      </c>
      <c r="G20">
        <v>10</v>
      </c>
      <c r="H20">
        <v>2681</v>
      </c>
      <c r="I20">
        <v>0.72830523418122695</v>
      </c>
      <c r="J20">
        <v>0.90539337533675601</v>
      </c>
      <c r="K20">
        <v>0.81987767584097904</v>
      </c>
      <c r="L20" t="s">
        <v>1355</v>
      </c>
      <c r="M20" t="str">
        <f>HYPERLINK("../../3.KEGG_map/SCI_I-vs-NC-Down/rno00512.html","rno00512")</f>
        <v>rno00512</v>
      </c>
    </row>
    <row r="21" spans="1:13" x14ac:dyDescent="0.25">
      <c r="A21" t="s">
        <v>127</v>
      </c>
      <c r="B21" t="s">
        <v>128</v>
      </c>
      <c r="C21" t="s">
        <v>15</v>
      </c>
      <c r="D21" t="s">
        <v>125</v>
      </c>
      <c r="E21">
        <v>1</v>
      </c>
      <c r="F21">
        <v>327</v>
      </c>
      <c r="G21">
        <v>9</v>
      </c>
      <c r="H21">
        <v>2681</v>
      </c>
      <c r="I21">
        <v>0.69041858666620004</v>
      </c>
      <c r="J21">
        <v>0.90206688735895202</v>
      </c>
      <c r="K21">
        <v>0.91097519537886495</v>
      </c>
      <c r="L21" t="s">
        <v>1356</v>
      </c>
      <c r="M21" t="str">
        <f>HYPERLINK("../../3.KEGG_map/SCI_I-vs-NC-Down/rno00514.html","rno00514")</f>
        <v>rno00514</v>
      </c>
    </row>
    <row r="22" spans="1:13" x14ac:dyDescent="0.25">
      <c r="A22" t="s">
        <v>130</v>
      </c>
      <c r="B22" t="s">
        <v>131</v>
      </c>
      <c r="C22" t="s">
        <v>15</v>
      </c>
      <c r="D22" t="s">
        <v>125</v>
      </c>
      <c r="E22">
        <v>1</v>
      </c>
      <c r="F22">
        <v>327</v>
      </c>
      <c r="G22">
        <v>14</v>
      </c>
      <c r="H22">
        <v>2681</v>
      </c>
      <c r="I22">
        <v>0.83890579282441202</v>
      </c>
      <c r="J22">
        <v>0.92760067840937099</v>
      </c>
      <c r="K22">
        <v>0.58562691131498501</v>
      </c>
      <c r="L22" t="s">
        <v>1357</v>
      </c>
      <c r="M22" t="str">
        <f>HYPERLINK("../../3.KEGG_map/SCI_I-vs-NC-Down/rno00515.html","rno00515")</f>
        <v>rno00515</v>
      </c>
    </row>
    <row r="23" spans="1:13" x14ac:dyDescent="0.25">
      <c r="A23" t="s">
        <v>133</v>
      </c>
      <c r="B23" t="s">
        <v>134</v>
      </c>
      <c r="C23" t="s">
        <v>15</v>
      </c>
      <c r="D23" t="s">
        <v>16</v>
      </c>
      <c r="E23">
        <v>2</v>
      </c>
      <c r="F23">
        <v>327</v>
      </c>
      <c r="G23">
        <v>22</v>
      </c>
      <c r="H23">
        <v>2681</v>
      </c>
      <c r="I23">
        <v>0.76931166255386496</v>
      </c>
      <c r="J23">
        <v>0.90631516205746299</v>
      </c>
      <c r="K23">
        <v>0.74534334167361704</v>
      </c>
      <c r="L23" t="s">
        <v>1358</v>
      </c>
      <c r="M23" t="str">
        <f>HYPERLINK("../../3.KEGG_map/SCI_I-vs-NC-Down/rno00520.html","rno00520")</f>
        <v>rno00520</v>
      </c>
    </row>
    <row r="24" spans="1:13" x14ac:dyDescent="0.25">
      <c r="A24" t="s">
        <v>974</v>
      </c>
      <c r="B24" t="s">
        <v>975</v>
      </c>
      <c r="C24" t="s">
        <v>15</v>
      </c>
      <c r="D24" t="s">
        <v>125</v>
      </c>
      <c r="E24">
        <v>2</v>
      </c>
      <c r="F24">
        <v>327</v>
      </c>
      <c r="G24">
        <v>5</v>
      </c>
      <c r="H24">
        <v>2681</v>
      </c>
      <c r="I24">
        <v>0.11552941828517301</v>
      </c>
      <c r="J24">
        <v>0.39718503448218501</v>
      </c>
      <c r="K24">
        <v>3.2795107033639099</v>
      </c>
      <c r="L24" t="s">
        <v>1359</v>
      </c>
      <c r="M24" t="str">
        <f>HYPERLINK("../../3.KEGG_map/SCI_I-vs-NC-Down/rno00531.html","rno00531")</f>
        <v>rno00531</v>
      </c>
    </row>
    <row r="25" spans="1:13" x14ac:dyDescent="0.25">
      <c r="A25" t="s">
        <v>145</v>
      </c>
      <c r="B25" t="s">
        <v>146</v>
      </c>
      <c r="C25" t="s">
        <v>15</v>
      </c>
      <c r="D25" t="s">
        <v>38</v>
      </c>
      <c r="E25">
        <v>4</v>
      </c>
      <c r="F25">
        <v>327</v>
      </c>
      <c r="G25">
        <v>24</v>
      </c>
      <c r="H25">
        <v>2681</v>
      </c>
      <c r="I25">
        <v>0.33484884829512501</v>
      </c>
      <c r="J25">
        <v>0.67779887840384201</v>
      </c>
      <c r="K25">
        <v>1.3664627930683</v>
      </c>
      <c r="L25" t="s">
        <v>1360</v>
      </c>
      <c r="M25" t="str">
        <f>HYPERLINK("../../3.KEGG_map/SCI_I-vs-NC-Down/rno00561.html","rno00561")</f>
        <v>rno00561</v>
      </c>
    </row>
    <row r="26" spans="1:13" x14ac:dyDescent="0.25">
      <c r="A26" t="s">
        <v>148</v>
      </c>
      <c r="B26" t="s">
        <v>149</v>
      </c>
      <c r="C26" t="s">
        <v>15</v>
      </c>
      <c r="D26" t="s">
        <v>16</v>
      </c>
      <c r="E26">
        <v>9</v>
      </c>
      <c r="F26">
        <v>327</v>
      </c>
      <c r="G26">
        <v>77</v>
      </c>
      <c r="H26">
        <v>2681</v>
      </c>
      <c r="I26">
        <v>0.60864905337997599</v>
      </c>
      <c r="J26">
        <v>0.85653099053219806</v>
      </c>
      <c r="K26">
        <v>0.95829858215179298</v>
      </c>
      <c r="L26" t="s">
        <v>1361</v>
      </c>
      <c r="M26" t="str">
        <f>HYPERLINK("../../3.KEGG_map/SCI_I-vs-NC-Down/rno00562.html","rno00562")</f>
        <v>rno00562</v>
      </c>
    </row>
    <row r="27" spans="1:13" x14ac:dyDescent="0.25">
      <c r="A27" t="s">
        <v>1362</v>
      </c>
      <c r="B27" t="s">
        <v>1363</v>
      </c>
      <c r="C27" t="s">
        <v>15</v>
      </c>
      <c r="D27" t="s">
        <v>125</v>
      </c>
      <c r="E27">
        <v>2</v>
      </c>
      <c r="F27">
        <v>327</v>
      </c>
      <c r="G27">
        <v>7</v>
      </c>
      <c r="H27">
        <v>2681</v>
      </c>
      <c r="I27">
        <v>0.206342460588023</v>
      </c>
      <c r="J27">
        <v>0.51639982272287099</v>
      </c>
      <c r="K27">
        <v>2.34250764525994</v>
      </c>
      <c r="L27" t="s">
        <v>1364</v>
      </c>
      <c r="M27" t="str">
        <f>HYPERLINK("../../3.KEGG_map/SCI_I-vs-NC-Down/rno00563.html","rno00563")</f>
        <v>rno00563</v>
      </c>
    </row>
    <row r="28" spans="1:13" x14ac:dyDescent="0.25">
      <c r="A28" t="s">
        <v>151</v>
      </c>
      <c r="B28" t="s">
        <v>152</v>
      </c>
      <c r="C28" t="s">
        <v>15</v>
      </c>
      <c r="D28" t="s">
        <v>38</v>
      </c>
      <c r="E28">
        <v>7</v>
      </c>
      <c r="F28">
        <v>327</v>
      </c>
      <c r="G28">
        <v>42</v>
      </c>
      <c r="H28">
        <v>2681</v>
      </c>
      <c r="I28">
        <v>0.24569518594290499</v>
      </c>
      <c r="J28">
        <v>0.56577515295109304</v>
      </c>
      <c r="K28">
        <v>1.3664627930683</v>
      </c>
      <c r="L28" t="s">
        <v>1365</v>
      </c>
      <c r="M28" t="str">
        <f>HYPERLINK("../../3.KEGG_map/SCI_I-vs-NC-Down/rno00564.html","rno00564")</f>
        <v>rno00564</v>
      </c>
    </row>
    <row r="29" spans="1:13" x14ac:dyDescent="0.25">
      <c r="A29" t="s">
        <v>154</v>
      </c>
      <c r="B29" t="s">
        <v>155</v>
      </c>
      <c r="C29" t="s">
        <v>15</v>
      </c>
      <c r="D29" t="s">
        <v>38</v>
      </c>
      <c r="E29">
        <v>6</v>
      </c>
      <c r="F29">
        <v>327</v>
      </c>
      <c r="G29">
        <v>28</v>
      </c>
      <c r="H29">
        <v>2681</v>
      </c>
      <c r="I29">
        <v>0.11671587134285399</v>
      </c>
      <c r="J29">
        <v>0.39718503448218501</v>
      </c>
      <c r="K29">
        <v>1.7568807339449499</v>
      </c>
      <c r="L29" t="s">
        <v>1366</v>
      </c>
      <c r="M29" t="str">
        <f>HYPERLINK("../../3.KEGG_map/SCI_I-vs-NC-Down/rno00565.html","rno00565")</f>
        <v>rno00565</v>
      </c>
    </row>
    <row r="30" spans="1:13" x14ac:dyDescent="0.25">
      <c r="A30" t="s">
        <v>157</v>
      </c>
      <c r="B30" t="s">
        <v>158</v>
      </c>
      <c r="C30" t="s">
        <v>15</v>
      </c>
      <c r="D30" t="s">
        <v>38</v>
      </c>
      <c r="E30">
        <v>1</v>
      </c>
      <c r="F30">
        <v>327</v>
      </c>
      <c r="G30">
        <v>10</v>
      </c>
      <c r="H30">
        <v>2681</v>
      </c>
      <c r="I30">
        <v>0.72830523418122695</v>
      </c>
      <c r="J30">
        <v>0.90539337533675601</v>
      </c>
      <c r="K30">
        <v>0.81987767584097904</v>
      </c>
      <c r="L30" t="s">
        <v>1367</v>
      </c>
      <c r="M30" t="str">
        <f>HYPERLINK("../../3.KEGG_map/SCI_I-vs-NC-Down/rno00590.html","rno00590")</f>
        <v>rno00590</v>
      </c>
    </row>
    <row r="31" spans="1:13" x14ac:dyDescent="0.25">
      <c r="A31" t="s">
        <v>160</v>
      </c>
      <c r="B31" t="s">
        <v>161</v>
      </c>
      <c r="C31" t="s">
        <v>15</v>
      </c>
      <c r="D31" t="s">
        <v>38</v>
      </c>
      <c r="E31">
        <v>1</v>
      </c>
      <c r="F31">
        <v>327</v>
      </c>
      <c r="G31">
        <v>6</v>
      </c>
      <c r="H31">
        <v>2681</v>
      </c>
      <c r="I31">
        <v>0.54215356525187797</v>
      </c>
      <c r="J31">
        <v>0.81976231854350301</v>
      </c>
      <c r="K31">
        <v>1.3664627930683</v>
      </c>
      <c r="L31" t="s">
        <v>1367</v>
      </c>
      <c r="M31" t="str">
        <f>HYPERLINK("../../3.KEGG_map/SCI_I-vs-NC-Down/rno00591.html","rno00591")</f>
        <v>rno00591</v>
      </c>
    </row>
    <row r="32" spans="1:13" x14ac:dyDescent="0.25">
      <c r="A32" t="s">
        <v>163</v>
      </c>
      <c r="B32" t="s">
        <v>164</v>
      </c>
      <c r="C32" t="s">
        <v>15</v>
      </c>
      <c r="D32" t="s">
        <v>38</v>
      </c>
      <c r="E32">
        <v>1</v>
      </c>
      <c r="F32">
        <v>327</v>
      </c>
      <c r="G32">
        <v>10</v>
      </c>
      <c r="H32">
        <v>2681</v>
      </c>
      <c r="I32">
        <v>0.72830523418122695</v>
      </c>
      <c r="J32">
        <v>0.90539337533675601</v>
      </c>
      <c r="K32">
        <v>0.81987767584097904</v>
      </c>
      <c r="L32" t="s">
        <v>1367</v>
      </c>
      <c r="M32" t="str">
        <f>HYPERLINK("../../3.KEGG_map/SCI_I-vs-NC-Down/rno00592.html","rno00592")</f>
        <v>rno00592</v>
      </c>
    </row>
    <row r="33" spans="1:13" x14ac:dyDescent="0.25">
      <c r="A33" t="s">
        <v>166</v>
      </c>
      <c r="B33" t="s">
        <v>167</v>
      </c>
      <c r="C33" t="s">
        <v>15</v>
      </c>
      <c r="D33" t="s">
        <v>38</v>
      </c>
      <c r="E33">
        <v>4</v>
      </c>
      <c r="F33">
        <v>327</v>
      </c>
      <c r="G33">
        <v>26</v>
      </c>
      <c r="H33">
        <v>2681</v>
      </c>
      <c r="I33">
        <v>0.39338727063423301</v>
      </c>
      <c r="J33">
        <v>0.72073142284082004</v>
      </c>
      <c r="K33">
        <v>1.26135027052458</v>
      </c>
      <c r="L33" t="s">
        <v>1368</v>
      </c>
      <c r="M33" t="str">
        <f>HYPERLINK("../../3.KEGG_map/SCI_I-vs-NC-Down/rno00600.html","rno00600")</f>
        <v>rno00600</v>
      </c>
    </row>
    <row r="34" spans="1:13" x14ac:dyDescent="0.25">
      <c r="A34" t="s">
        <v>175</v>
      </c>
      <c r="B34" t="s">
        <v>176</v>
      </c>
      <c r="C34" t="s">
        <v>15</v>
      </c>
      <c r="D34" t="s">
        <v>16</v>
      </c>
      <c r="E34">
        <v>1</v>
      </c>
      <c r="F34">
        <v>327</v>
      </c>
      <c r="G34">
        <v>12</v>
      </c>
      <c r="H34">
        <v>2681</v>
      </c>
      <c r="I34">
        <v>0.79076900593858401</v>
      </c>
      <c r="J34">
        <v>0.90631516205746299</v>
      </c>
      <c r="K34">
        <v>0.68323139653414899</v>
      </c>
      <c r="L34" t="s">
        <v>1350</v>
      </c>
      <c r="M34" t="str">
        <f>HYPERLINK("../../3.KEGG_map/SCI_I-vs-NC-Down/rno00620.html","rno00620")</f>
        <v>rno00620</v>
      </c>
    </row>
    <row r="35" spans="1:13" x14ac:dyDescent="0.25">
      <c r="A35" t="s">
        <v>1369</v>
      </c>
      <c r="B35" t="s">
        <v>1370</v>
      </c>
      <c r="C35" t="s">
        <v>15</v>
      </c>
      <c r="D35" t="s">
        <v>16</v>
      </c>
      <c r="E35">
        <v>3</v>
      </c>
      <c r="F35">
        <v>327</v>
      </c>
      <c r="G35">
        <v>10</v>
      </c>
      <c r="H35">
        <v>2681</v>
      </c>
      <c r="I35">
        <v>0.112526091066142</v>
      </c>
      <c r="J35">
        <v>0.39718503448218501</v>
      </c>
      <c r="K35">
        <v>2.4596330275229401</v>
      </c>
      <c r="L35" t="s">
        <v>1371</v>
      </c>
      <c r="M35" t="str">
        <f>HYPERLINK("../../3.KEGG_map/SCI_I-vs-NC-Down/rno00630.html","rno00630")</f>
        <v>rno00630</v>
      </c>
    </row>
    <row r="36" spans="1:13" x14ac:dyDescent="0.25">
      <c r="A36" t="s">
        <v>178</v>
      </c>
      <c r="B36" t="s">
        <v>179</v>
      </c>
      <c r="C36" t="s">
        <v>15</v>
      </c>
      <c r="D36" t="s">
        <v>16</v>
      </c>
      <c r="E36">
        <v>8</v>
      </c>
      <c r="F36">
        <v>327</v>
      </c>
      <c r="G36">
        <v>25</v>
      </c>
      <c r="H36">
        <v>2681</v>
      </c>
      <c r="I36">
        <v>7.4541645970693403E-3</v>
      </c>
      <c r="J36">
        <v>0.116937207116525</v>
      </c>
      <c r="K36">
        <v>2.6236085626911301</v>
      </c>
      <c r="L36" t="s">
        <v>1372</v>
      </c>
      <c r="M36" t="str">
        <f>HYPERLINK("../../3.KEGG_map/SCI_I-vs-NC-Down/rno00640.html","rno00640")</f>
        <v>rno00640</v>
      </c>
    </row>
    <row r="37" spans="1:13" x14ac:dyDescent="0.25">
      <c r="A37" t="s">
        <v>193</v>
      </c>
      <c r="B37" t="s">
        <v>194</v>
      </c>
      <c r="C37" t="s">
        <v>15</v>
      </c>
      <c r="D37" t="s">
        <v>57</v>
      </c>
      <c r="E37">
        <v>1</v>
      </c>
      <c r="F37">
        <v>327</v>
      </c>
      <c r="G37">
        <v>6</v>
      </c>
      <c r="H37">
        <v>2681</v>
      </c>
      <c r="I37">
        <v>0.54215356525187797</v>
      </c>
      <c r="J37">
        <v>0.81976231854350301</v>
      </c>
      <c r="K37">
        <v>1.3664627930683</v>
      </c>
      <c r="L37" t="s">
        <v>1373</v>
      </c>
      <c r="M37" t="str">
        <f>HYPERLINK("../../3.KEGG_map/SCI_I-vs-NC-Down/rno00760.html","rno00760")</f>
        <v>rno00760</v>
      </c>
    </row>
    <row r="38" spans="1:13" x14ac:dyDescent="0.25">
      <c r="A38" t="s">
        <v>196</v>
      </c>
      <c r="B38" t="s">
        <v>197</v>
      </c>
      <c r="C38" t="s">
        <v>15</v>
      </c>
      <c r="D38" t="s">
        <v>57</v>
      </c>
      <c r="E38">
        <v>3</v>
      </c>
      <c r="F38">
        <v>327</v>
      </c>
      <c r="G38">
        <v>12</v>
      </c>
      <c r="H38">
        <v>2681</v>
      </c>
      <c r="I38">
        <v>0.172310393030283</v>
      </c>
      <c r="J38">
        <v>0.47809730607594803</v>
      </c>
      <c r="K38">
        <v>2.0496941896024499</v>
      </c>
      <c r="L38" t="s">
        <v>1374</v>
      </c>
      <c r="M38" t="str">
        <f>HYPERLINK("../../3.KEGG_map/SCI_I-vs-NC-Down/rno00770.html","rno00770")</f>
        <v>rno00770</v>
      </c>
    </row>
    <row r="39" spans="1:13" x14ac:dyDescent="0.25">
      <c r="A39" t="s">
        <v>202</v>
      </c>
      <c r="B39" t="s">
        <v>203</v>
      </c>
      <c r="C39" t="s">
        <v>15</v>
      </c>
      <c r="D39" t="s">
        <v>57</v>
      </c>
      <c r="E39">
        <v>1</v>
      </c>
      <c r="F39">
        <v>327</v>
      </c>
      <c r="G39">
        <v>7</v>
      </c>
      <c r="H39">
        <v>2681</v>
      </c>
      <c r="I39">
        <v>0.59812208269585498</v>
      </c>
      <c r="J39">
        <v>0.85653099053219806</v>
      </c>
      <c r="K39">
        <v>1.17125382262997</v>
      </c>
      <c r="L39" t="s">
        <v>1375</v>
      </c>
      <c r="M39" t="str">
        <f>HYPERLINK("../../3.KEGG_map/SCI_I-vs-NC-Down/rno00830.html","rno00830")</f>
        <v>rno00830</v>
      </c>
    </row>
    <row r="40" spans="1:13" x14ac:dyDescent="0.25">
      <c r="A40" t="s">
        <v>208</v>
      </c>
      <c r="B40" t="s">
        <v>209</v>
      </c>
      <c r="C40" t="s">
        <v>15</v>
      </c>
      <c r="D40" t="s">
        <v>210</v>
      </c>
      <c r="E40">
        <v>2</v>
      </c>
      <c r="F40">
        <v>327</v>
      </c>
      <c r="G40">
        <v>7</v>
      </c>
      <c r="H40">
        <v>2681</v>
      </c>
      <c r="I40">
        <v>0.206342460588023</v>
      </c>
      <c r="J40">
        <v>0.51639982272287099</v>
      </c>
      <c r="K40">
        <v>2.34250764525994</v>
      </c>
      <c r="L40" t="s">
        <v>1376</v>
      </c>
      <c r="M40" t="str">
        <f>HYPERLINK("../../3.KEGG_map/SCI_I-vs-NC-Down/rno00900.html","rno00900")</f>
        <v>rno00900</v>
      </c>
    </row>
    <row r="41" spans="1:13" x14ac:dyDescent="0.25">
      <c r="A41" t="s">
        <v>218</v>
      </c>
      <c r="B41" t="s">
        <v>219</v>
      </c>
      <c r="C41" t="s">
        <v>220</v>
      </c>
      <c r="D41" t="s">
        <v>221</v>
      </c>
      <c r="E41">
        <v>4</v>
      </c>
      <c r="F41">
        <v>327</v>
      </c>
      <c r="G41">
        <v>16</v>
      </c>
      <c r="H41">
        <v>2681</v>
      </c>
      <c r="I41">
        <v>0.121008069650613</v>
      </c>
      <c r="J41">
        <v>0.40497367309738602</v>
      </c>
      <c r="K41">
        <v>2.0496941896024499</v>
      </c>
      <c r="L41" t="s">
        <v>1377</v>
      </c>
      <c r="M41" t="str">
        <f>HYPERLINK("../../3.KEGG_map/SCI_I-vs-NC-Down/rno00970.html","rno00970")</f>
        <v>rno00970</v>
      </c>
    </row>
    <row r="42" spans="1:13" x14ac:dyDescent="0.25">
      <c r="A42" t="s">
        <v>230</v>
      </c>
      <c r="B42" t="s">
        <v>231</v>
      </c>
      <c r="C42" t="s">
        <v>15</v>
      </c>
      <c r="D42" t="s">
        <v>225</v>
      </c>
      <c r="E42">
        <v>2</v>
      </c>
      <c r="F42">
        <v>327</v>
      </c>
      <c r="G42">
        <v>21</v>
      </c>
      <c r="H42">
        <v>2681</v>
      </c>
      <c r="I42">
        <v>0.746086793734408</v>
      </c>
      <c r="J42">
        <v>0.90539337533675601</v>
      </c>
      <c r="K42">
        <v>0.78083588175331298</v>
      </c>
      <c r="L42" t="s">
        <v>1378</v>
      </c>
      <c r="M42" t="str">
        <f>HYPERLINK("../../3.KEGG_map/SCI_I-vs-NC-Down/rno00983.html","rno00983")</f>
        <v>rno00983</v>
      </c>
    </row>
    <row r="43" spans="1:13" x14ac:dyDescent="0.25">
      <c r="A43" t="s">
        <v>233</v>
      </c>
      <c r="B43" t="s">
        <v>234</v>
      </c>
      <c r="C43" t="s">
        <v>235</v>
      </c>
      <c r="D43" t="s">
        <v>236</v>
      </c>
      <c r="E43">
        <v>11</v>
      </c>
      <c r="F43">
        <v>327</v>
      </c>
      <c r="G43">
        <v>65</v>
      </c>
      <c r="H43">
        <v>2681</v>
      </c>
      <c r="I43">
        <v>0.160848136377646</v>
      </c>
      <c r="J43">
        <v>0.45512846018662101</v>
      </c>
      <c r="K43">
        <v>1.38748529757704</v>
      </c>
      <c r="L43" t="s">
        <v>1379</v>
      </c>
      <c r="M43" t="str">
        <f>HYPERLINK("../../3.KEGG_map/SCI_I-vs-NC-Down/rno01521.html","rno01521")</f>
        <v>rno01521</v>
      </c>
    </row>
    <row r="44" spans="1:13" x14ac:dyDescent="0.25">
      <c r="A44" t="s">
        <v>238</v>
      </c>
      <c r="B44" t="s">
        <v>239</v>
      </c>
      <c r="C44" t="s">
        <v>235</v>
      </c>
      <c r="D44" t="s">
        <v>236</v>
      </c>
      <c r="E44">
        <v>20</v>
      </c>
      <c r="F44">
        <v>327</v>
      </c>
      <c r="G44">
        <v>66</v>
      </c>
      <c r="H44">
        <v>2681</v>
      </c>
      <c r="I44" s="1">
        <v>6.0419433224502901E-5</v>
      </c>
      <c r="J44">
        <v>7.5826388696751202E-3</v>
      </c>
      <c r="K44">
        <v>2.4844778055787202</v>
      </c>
      <c r="L44" t="s">
        <v>1380</v>
      </c>
      <c r="M44" t="str">
        <f>HYPERLINK("../../3.KEGG_map/SCI_I-vs-NC-Down/rno01522.html","rno01522")</f>
        <v>rno01522</v>
      </c>
    </row>
    <row r="45" spans="1:13" x14ac:dyDescent="0.25">
      <c r="A45" t="s">
        <v>241</v>
      </c>
      <c r="B45" t="s">
        <v>242</v>
      </c>
      <c r="C45" t="s">
        <v>235</v>
      </c>
      <c r="D45" t="s">
        <v>236</v>
      </c>
      <c r="E45">
        <v>1</v>
      </c>
      <c r="F45">
        <v>327</v>
      </c>
      <c r="G45">
        <v>15</v>
      </c>
      <c r="H45">
        <v>2681</v>
      </c>
      <c r="I45">
        <v>0.85865750101579397</v>
      </c>
      <c r="J45">
        <v>0.93705666415201905</v>
      </c>
      <c r="K45">
        <v>0.54658511722731895</v>
      </c>
      <c r="L45" t="s">
        <v>1381</v>
      </c>
      <c r="M45" t="str">
        <f>HYPERLINK("../../3.KEGG_map/SCI_I-vs-NC-Down/rno01523.html","rno01523")</f>
        <v>rno01523</v>
      </c>
    </row>
    <row r="46" spans="1:13" x14ac:dyDescent="0.25">
      <c r="A46" t="s">
        <v>244</v>
      </c>
      <c r="B46" t="s">
        <v>245</v>
      </c>
      <c r="C46" t="s">
        <v>235</v>
      </c>
      <c r="D46" t="s">
        <v>236</v>
      </c>
      <c r="E46">
        <v>8</v>
      </c>
      <c r="F46">
        <v>327</v>
      </c>
      <c r="G46">
        <v>45</v>
      </c>
      <c r="H46">
        <v>2681</v>
      </c>
      <c r="I46">
        <v>0.174796945625558</v>
      </c>
      <c r="J46">
        <v>0.47809730607594803</v>
      </c>
      <c r="K46">
        <v>1.45756031260618</v>
      </c>
      <c r="L46" t="s">
        <v>1382</v>
      </c>
      <c r="M46" t="str">
        <f>HYPERLINK("../../3.KEGG_map/SCI_I-vs-NC-Down/rno01524.html","rno01524")</f>
        <v>rno01524</v>
      </c>
    </row>
    <row r="47" spans="1:13" x14ac:dyDescent="0.25">
      <c r="A47" t="s">
        <v>247</v>
      </c>
      <c r="B47" t="s">
        <v>248</v>
      </c>
      <c r="C47" t="s">
        <v>249</v>
      </c>
      <c r="D47" t="s">
        <v>250</v>
      </c>
      <c r="E47">
        <v>4</v>
      </c>
      <c r="F47">
        <v>327</v>
      </c>
      <c r="G47">
        <v>25</v>
      </c>
      <c r="H47">
        <v>2681</v>
      </c>
      <c r="I47">
        <v>0.36414488274375501</v>
      </c>
      <c r="J47">
        <v>0.71300731104978399</v>
      </c>
      <c r="K47">
        <v>1.3118042813455699</v>
      </c>
      <c r="L47" t="s">
        <v>1383</v>
      </c>
      <c r="M47" t="str">
        <f>HYPERLINK("../../3.KEGG_map/SCI_I-vs-NC-Down/rno02010.html","rno02010")</f>
        <v>rno02010</v>
      </c>
    </row>
    <row r="48" spans="1:13" x14ac:dyDescent="0.25">
      <c r="A48" t="s">
        <v>252</v>
      </c>
      <c r="B48" t="s">
        <v>253</v>
      </c>
      <c r="C48" t="s">
        <v>220</v>
      </c>
      <c r="D48" t="s">
        <v>221</v>
      </c>
      <c r="E48">
        <v>3</v>
      </c>
      <c r="F48">
        <v>327</v>
      </c>
      <c r="G48">
        <v>26</v>
      </c>
      <c r="H48">
        <v>2681</v>
      </c>
      <c r="I48">
        <v>0.631313258634153</v>
      </c>
      <c r="J48">
        <v>0.88033126620651403</v>
      </c>
      <c r="K48">
        <v>0.94601270289343697</v>
      </c>
      <c r="L48" t="s">
        <v>1384</v>
      </c>
      <c r="M48" t="str">
        <f>HYPERLINK("../../3.KEGG_map/SCI_I-vs-NC-Down/rno03008.html","rno03008")</f>
        <v>rno03008</v>
      </c>
    </row>
    <row r="49" spans="1:13" x14ac:dyDescent="0.25">
      <c r="A49" t="s">
        <v>255</v>
      </c>
      <c r="B49" t="s">
        <v>256</v>
      </c>
      <c r="C49" t="s">
        <v>220</v>
      </c>
      <c r="D49" t="s">
        <v>221</v>
      </c>
      <c r="E49">
        <v>7</v>
      </c>
      <c r="F49">
        <v>327</v>
      </c>
      <c r="G49">
        <v>58</v>
      </c>
      <c r="H49">
        <v>2681</v>
      </c>
      <c r="I49">
        <v>0.57331683112484599</v>
      </c>
      <c r="J49">
        <v>0.85413430829106296</v>
      </c>
      <c r="K49">
        <v>0.98950753980807704</v>
      </c>
      <c r="L49" t="s">
        <v>1385</v>
      </c>
      <c r="M49" t="str">
        <f>HYPERLINK("../../3.KEGG_map/SCI_I-vs-NC-Down/rno03013.html","rno03013")</f>
        <v>rno03013</v>
      </c>
    </row>
    <row r="50" spans="1:13" x14ac:dyDescent="0.25">
      <c r="A50" t="s">
        <v>258</v>
      </c>
      <c r="B50" t="s">
        <v>259</v>
      </c>
      <c r="C50" t="s">
        <v>220</v>
      </c>
      <c r="D50" t="s">
        <v>221</v>
      </c>
      <c r="E50">
        <v>8</v>
      </c>
      <c r="F50">
        <v>327</v>
      </c>
      <c r="G50">
        <v>47</v>
      </c>
      <c r="H50">
        <v>2681</v>
      </c>
      <c r="I50">
        <v>0.20714959074543701</v>
      </c>
      <c r="J50">
        <v>0.51639982272287099</v>
      </c>
      <c r="K50">
        <v>1.39553646951656</v>
      </c>
      <c r="L50" t="s">
        <v>1386</v>
      </c>
      <c r="M50" t="str">
        <f>HYPERLINK("../../3.KEGG_map/SCI_I-vs-NC-Down/rno03015.html","rno03015")</f>
        <v>rno03015</v>
      </c>
    </row>
    <row r="51" spans="1:13" x14ac:dyDescent="0.25">
      <c r="A51" t="s">
        <v>261</v>
      </c>
      <c r="B51" t="s">
        <v>262</v>
      </c>
      <c r="C51" t="s">
        <v>220</v>
      </c>
      <c r="D51" t="s">
        <v>263</v>
      </c>
      <c r="E51">
        <v>4</v>
      </c>
      <c r="F51">
        <v>327</v>
      </c>
      <c r="G51">
        <v>53</v>
      </c>
      <c r="H51">
        <v>2681</v>
      </c>
      <c r="I51">
        <v>0.903158727193903</v>
      </c>
      <c r="J51">
        <v>0.95451181741574198</v>
      </c>
      <c r="K51">
        <v>0.61877560440828605</v>
      </c>
      <c r="L51" t="s">
        <v>1387</v>
      </c>
      <c r="M51" t="str">
        <f>HYPERLINK("../../3.KEGG_map/SCI_I-vs-NC-Down/rno03018.html","rno03018")</f>
        <v>rno03018</v>
      </c>
    </row>
    <row r="52" spans="1:13" x14ac:dyDescent="0.25">
      <c r="A52" t="s">
        <v>1388</v>
      </c>
      <c r="B52" t="s">
        <v>1389</v>
      </c>
      <c r="C52" t="s">
        <v>220</v>
      </c>
      <c r="D52" t="s">
        <v>267</v>
      </c>
      <c r="E52">
        <v>4</v>
      </c>
      <c r="F52">
        <v>327</v>
      </c>
      <c r="G52">
        <v>21</v>
      </c>
      <c r="H52">
        <v>2681</v>
      </c>
      <c r="I52">
        <v>0.24838617540114299</v>
      </c>
      <c r="J52">
        <v>0.56677209114260796</v>
      </c>
      <c r="K52">
        <v>1.56167176350663</v>
      </c>
      <c r="L52" t="s">
        <v>1390</v>
      </c>
      <c r="M52" t="str">
        <f>HYPERLINK("../../3.KEGG_map/SCI_I-vs-NC-Down/rno03022.html","rno03022")</f>
        <v>rno03022</v>
      </c>
    </row>
    <row r="53" spans="1:13" x14ac:dyDescent="0.25">
      <c r="A53" t="s">
        <v>269</v>
      </c>
      <c r="B53" t="s">
        <v>270</v>
      </c>
      <c r="C53" t="s">
        <v>220</v>
      </c>
      <c r="D53" t="s">
        <v>271</v>
      </c>
      <c r="E53">
        <v>1</v>
      </c>
      <c r="F53">
        <v>327</v>
      </c>
      <c r="G53">
        <v>6</v>
      </c>
      <c r="H53">
        <v>2681</v>
      </c>
      <c r="I53">
        <v>0.54215356525187797</v>
      </c>
      <c r="J53">
        <v>0.81976231854350301</v>
      </c>
      <c r="K53">
        <v>1.3664627930683</v>
      </c>
      <c r="L53" t="s">
        <v>1391</v>
      </c>
      <c r="M53" t="str">
        <f>HYPERLINK("../../3.KEGG_map/SCI_I-vs-NC-Down/rno03030.html","rno03030")</f>
        <v>rno03030</v>
      </c>
    </row>
    <row r="54" spans="1:13" x14ac:dyDescent="0.25">
      <c r="A54" t="s">
        <v>273</v>
      </c>
      <c r="B54" t="s">
        <v>274</v>
      </c>
      <c r="C54" t="s">
        <v>220</v>
      </c>
      <c r="D54" t="s">
        <v>267</v>
      </c>
      <c r="E54">
        <v>6</v>
      </c>
      <c r="F54">
        <v>327</v>
      </c>
      <c r="G54">
        <v>30</v>
      </c>
      <c r="H54">
        <v>2681</v>
      </c>
      <c r="I54">
        <v>0.15014607446286801</v>
      </c>
      <c r="J54">
        <v>0.44337252576682201</v>
      </c>
      <c r="K54">
        <v>1.6397553516819601</v>
      </c>
      <c r="L54" t="s">
        <v>1392</v>
      </c>
      <c r="M54" t="str">
        <f>HYPERLINK("../../3.KEGG_map/SCI_I-vs-NC-Down/rno03040.html","rno03040")</f>
        <v>rno03040</v>
      </c>
    </row>
    <row r="55" spans="1:13" x14ac:dyDescent="0.25">
      <c r="A55" t="s">
        <v>1019</v>
      </c>
      <c r="B55" t="s">
        <v>1020</v>
      </c>
      <c r="C55" t="s">
        <v>220</v>
      </c>
      <c r="D55" t="s">
        <v>263</v>
      </c>
      <c r="E55">
        <v>2</v>
      </c>
      <c r="F55">
        <v>327</v>
      </c>
      <c r="G55">
        <v>10</v>
      </c>
      <c r="H55">
        <v>2681</v>
      </c>
      <c r="I55">
        <v>0.349438759030955</v>
      </c>
      <c r="J55">
        <v>0.69062305918716205</v>
      </c>
      <c r="K55">
        <v>1.6397553516819601</v>
      </c>
      <c r="L55" t="s">
        <v>1393</v>
      </c>
      <c r="M55" t="str">
        <f>HYPERLINK("../../3.KEGG_map/SCI_I-vs-NC-Down/rno03050.html","rno03050")</f>
        <v>rno03050</v>
      </c>
    </row>
    <row r="56" spans="1:13" x14ac:dyDescent="0.25">
      <c r="A56" t="s">
        <v>279</v>
      </c>
      <c r="B56" t="s">
        <v>280</v>
      </c>
      <c r="C56" t="s">
        <v>281</v>
      </c>
      <c r="D56" t="s">
        <v>282</v>
      </c>
      <c r="E56">
        <v>3</v>
      </c>
      <c r="F56">
        <v>327</v>
      </c>
      <c r="G56">
        <v>54</v>
      </c>
      <c r="H56">
        <v>2681</v>
      </c>
      <c r="I56">
        <v>0.96905591133499203</v>
      </c>
      <c r="J56">
        <v>0.97683949295214101</v>
      </c>
      <c r="K56">
        <v>0.45548759768943298</v>
      </c>
      <c r="L56" t="s">
        <v>1394</v>
      </c>
      <c r="M56" t="str">
        <f>HYPERLINK("../../3.KEGG_map/SCI_I-vs-NC-Down/rno03320.html","rno03320")</f>
        <v>rno03320</v>
      </c>
    </row>
    <row r="57" spans="1:13" x14ac:dyDescent="0.25">
      <c r="A57" t="s">
        <v>287</v>
      </c>
      <c r="B57" t="s">
        <v>288</v>
      </c>
      <c r="C57" t="s">
        <v>220</v>
      </c>
      <c r="D57" t="s">
        <v>271</v>
      </c>
      <c r="E57">
        <v>1</v>
      </c>
      <c r="F57">
        <v>327</v>
      </c>
      <c r="G57">
        <v>10</v>
      </c>
      <c r="H57">
        <v>2681</v>
      </c>
      <c r="I57">
        <v>0.72830523418122695</v>
      </c>
      <c r="J57">
        <v>0.90539337533675601</v>
      </c>
      <c r="K57">
        <v>0.81987767584097904</v>
      </c>
      <c r="L57" t="s">
        <v>1395</v>
      </c>
      <c r="M57" t="str">
        <f>HYPERLINK("../../3.KEGG_map/SCI_I-vs-NC-Down/rno03420.html","rno03420")</f>
        <v>rno03420</v>
      </c>
    </row>
    <row r="58" spans="1:13" x14ac:dyDescent="0.25">
      <c r="A58" t="s">
        <v>290</v>
      </c>
      <c r="B58" t="s">
        <v>291</v>
      </c>
      <c r="C58" t="s">
        <v>220</v>
      </c>
      <c r="D58" t="s">
        <v>271</v>
      </c>
      <c r="E58">
        <v>1</v>
      </c>
      <c r="F58">
        <v>327</v>
      </c>
      <c r="G58">
        <v>6</v>
      </c>
      <c r="H58">
        <v>2681</v>
      </c>
      <c r="I58">
        <v>0.54215356525187797</v>
      </c>
      <c r="J58">
        <v>0.81976231854350301</v>
      </c>
      <c r="K58">
        <v>1.3664627930683</v>
      </c>
      <c r="L58" t="s">
        <v>1396</v>
      </c>
      <c r="M58" t="str">
        <f>HYPERLINK("../../3.KEGG_map/SCI_I-vs-NC-Down/rno03430.html","rno03430")</f>
        <v>rno03430</v>
      </c>
    </row>
    <row r="59" spans="1:13" x14ac:dyDescent="0.25">
      <c r="A59" t="s">
        <v>293</v>
      </c>
      <c r="B59" t="s">
        <v>294</v>
      </c>
      <c r="C59" t="s">
        <v>220</v>
      </c>
      <c r="D59" t="s">
        <v>271</v>
      </c>
      <c r="E59">
        <v>3</v>
      </c>
      <c r="F59">
        <v>327</v>
      </c>
      <c r="G59">
        <v>21</v>
      </c>
      <c r="H59">
        <v>2681</v>
      </c>
      <c r="I59">
        <v>0.48151227099455202</v>
      </c>
      <c r="J59">
        <v>0.79262643739282901</v>
      </c>
      <c r="K59">
        <v>1.17125382262997</v>
      </c>
      <c r="L59" t="s">
        <v>1397</v>
      </c>
      <c r="M59" t="str">
        <f>HYPERLINK("../../3.KEGG_map/SCI_I-vs-NC-Down/rno03440.html","rno03440")</f>
        <v>rno03440</v>
      </c>
    </row>
    <row r="60" spans="1:13" x14ac:dyDescent="0.25">
      <c r="A60" t="s">
        <v>296</v>
      </c>
      <c r="B60" t="s">
        <v>297</v>
      </c>
      <c r="C60" t="s">
        <v>220</v>
      </c>
      <c r="D60" t="s">
        <v>271</v>
      </c>
      <c r="E60">
        <v>1</v>
      </c>
      <c r="F60">
        <v>327</v>
      </c>
      <c r="G60">
        <v>9</v>
      </c>
      <c r="H60">
        <v>2681</v>
      </c>
      <c r="I60">
        <v>0.69041858666620004</v>
      </c>
      <c r="J60">
        <v>0.90206688735895202</v>
      </c>
      <c r="K60">
        <v>0.91097519537886495</v>
      </c>
      <c r="L60" t="s">
        <v>1398</v>
      </c>
      <c r="M60" t="str">
        <f>HYPERLINK("../../3.KEGG_map/SCI_I-vs-NC-Down/rno03450.html","rno03450")</f>
        <v>rno03450</v>
      </c>
    </row>
    <row r="61" spans="1:13" x14ac:dyDescent="0.25">
      <c r="A61" t="s">
        <v>299</v>
      </c>
      <c r="B61" t="s">
        <v>300</v>
      </c>
      <c r="C61" t="s">
        <v>220</v>
      </c>
      <c r="D61" t="s">
        <v>271</v>
      </c>
      <c r="E61">
        <v>2</v>
      </c>
      <c r="F61">
        <v>327</v>
      </c>
      <c r="G61">
        <v>14</v>
      </c>
      <c r="H61">
        <v>2681</v>
      </c>
      <c r="I61">
        <v>0.52387406260235103</v>
      </c>
      <c r="J61">
        <v>0.81976231854350301</v>
      </c>
      <c r="K61">
        <v>1.17125382262997</v>
      </c>
      <c r="L61" t="s">
        <v>1399</v>
      </c>
      <c r="M61" t="str">
        <f>HYPERLINK("../../3.KEGG_map/SCI_I-vs-NC-Down/rno03460.html","rno03460")</f>
        <v>rno03460</v>
      </c>
    </row>
    <row r="62" spans="1:13" x14ac:dyDescent="0.25">
      <c r="A62" t="s">
        <v>302</v>
      </c>
      <c r="B62" t="s">
        <v>303</v>
      </c>
      <c r="C62" t="s">
        <v>249</v>
      </c>
      <c r="D62" t="s">
        <v>304</v>
      </c>
      <c r="E62">
        <v>23</v>
      </c>
      <c r="F62">
        <v>327</v>
      </c>
      <c r="G62">
        <v>213</v>
      </c>
      <c r="H62">
        <v>2681</v>
      </c>
      <c r="I62">
        <v>0.77319334024605801</v>
      </c>
      <c r="J62">
        <v>0.90631516205746299</v>
      </c>
      <c r="K62">
        <v>0.88531392226960104</v>
      </c>
      <c r="L62" t="s">
        <v>1400</v>
      </c>
      <c r="M62" t="str">
        <f>HYPERLINK("../../3.KEGG_map/SCI_I-vs-NC-Down/rno04010.html","rno04010")</f>
        <v>rno04010</v>
      </c>
    </row>
    <row r="63" spans="1:13" x14ac:dyDescent="0.25">
      <c r="A63" t="s">
        <v>306</v>
      </c>
      <c r="B63" t="s">
        <v>307</v>
      </c>
      <c r="C63" t="s">
        <v>249</v>
      </c>
      <c r="D63" t="s">
        <v>304</v>
      </c>
      <c r="E63">
        <v>14</v>
      </c>
      <c r="F63">
        <v>327</v>
      </c>
      <c r="G63">
        <v>71</v>
      </c>
      <c r="H63">
        <v>2681</v>
      </c>
      <c r="I63">
        <v>4.3992150132808903E-2</v>
      </c>
      <c r="J63">
        <v>0.25191341316834098</v>
      </c>
      <c r="K63">
        <v>1.6166602058836199</v>
      </c>
      <c r="L63" t="s">
        <v>1401</v>
      </c>
      <c r="M63" t="str">
        <f>HYPERLINK("../../3.KEGG_map/SCI_I-vs-NC-Down/rno04012.html","rno04012")</f>
        <v>rno04012</v>
      </c>
    </row>
    <row r="64" spans="1:13" x14ac:dyDescent="0.25">
      <c r="A64" t="s">
        <v>309</v>
      </c>
      <c r="B64" t="s">
        <v>310</v>
      </c>
      <c r="C64" t="s">
        <v>249</v>
      </c>
      <c r="D64" t="s">
        <v>304</v>
      </c>
      <c r="E64">
        <v>18</v>
      </c>
      <c r="F64">
        <v>327</v>
      </c>
      <c r="G64">
        <v>131</v>
      </c>
      <c r="H64">
        <v>2681</v>
      </c>
      <c r="I64">
        <v>0.32919314688927598</v>
      </c>
      <c r="J64">
        <v>0.67727442515744496</v>
      </c>
      <c r="K64">
        <v>1.12654947825478</v>
      </c>
      <c r="L64" t="s">
        <v>1402</v>
      </c>
      <c r="M64" t="str">
        <f>HYPERLINK("../../3.KEGG_map/SCI_I-vs-NC-Down/rno04014.html","rno04014")</f>
        <v>rno04014</v>
      </c>
    </row>
    <row r="65" spans="1:13" x14ac:dyDescent="0.25">
      <c r="A65" t="s">
        <v>312</v>
      </c>
      <c r="B65" t="s">
        <v>313</v>
      </c>
      <c r="C65" t="s">
        <v>249</v>
      </c>
      <c r="D65" t="s">
        <v>304</v>
      </c>
      <c r="E65">
        <v>27</v>
      </c>
      <c r="F65">
        <v>327</v>
      </c>
      <c r="G65">
        <v>139</v>
      </c>
      <c r="H65">
        <v>2681</v>
      </c>
      <c r="I65">
        <v>7.9514490201700108E-3</v>
      </c>
      <c r="J65">
        <v>0.11740080612133399</v>
      </c>
      <c r="K65">
        <v>1.5925681473170099</v>
      </c>
      <c r="L65" t="s">
        <v>1403</v>
      </c>
      <c r="M65" t="str">
        <f>HYPERLINK("../../3.KEGG_map/SCI_I-vs-NC-Down/rno04015.html","rno04015")</f>
        <v>rno04015</v>
      </c>
    </row>
    <row r="66" spans="1:13" x14ac:dyDescent="0.25">
      <c r="A66" t="s">
        <v>315</v>
      </c>
      <c r="B66" t="s">
        <v>316</v>
      </c>
      <c r="C66" t="s">
        <v>249</v>
      </c>
      <c r="D66" t="s">
        <v>304</v>
      </c>
      <c r="E66">
        <v>22</v>
      </c>
      <c r="F66">
        <v>327</v>
      </c>
      <c r="G66">
        <v>116</v>
      </c>
      <c r="H66">
        <v>2681</v>
      </c>
      <c r="I66">
        <v>2.0768780787274298E-2</v>
      </c>
      <c r="J66">
        <v>0.151586795027955</v>
      </c>
      <c r="K66">
        <v>1.55494041969841</v>
      </c>
      <c r="L66" t="s">
        <v>1404</v>
      </c>
      <c r="M66" t="str">
        <f>HYPERLINK("../../3.KEGG_map/SCI_I-vs-NC-Down/rno04020.html","rno04020")</f>
        <v>rno04020</v>
      </c>
    </row>
    <row r="67" spans="1:13" x14ac:dyDescent="0.25">
      <c r="A67" t="s">
        <v>318</v>
      </c>
      <c r="B67" t="s">
        <v>319</v>
      </c>
      <c r="C67" t="s">
        <v>249</v>
      </c>
      <c r="D67" t="s">
        <v>304</v>
      </c>
      <c r="E67">
        <v>31</v>
      </c>
      <c r="F67">
        <v>327</v>
      </c>
      <c r="G67">
        <v>156</v>
      </c>
      <c r="H67">
        <v>2681</v>
      </c>
      <c r="I67">
        <v>3.1656431519569198E-3</v>
      </c>
      <c r="J67">
        <v>6.1121263933937402E-2</v>
      </c>
      <c r="K67">
        <v>1.6292440994275901</v>
      </c>
      <c r="L67" t="s">
        <v>1405</v>
      </c>
      <c r="M67" t="str">
        <f>HYPERLINK("../../3.KEGG_map/SCI_I-vs-NC-Down/rno04022.html","rno04022")</f>
        <v>rno04022</v>
      </c>
    </row>
    <row r="68" spans="1:13" x14ac:dyDescent="0.25">
      <c r="A68" t="s">
        <v>321</v>
      </c>
      <c r="B68" t="s">
        <v>322</v>
      </c>
      <c r="C68" t="s">
        <v>249</v>
      </c>
      <c r="D68" t="s">
        <v>304</v>
      </c>
      <c r="E68">
        <v>28</v>
      </c>
      <c r="F68">
        <v>327</v>
      </c>
      <c r="G68">
        <v>130</v>
      </c>
      <c r="H68">
        <v>2681</v>
      </c>
      <c r="I68">
        <v>1.4338935782666699E-3</v>
      </c>
      <c r="J68">
        <v>3.2718844376812301E-2</v>
      </c>
      <c r="K68">
        <v>1.76589037873442</v>
      </c>
      <c r="L68" t="s">
        <v>1406</v>
      </c>
      <c r="M68" t="str">
        <f>HYPERLINK("../../3.KEGG_map/SCI_I-vs-NC-Down/rno04024.html","rno04024")</f>
        <v>rno04024</v>
      </c>
    </row>
    <row r="69" spans="1:13" x14ac:dyDescent="0.25">
      <c r="A69" t="s">
        <v>324</v>
      </c>
      <c r="B69" t="s">
        <v>325</v>
      </c>
      <c r="C69" t="s">
        <v>249</v>
      </c>
      <c r="D69" t="s">
        <v>326</v>
      </c>
      <c r="E69">
        <v>2</v>
      </c>
      <c r="F69">
        <v>327</v>
      </c>
      <c r="G69">
        <v>32</v>
      </c>
      <c r="H69">
        <v>2681</v>
      </c>
      <c r="I69">
        <v>0.91648345815615095</v>
      </c>
      <c r="J69">
        <v>0.95451181741574198</v>
      </c>
      <c r="K69">
        <v>0.51242354740061202</v>
      </c>
      <c r="L69" t="s">
        <v>1407</v>
      </c>
      <c r="M69" t="str">
        <f>HYPERLINK("../../3.KEGG_map/SCI_I-vs-NC-Down/rno04060.html","rno04060")</f>
        <v>rno04060</v>
      </c>
    </row>
    <row r="70" spans="1:13" x14ac:dyDescent="0.25">
      <c r="A70" t="s">
        <v>328</v>
      </c>
      <c r="B70" t="s">
        <v>329</v>
      </c>
      <c r="C70" t="s">
        <v>281</v>
      </c>
      <c r="D70" t="s">
        <v>330</v>
      </c>
      <c r="E70">
        <v>24</v>
      </c>
      <c r="F70">
        <v>327</v>
      </c>
      <c r="G70">
        <v>98</v>
      </c>
      <c r="H70">
        <v>2681</v>
      </c>
      <c r="I70">
        <v>4.5743122070712597E-4</v>
      </c>
      <c r="J70">
        <v>1.6402176628212702E-2</v>
      </c>
      <c r="K70">
        <v>2.0078636959370901</v>
      </c>
      <c r="L70" t="s">
        <v>1408</v>
      </c>
      <c r="M70" t="str">
        <f>HYPERLINK("../../3.KEGG_map/SCI_I-vs-NC-Down/rno04062.html","rno04062")</f>
        <v>rno04062</v>
      </c>
    </row>
    <row r="71" spans="1:13" x14ac:dyDescent="0.25">
      <c r="A71" t="s">
        <v>332</v>
      </c>
      <c r="B71" t="s">
        <v>333</v>
      </c>
      <c r="C71" t="s">
        <v>249</v>
      </c>
      <c r="D71" t="s">
        <v>304</v>
      </c>
      <c r="E71">
        <v>4</v>
      </c>
      <c r="F71">
        <v>327</v>
      </c>
      <c r="G71">
        <v>30</v>
      </c>
      <c r="H71">
        <v>2681</v>
      </c>
      <c r="I71">
        <v>0.50697335743972705</v>
      </c>
      <c r="J71">
        <v>0.81472277971293605</v>
      </c>
      <c r="K71">
        <v>1.0931702344546399</v>
      </c>
      <c r="L71" t="s">
        <v>1409</v>
      </c>
      <c r="M71" t="str">
        <f>HYPERLINK("../../3.KEGG_map/SCI_I-vs-NC-Down/rno04064.html","rno04064")</f>
        <v>rno04064</v>
      </c>
    </row>
    <row r="72" spans="1:13" x14ac:dyDescent="0.25">
      <c r="A72" t="s">
        <v>335</v>
      </c>
      <c r="B72" t="s">
        <v>336</v>
      </c>
      <c r="C72" t="s">
        <v>249</v>
      </c>
      <c r="D72" t="s">
        <v>304</v>
      </c>
      <c r="E72">
        <v>8</v>
      </c>
      <c r="F72">
        <v>327</v>
      </c>
      <c r="G72">
        <v>51</v>
      </c>
      <c r="H72">
        <v>2681</v>
      </c>
      <c r="I72">
        <v>0.277923922119161</v>
      </c>
      <c r="J72">
        <v>0.59796877753067401</v>
      </c>
      <c r="K72">
        <v>1.2860826287701601</v>
      </c>
      <c r="L72" t="s">
        <v>1410</v>
      </c>
      <c r="M72" t="str">
        <f>HYPERLINK("../../3.KEGG_map/SCI_I-vs-NC-Down/rno04066.html","rno04066")</f>
        <v>rno04066</v>
      </c>
    </row>
    <row r="73" spans="1:13" x14ac:dyDescent="0.25">
      <c r="A73" t="s">
        <v>338</v>
      </c>
      <c r="B73" t="s">
        <v>339</v>
      </c>
      <c r="C73" t="s">
        <v>249</v>
      </c>
      <c r="D73" t="s">
        <v>304</v>
      </c>
      <c r="E73">
        <v>13</v>
      </c>
      <c r="F73">
        <v>327</v>
      </c>
      <c r="G73">
        <v>87</v>
      </c>
      <c r="H73">
        <v>2681</v>
      </c>
      <c r="I73">
        <v>0.25696465685173903</v>
      </c>
      <c r="J73">
        <v>0.57587615062309405</v>
      </c>
      <c r="K73">
        <v>1.22510457309572</v>
      </c>
      <c r="L73" t="s">
        <v>1411</v>
      </c>
      <c r="M73" t="str">
        <f>HYPERLINK("../../3.KEGG_map/SCI_I-vs-NC-Down/rno04068.html","rno04068")</f>
        <v>rno04068</v>
      </c>
    </row>
    <row r="74" spans="1:13" x14ac:dyDescent="0.25">
      <c r="A74" t="s">
        <v>341</v>
      </c>
      <c r="B74" t="s">
        <v>342</v>
      </c>
      <c r="C74" t="s">
        <v>249</v>
      </c>
      <c r="D74" t="s">
        <v>304</v>
      </c>
      <c r="E74">
        <v>12</v>
      </c>
      <c r="F74">
        <v>327</v>
      </c>
      <c r="G74">
        <v>102</v>
      </c>
      <c r="H74">
        <v>2681</v>
      </c>
      <c r="I74">
        <v>0.60116981717391005</v>
      </c>
      <c r="J74">
        <v>0.85653099053219806</v>
      </c>
      <c r="K74">
        <v>0.96456197157762202</v>
      </c>
      <c r="L74" t="s">
        <v>1412</v>
      </c>
      <c r="M74" t="str">
        <f>HYPERLINK("../../3.KEGG_map/SCI_I-vs-NC-Down/rno04070.html","rno04070")</f>
        <v>rno04070</v>
      </c>
    </row>
    <row r="75" spans="1:13" x14ac:dyDescent="0.25">
      <c r="A75" t="s">
        <v>344</v>
      </c>
      <c r="B75" t="s">
        <v>345</v>
      </c>
      <c r="C75" t="s">
        <v>249</v>
      </c>
      <c r="D75" t="s">
        <v>304</v>
      </c>
      <c r="E75">
        <v>14</v>
      </c>
      <c r="F75">
        <v>327</v>
      </c>
      <c r="G75">
        <v>88</v>
      </c>
      <c r="H75">
        <v>2681</v>
      </c>
      <c r="I75">
        <v>0.17770763940050399</v>
      </c>
      <c r="J75">
        <v>0.47961954289813502</v>
      </c>
      <c r="K75">
        <v>1.3043508479288299</v>
      </c>
      <c r="L75" t="s">
        <v>1413</v>
      </c>
      <c r="M75" t="str">
        <f>HYPERLINK("../../3.KEGG_map/SCI_I-vs-NC-Down/rno04071.html","rno04071")</f>
        <v>rno04071</v>
      </c>
    </row>
    <row r="76" spans="1:13" x14ac:dyDescent="0.25">
      <c r="A76" t="s">
        <v>347</v>
      </c>
      <c r="B76" t="s">
        <v>348</v>
      </c>
      <c r="C76" t="s">
        <v>249</v>
      </c>
      <c r="D76" t="s">
        <v>304</v>
      </c>
      <c r="E76">
        <v>25</v>
      </c>
      <c r="F76">
        <v>327</v>
      </c>
      <c r="G76">
        <v>89</v>
      </c>
      <c r="H76">
        <v>2681</v>
      </c>
      <c r="I76" s="1">
        <v>3.0704868996071698E-5</v>
      </c>
      <c r="J76">
        <v>7.5826388696751202E-3</v>
      </c>
      <c r="K76">
        <v>2.3030271793285899</v>
      </c>
      <c r="L76" t="s">
        <v>1414</v>
      </c>
      <c r="M76" t="str">
        <f>HYPERLINK("../../3.KEGG_map/SCI_I-vs-NC-Down/rno04072.html","rno04072")</f>
        <v>rno04072</v>
      </c>
    </row>
    <row r="77" spans="1:13" x14ac:dyDescent="0.25">
      <c r="A77" t="s">
        <v>350</v>
      </c>
      <c r="B77" t="s">
        <v>351</v>
      </c>
      <c r="C77" t="s">
        <v>249</v>
      </c>
      <c r="D77" t="s">
        <v>326</v>
      </c>
      <c r="E77">
        <v>3</v>
      </c>
      <c r="F77">
        <v>327</v>
      </c>
      <c r="G77">
        <v>14</v>
      </c>
      <c r="H77">
        <v>2681</v>
      </c>
      <c r="I77">
        <v>0.238838948878803</v>
      </c>
      <c r="J77">
        <v>0.55507940896832997</v>
      </c>
      <c r="K77">
        <v>1.7568807339449499</v>
      </c>
      <c r="L77" t="s">
        <v>1415</v>
      </c>
      <c r="M77" t="str">
        <f>HYPERLINK("../../3.KEGG_map/SCI_I-vs-NC-Down/rno04080.html","rno04080")</f>
        <v>rno04080</v>
      </c>
    </row>
    <row r="78" spans="1:13" x14ac:dyDescent="0.25">
      <c r="A78" t="s">
        <v>353</v>
      </c>
      <c r="B78" t="s">
        <v>354</v>
      </c>
      <c r="C78" t="s">
        <v>355</v>
      </c>
      <c r="D78" t="s">
        <v>356</v>
      </c>
      <c r="E78">
        <v>8</v>
      </c>
      <c r="F78">
        <v>327</v>
      </c>
      <c r="G78">
        <v>72</v>
      </c>
      <c r="H78">
        <v>2681</v>
      </c>
      <c r="I78">
        <v>0.66721007275375999</v>
      </c>
      <c r="J78">
        <v>0.89556004417750601</v>
      </c>
      <c r="K78">
        <v>0.91097519537886495</v>
      </c>
      <c r="L78" t="s">
        <v>1416</v>
      </c>
      <c r="M78" t="str">
        <f>HYPERLINK("../../3.KEGG_map/SCI_I-vs-NC-Down/rno04110.html","rno04110")</f>
        <v>rno04110</v>
      </c>
    </row>
    <row r="79" spans="1:13" x14ac:dyDescent="0.25">
      <c r="A79" t="s">
        <v>358</v>
      </c>
      <c r="B79" t="s">
        <v>359</v>
      </c>
      <c r="C79" t="s">
        <v>355</v>
      </c>
      <c r="D79" t="s">
        <v>356</v>
      </c>
      <c r="E79">
        <v>13</v>
      </c>
      <c r="F79">
        <v>327</v>
      </c>
      <c r="G79">
        <v>70</v>
      </c>
      <c r="H79">
        <v>2681</v>
      </c>
      <c r="I79">
        <v>7.6719021538533994E-2</v>
      </c>
      <c r="J79">
        <v>0.326380922138509</v>
      </c>
      <c r="K79">
        <v>1.52262996941896</v>
      </c>
      <c r="L79" t="s">
        <v>1417</v>
      </c>
      <c r="M79" t="str">
        <f>HYPERLINK("../../3.KEGG_map/SCI_I-vs-NC-Down/rno04114.html","rno04114")</f>
        <v>rno04114</v>
      </c>
    </row>
    <row r="80" spans="1:13" x14ac:dyDescent="0.25">
      <c r="A80" t="s">
        <v>361</v>
      </c>
      <c r="B80" t="s">
        <v>362</v>
      </c>
      <c r="C80" t="s">
        <v>355</v>
      </c>
      <c r="D80" t="s">
        <v>356</v>
      </c>
      <c r="E80">
        <v>1</v>
      </c>
      <c r="F80">
        <v>327</v>
      </c>
      <c r="G80">
        <v>19</v>
      </c>
      <c r="H80">
        <v>2681</v>
      </c>
      <c r="I80">
        <v>0.91628249059301903</v>
      </c>
      <c r="J80">
        <v>0.95451181741574198</v>
      </c>
      <c r="K80">
        <v>0.431514566232094</v>
      </c>
      <c r="L80" t="s">
        <v>1418</v>
      </c>
      <c r="M80" t="str">
        <f>HYPERLINK("../../3.KEGG_map/SCI_I-vs-NC-Down/rno04115.html","rno04115")</f>
        <v>rno04115</v>
      </c>
    </row>
    <row r="81" spans="1:13" x14ac:dyDescent="0.25">
      <c r="A81" t="s">
        <v>364</v>
      </c>
      <c r="B81" t="s">
        <v>365</v>
      </c>
      <c r="C81" t="s">
        <v>220</v>
      </c>
      <c r="D81" t="s">
        <v>263</v>
      </c>
      <c r="E81">
        <v>16</v>
      </c>
      <c r="F81">
        <v>327</v>
      </c>
      <c r="G81">
        <v>120</v>
      </c>
      <c r="H81">
        <v>2681</v>
      </c>
      <c r="I81">
        <v>0.39083775353094302</v>
      </c>
      <c r="J81">
        <v>0.72073142284082004</v>
      </c>
      <c r="K81">
        <v>1.0931702344546399</v>
      </c>
      <c r="L81" t="s">
        <v>1419</v>
      </c>
      <c r="M81" t="str">
        <f>HYPERLINK("../../3.KEGG_map/SCI_I-vs-NC-Down/rno04120.html","rno04120")</f>
        <v>rno04120</v>
      </c>
    </row>
    <row r="82" spans="1:13" x14ac:dyDescent="0.25">
      <c r="A82" t="s">
        <v>370</v>
      </c>
      <c r="B82" t="s">
        <v>371</v>
      </c>
      <c r="C82" t="s">
        <v>355</v>
      </c>
      <c r="D82" t="s">
        <v>372</v>
      </c>
      <c r="E82">
        <v>1</v>
      </c>
      <c r="F82">
        <v>327</v>
      </c>
      <c r="G82">
        <v>33</v>
      </c>
      <c r="H82">
        <v>2681</v>
      </c>
      <c r="I82">
        <v>0.98670056151590102</v>
      </c>
      <c r="J82">
        <v>0.99064736376196405</v>
      </c>
      <c r="K82">
        <v>0.24844778055787201</v>
      </c>
      <c r="L82" t="s">
        <v>1420</v>
      </c>
      <c r="M82" t="str">
        <f>HYPERLINK("../../3.KEGG_map/SCI_I-vs-NC-Down/rno04137.html","rno04137")</f>
        <v>rno04137</v>
      </c>
    </row>
    <row r="83" spans="1:13" x14ac:dyDescent="0.25">
      <c r="A83" t="s">
        <v>374</v>
      </c>
      <c r="B83" t="s">
        <v>375</v>
      </c>
      <c r="C83" t="s">
        <v>355</v>
      </c>
      <c r="D83" t="s">
        <v>372</v>
      </c>
      <c r="E83">
        <v>8</v>
      </c>
      <c r="F83">
        <v>327</v>
      </c>
      <c r="G83">
        <v>77</v>
      </c>
      <c r="H83">
        <v>2681</v>
      </c>
      <c r="I83">
        <v>0.74025129044154803</v>
      </c>
      <c r="J83">
        <v>0.90539337533675601</v>
      </c>
      <c r="K83">
        <v>0.85182096191270495</v>
      </c>
      <c r="L83" t="s">
        <v>1421</v>
      </c>
      <c r="M83" t="str">
        <f>HYPERLINK("../../3.KEGG_map/SCI_I-vs-NC-Down/rno04140.html","rno04140")</f>
        <v>rno04140</v>
      </c>
    </row>
    <row r="84" spans="1:13" x14ac:dyDescent="0.25">
      <c r="A84" t="s">
        <v>377</v>
      </c>
      <c r="B84" t="s">
        <v>378</v>
      </c>
      <c r="C84" t="s">
        <v>220</v>
      </c>
      <c r="D84" t="s">
        <v>263</v>
      </c>
      <c r="E84">
        <v>2</v>
      </c>
      <c r="F84">
        <v>327</v>
      </c>
      <c r="G84">
        <v>86</v>
      </c>
      <c r="H84">
        <v>2681</v>
      </c>
      <c r="I84">
        <v>0.99984704124379697</v>
      </c>
      <c r="J84">
        <v>0.99984704124379697</v>
      </c>
      <c r="K84">
        <v>0.19066922693976199</v>
      </c>
      <c r="L84" t="s">
        <v>1422</v>
      </c>
      <c r="M84" t="str">
        <f>HYPERLINK("../../3.KEGG_map/SCI_I-vs-NC-Down/rno04141.html","rno04141")</f>
        <v>rno04141</v>
      </c>
    </row>
    <row r="85" spans="1:13" x14ac:dyDescent="0.25">
      <c r="A85" t="s">
        <v>380</v>
      </c>
      <c r="B85" t="s">
        <v>381</v>
      </c>
      <c r="C85" t="s">
        <v>355</v>
      </c>
      <c r="D85" t="s">
        <v>372</v>
      </c>
      <c r="E85">
        <v>3</v>
      </c>
      <c r="F85">
        <v>327</v>
      </c>
      <c r="G85">
        <v>50</v>
      </c>
      <c r="H85">
        <v>2681</v>
      </c>
      <c r="I85">
        <v>0.95412430519759905</v>
      </c>
      <c r="J85">
        <v>0.96566613147015101</v>
      </c>
      <c r="K85">
        <v>0.491926605504587</v>
      </c>
      <c r="L85" t="s">
        <v>1423</v>
      </c>
      <c r="M85" t="str">
        <f>HYPERLINK("../../3.KEGG_map/SCI_I-vs-NC-Down/rno04142.html","rno04142")</f>
        <v>rno04142</v>
      </c>
    </row>
    <row r="86" spans="1:13" x14ac:dyDescent="0.25">
      <c r="A86" t="s">
        <v>383</v>
      </c>
      <c r="B86" t="s">
        <v>384</v>
      </c>
      <c r="C86" t="s">
        <v>355</v>
      </c>
      <c r="D86" t="s">
        <v>372</v>
      </c>
      <c r="E86">
        <v>26</v>
      </c>
      <c r="F86">
        <v>327</v>
      </c>
      <c r="G86">
        <v>193</v>
      </c>
      <c r="H86">
        <v>2681</v>
      </c>
      <c r="I86">
        <v>0.32024524786595598</v>
      </c>
      <c r="J86">
        <v>0.66984631011962403</v>
      </c>
      <c r="K86">
        <v>1.10449842341272</v>
      </c>
      <c r="L86" t="s">
        <v>1424</v>
      </c>
      <c r="M86" t="str">
        <f>HYPERLINK("../../3.KEGG_map/SCI_I-vs-NC-Down/rno04144.html","rno04144")</f>
        <v>rno04144</v>
      </c>
    </row>
    <row r="87" spans="1:13" x14ac:dyDescent="0.25">
      <c r="A87" t="s">
        <v>386</v>
      </c>
      <c r="B87" t="s">
        <v>387</v>
      </c>
      <c r="C87" t="s">
        <v>355</v>
      </c>
      <c r="D87" t="s">
        <v>372</v>
      </c>
      <c r="E87">
        <v>5</v>
      </c>
      <c r="F87">
        <v>327</v>
      </c>
      <c r="G87">
        <v>61</v>
      </c>
      <c r="H87">
        <v>2681</v>
      </c>
      <c r="I87">
        <v>0.882619340762133</v>
      </c>
      <c r="J87">
        <v>0.95451181741574198</v>
      </c>
      <c r="K87">
        <v>0.67203088183686799</v>
      </c>
      <c r="L87" t="s">
        <v>1425</v>
      </c>
      <c r="M87" t="str">
        <f>HYPERLINK("../../3.KEGG_map/SCI_I-vs-NC-Down/rno04145.html","rno04145")</f>
        <v>rno04145</v>
      </c>
    </row>
    <row r="88" spans="1:13" x14ac:dyDescent="0.25">
      <c r="A88" t="s">
        <v>389</v>
      </c>
      <c r="B88" t="s">
        <v>390</v>
      </c>
      <c r="C88" t="s">
        <v>355</v>
      </c>
      <c r="D88" t="s">
        <v>372</v>
      </c>
      <c r="E88">
        <v>1</v>
      </c>
      <c r="F88">
        <v>327</v>
      </c>
      <c r="G88">
        <v>22</v>
      </c>
      <c r="H88">
        <v>2681</v>
      </c>
      <c r="I88">
        <v>0.94350835611820805</v>
      </c>
      <c r="J88">
        <v>0.96566613147015101</v>
      </c>
      <c r="K88">
        <v>0.37267167083680802</v>
      </c>
      <c r="L88" t="s">
        <v>1426</v>
      </c>
      <c r="M88" t="str">
        <f>HYPERLINK("../../3.KEGG_map/SCI_I-vs-NC-Down/rno04146.html","rno04146")</f>
        <v>rno04146</v>
      </c>
    </row>
    <row r="89" spans="1:13" x14ac:dyDescent="0.25">
      <c r="A89" t="s">
        <v>392</v>
      </c>
      <c r="B89" t="s">
        <v>393</v>
      </c>
      <c r="C89" t="s">
        <v>249</v>
      </c>
      <c r="D89" t="s">
        <v>304</v>
      </c>
      <c r="E89">
        <v>16</v>
      </c>
      <c r="F89">
        <v>327</v>
      </c>
      <c r="G89">
        <v>89</v>
      </c>
      <c r="H89">
        <v>2681</v>
      </c>
      <c r="I89">
        <v>6.82404005601914E-2</v>
      </c>
      <c r="J89">
        <v>0.300497202466808</v>
      </c>
      <c r="K89">
        <v>1.4739373947703001</v>
      </c>
      <c r="L89" t="s">
        <v>1427</v>
      </c>
      <c r="M89" t="str">
        <f>HYPERLINK("../../3.KEGG_map/SCI_I-vs-NC-Down/rno04150.html","rno04150")</f>
        <v>rno04150</v>
      </c>
    </row>
    <row r="90" spans="1:13" x14ac:dyDescent="0.25">
      <c r="A90" t="s">
        <v>395</v>
      </c>
      <c r="B90" t="s">
        <v>396</v>
      </c>
      <c r="C90" t="s">
        <v>249</v>
      </c>
      <c r="D90" t="s">
        <v>304</v>
      </c>
      <c r="E90">
        <v>17</v>
      </c>
      <c r="F90">
        <v>327</v>
      </c>
      <c r="G90">
        <v>161</v>
      </c>
      <c r="H90">
        <v>2681</v>
      </c>
      <c r="I90">
        <v>0.77886014907077905</v>
      </c>
      <c r="J90">
        <v>0.90631516205746299</v>
      </c>
      <c r="K90">
        <v>0.86570934716128201</v>
      </c>
      <c r="L90" t="s">
        <v>1428</v>
      </c>
      <c r="M90" t="str">
        <f>HYPERLINK("../../3.KEGG_map/SCI_I-vs-NC-Down/rno04151.html","rno04151")</f>
        <v>rno04151</v>
      </c>
    </row>
    <row r="91" spans="1:13" x14ac:dyDescent="0.25">
      <c r="A91" t="s">
        <v>398</v>
      </c>
      <c r="B91" t="s">
        <v>399</v>
      </c>
      <c r="C91" t="s">
        <v>249</v>
      </c>
      <c r="D91" t="s">
        <v>304</v>
      </c>
      <c r="E91">
        <v>8</v>
      </c>
      <c r="F91">
        <v>327</v>
      </c>
      <c r="G91">
        <v>63</v>
      </c>
      <c r="H91">
        <v>2681</v>
      </c>
      <c r="I91">
        <v>0.50960747575669696</v>
      </c>
      <c r="J91">
        <v>0.81472277971293605</v>
      </c>
      <c r="K91">
        <v>1.04111450900442</v>
      </c>
      <c r="L91" t="s">
        <v>1429</v>
      </c>
      <c r="M91" t="str">
        <f>HYPERLINK("../../3.KEGG_map/SCI_I-vs-NC-Down/rno04152.html","rno04152")</f>
        <v>rno04152</v>
      </c>
    </row>
    <row r="92" spans="1:13" x14ac:dyDescent="0.25">
      <c r="A92" t="s">
        <v>401</v>
      </c>
      <c r="B92" t="s">
        <v>402</v>
      </c>
      <c r="C92" t="s">
        <v>355</v>
      </c>
      <c r="D92" t="s">
        <v>356</v>
      </c>
      <c r="E92">
        <v>7</v>
      </c>
      <c r="F92">
        <v>327</v>
      </c>
      <c r="G92">
        <v>62</v>
      </c>
      <c r="H92">
        <v>2681</v>
      </c>
      <c r="I92">
        <v>0.64653180635592</v>
      </c>
      <c r="J92">
        <v>0.88295690495813095</v>
      </c>
      <c r="K92">
        <v>0.92566834369142703</v>
      </c>
      <c r="L92" t="s">
        <v>1430</v>
      </c>
      <c r="M92" t="str">
        <f>HYPERLINK("../../3.KEGG_map/SCI_I-vs-NC-Down/rno04210.html","rno04210")</f>
        <v>rno04210</v>
      </c>
    </row>
    <row r="93" spans="1:13" x14ac:dyDescent="0.25">
      <c r="A93" t="s">
        <v>404</v>
      </c>
      <c r="B93" t="s">
        <v>405</v>
      </c>
      <c r="C93" t="s">
        <v>281</v>
      </c>
      <c r="D93" t="s">
        <v>406</v>
      </c>
      <c r="E93">
        <v>17</v>
      </c>
      <c r="F93">
        <v>327</v>
      </c>
      <c r="G93">
        <v>64</v>
      </c>
      <c r="H93">
        <v>2681</v>
      </c>
      <c r="I93">
        <v>1.1881726114232401E-3</v>
      </c>
      <c r="J93">
        <v>2.98231325467232E-2</v>
      </c>
      <c r="K93">
        <v>2.1778000764526002</v>
      </c>
      <c r="L93" t="s">
        <v>1431</v>
      </c>
      <c r="M93" t="str">
        <f>HYPERLINK("../../3.KEGG_map/SCI_I-vs-NC-Down/rno04211.html","rno04211")</f>
        <v>rno04211</v>
      </c>
    </row>
    <row r="94" spans="1:13" x14ac:dyDescent="0.25">
      <c r="A94" t="s">
        <v>408</v>
      </c>
      <c r="B94" t="s">
        <v>409</v>
      </c>
      <c r="C94" t="s">
        <v>281</v>
      </c>
      <c r="D94" t="s">
        <v>406</v>
      </c>
      <c r="E94">
        <v>12</v>
      </c>
      <c r="F94">
        <v>327</v>
      </c>
      <c r="G94">
        <v>31</v>
      </c>
      <c r="H94">
        <v>2681</v>
      </c>
      <c r="I94">
        <v>1.4419811514472999E-4</v>
      </c>
      <c r="J94">
        <v>9.0484317253318007E-3</v>
      </c>
      <c r="K94">
        <v>3.1737200355134698</v>
      </c>
      <c r="L94" t="s">
        <v>1432</v>
      </c>
      <c r="M94" t="str">
        <f>HYPERLINK("../../3.KEGG_map/SCI_I-vs-NC-Down/rno04213.html","rno04213")</f>
        <v>rno04213</v>
      </c>
    </row>
    <row r="95" spans="1:13" x14ac:dyDescent="0.25">
      <c r="A95" t="s">
        <v>411</v>
      </c>
      <c r="B95" t="s">
        <v>412</v>
      </c>
      <c r="C95" t="s">
        <v>355</v>
      </c>
      <c r="D95" t="s">
        <v>356</v>
      </c>
      <c r="E95">
        <v>2</v>
      </c>
      <c r="F95">
        <v>327</v>
      </c>
      <c r="G95">
        <v>9</v>
      </c>
      <c r="H95">
        <v>2681</v>
      </c>
      <c r="I95">
        <v>0.30205622543799199</v>
      </c>
      <c r="J95">
        <v>0.63711018978937795</v>
      </c>
      <c r="K95">
        <v>1.8219503907577299</v>
      </c>
      <c r="L95" t="s">
        <v>1433</v>
      </c>
      <c r="M95" t="str">
        <f>HYPERLINK("../../3.KEGG_map/SCI_I-vs-NC-Down/rno04215.html","rno04215")</f>
        <v>rno04215</v>
      </c>
    </row>
    <row r="96" spans="1:13" x14ac:dyDescent="0.25">
      <c r="A96" t="s">
        <v>414</v>
      </c>
      <c r="B96" t="s">
        <v>415</v>
      </c>
      <c r="C96" t="s">
        <v>355</v>
      </c>
      <c r="D96" t="s">
        <v>356</v>
      </c>
      <c r="E96">
        <v>1</v>
      </c>
      <c r="F96">
        <v>327</v>
      </c>
      <c r="G96">
        <v>10</v>
      </c>
      <c r="H96">
        <v>2681</v>
      </c>
      <c r="I96">
        <v>0.72830523418122695</v>
      </c>
      <c r="J96">
        <v>0.90539337533675601</v>
      </c>
      <c r="K96">
        <v>0.81987767584097904</v>
      </c>
      <c r="L96" t="s">
        <v>1434</v>
      </c>
      <c r="M96" t="str">
        <f>HYPERLINK("../../3.KEGG_map/SCI_I-vs-NC-Down/rno04216.html","rno04216")</f>
        <v>rno04216</v>
      </c>
    </row>
    <row r="97" spans="1:13" x14ac:dyDescent="0.25">
      <c r="A97" t="s">
        <v>417</v>
      </c>
      <c r="B97" t="s">
        <v>418</v>
      </c>
      <c r="C97" t="s">
        <v>355</v>
      </c>
      <c r="D97" t="s">
        <v>356</v>
      </c>
      <c r="E97">
        <v>6</v>
      </c>
      <c r="F97">
        <v>327</v>
      </c>
      <c r="G97">
        <v>44</v>
      </c>
      <c r="H97">
        <v>2681</v>
      </c>
      <c r="I97">
        <v>0.45250677555635199</v>
      </c>
      <c r="J97">
        <v>0.77793973057975596</v>
      </c>
      <c r="K97">
        <v>1.11801501251043</v>
      </c>
      <c r="L97" t="s">
        <v>1435</v>
      </c>
      <c r="M97" t="str">
        <f>HYPERLINK("../../3.KEGG_map/SCI_I-vs-NC-Down/rno04217.html","rno04217")</f>
        <v>rno04217</v>
      </c>
    </row>
    <row r="98" spans="1:13" x14ac:dyDescent="0.25">
      <c r="A98" t="s">
        <v>420</v>
      </c>
      <c r="B98" t="s">
        <v>421</v>
      </c>
      <c r="C98" t="s">
        <v>355</v>
      </c>
      <c r="D98" t="s">
        <v>356</v>
      </c>
      <c r="E98">
        <v>14</v>
      </c>
      <c r="F98">
        <v>327</v>
      </c>
      <c r="G98">
        <v>111</v>
      </c>
      <c r="H98">
        <v>2681</v>
      </c>
      <c r="I98">
        <v>0.49076063911837497</v>
      </c>
      <c r="J98">
        <v>0.79987610661501396</v>
      </c>
      <c r="K98">
        <v>1.0340799515111401</v>
      </c>
      <c r="L98" t="s">
        <v>1436</v>
      </c>
      <c r="M98" t="str">
        <f>HYPERLINK("../../3.KEGG_map/SCI_I-vs-NC-Down/rno04218.html","rno04218")</f>
        <v>rno04218</v>
      </c>
    </row>
    <row r="99" spans="1:13" x14ac:dyDescent="0.25">
      <c r="A99" t="s">
        <v>423</v>
      </c>
      <c r="B99" t="s">
        <v>424</v>
      </c>
      <c r="C99" t="s">
        <v>281</v>
      </c>
      <c r="D99" t="s">
        <v>425</v>
      </c>
      <c r="E99">
        <v>5</v>
      </c>
      <c r="F99">
        <v>327</v>
      </c>
      <c r="G99">
        <v>39</v>
      </c>
      <c r="H99">
        <v>2681</v>
      </c>
      <c r="I99">
        <v>0.52581729418786505</v>
      </c>
      <c r="J99">
        <v>0.81976231854350301</v>
      </c>
      <c r="K99">
        <v>1.0511252254371499</v>
      </c>
      <c r="L99" t="s">
        <v>1437</v>
      </c>
      <c r="M99" t="str">
        <f>HYPERLINK("../../3.KEGG_map/SCI_I-vs-NC-Down/rno04260.html","rno04260")</f>
        <v>rno04260</v>
      </c>
    </row>
    <row r="100" spans="1:13" x14ac:dyDescent="0.25">
      <c r="A100" t="s">
        <v>427</v>
      </c>
      <c r="B100" t="s">
        <v>428</v>
      </c>
      <c r="C100" t="s">
        <v>281</v>
      </c>
      <c r="D100" t="s">
        <v>425</v>
      </c>
      <c r="E100">
        <v>20</v>
      </c>
      <c r="F100">
        <v>327</v>
      </c>
      <c r="G100">
        <v>102</v>
      </c>
      <c r="H100">
        <v>2681</v>
      </c>
      <c r="I100">
        <v>1.91140705571879E-2</v>
      </c>
      <c r="J100">
        <v>0.151586795027955</v>
      </c>
      <c r="K100">
        <v>1.6076032859627001</v>
      </c>
      <c r="L100" t="s">
        <v>1438</v>
      </c>
      <c r="M100" t="str">
        <f>HYPERLINK("../../3.KEGG_map/SCI_I-vs-NC-Down/rno04261.html","rno04261")</f>
        <v>rno04261</v>
      </c>
    </row>
    <row r="101" spans="1:13" x14ac:dyDescent="0.25">
      <c r="A101" t="s">
        <v>430</v>
      </c>
      <c r="B101" t="s">
        <v>431</v>
      </c>
      <c r="C101" t="s">
        <v>281</v>
      </c>
      <c r="D101" t="s">
        <v>425</v>
      </c>
      <c r="E101">
        <v>21</v>
      </c>
      <c r="F101">
        <v>327</v>
      </c>
      <c r="G101">
        <v>132</v>
      </c>
      <c r="H101">
        <v>2681</v>
      </c>
      <c r="I101">
        <v>0.117098376699927</v>
      </c>
      <c r="J101">
        <v>0.39718503448218501</v>
      </c>
      <c r="K101">
        <v>1.3043508479288299</v>
      </c>
      <c r="L101" t="s">
        <v>1439</v>
      </c>
      <c r="M101" t="str">
        <f>HYPERLINK("../../3.KEGG_map/SCI_I-vs-NC-Down/rno04270.html","rno04270")</f>
        <v>rno04270</v>
      </c>
    </row>
    <row r="102" spans="1:13" x14ac:dyDescent="0.25">
      <c r="A102" t="s">
        <v>433</v>
      </c>
      <c r="B102" t="s">
        <v>434</v>
      </c>
      <c r="C102" t="s">
        <v>249</v>
      </c>
      <c r="D102" t="s">
        <v>304</v>
      </c>
      <c r="E102">
        <v>12</v>
      </c>
      <c r="F102">
        <v>327</v>
      </c>
      <c r="G102">
        <v>88</v>
      </c>
      <c r="H102">
        <v>2681</v>
      </c>
      <c r="I102">
        <v>0.38578858483927297</v>
      </c>
      <c r="J102">
        <v>0.72073142284082004</v>
      </c>
      <c r="K102">
        <v>1.11801501251043</v>
      </c>
      <c r="L102" t="s">
        <v>1440</v>
      </c>
      <c r="M102" t="str">
        <f>HYPERLINK("../../3.KEGG_map/SCI_I-vs-NC-Down/rno04310.html","rno04310")</f>
        <v>rno04310</v>
      </c>
    </row>
    <row r="103" spans="1:13" x14ac:dyDescent="0.25">
      <c r="A103" t="s">
        <v>1441</v>
      </c>
      <c r="B103" t="s">
        <v>1442</v>
      </c>
      <c r="C103" t="s">
        <v>249</v>
      </c>
      <c r="D103" t="s">
        <v>304</v>
      </c>
      <c r="E103">
        <v>2</v>
      </c>
      <c r="F103">
        <v>327</v>
      </c>
      <c r="G103">
        <v>19</v>
      </c>
      <c r="H103">
        <v>2681</v>
      </c>
      <c r="I103">
        <v>0.693621152431386</v>
      </c>
      <c r="J103">
        <v>0.90206688735895202</v>
      </c>
      <c r="K103">
        <v>0.863029132464188</v>
      </c>
      <c r="L103" t="s">
        <v>1443</v>
      </c>
      <c r="M103" t="str">
        <f>HYPERLINK("../../3.KEGG_map/SCI_I-vs-NC-Down/rno04330.html","rno04330")</f>
        <v>rno04330</v>
      </c>
    </row>
    <row r="104" spans="1:13" x14ac:dyDescent="0.25">
      <c r="A104" t="s">
        <v>1444</v>
      </c>
      <c r="B104" t="s">
        <v>1445</v>
      </c>
      <c r="C104" t="s">
        <v>249</v>
      </c>
      <c r="D104" t="s">
        <v>304</v>
      </c>
      <c r="E104">
        <v>3</v>
      </c>
      <c r="F104">
        <v>327</v>
      </c>
      <c r="G104">
        <v>25</v>
      </c>
      <c r="H104">
        <v>2681</v>
      </c>
      <c r="I104">
        <v>0.60386026001877802</v>
      </c>
      <c r="J104">
        <v>0.85653099053219806</v>
      </c>
      <c r="K104">
        <v>0.983853211009174</v>
      </c>
      <c r="L104" t="s">
        <v>1446</v>
      </c>
      <c r="M104" t="str">
        <f>HYPERLINK("../../3.KEGG_map/SCI_I-vs-NC-Down/rno04340.html","rno04340")</f>
        <v>rno04340</v>
      </c>
    </row>
    <row r="105" spans="1:13" x14ac:dyDescent="0.25">
      <c r="A105" t="s">
        <v>436</v>
      </c>
      <c r="B105" t="s">
        <v>437</v>
      </c>
      <c r="C105" t="s">
        <v>249</v>
      </c>
      <c r="D105" t="s">
        <v>304</v>
      </c>
      <c r="E105">
        <v>6</v>
      </c>
      <c r="F105">
        <v>327</v>
      </c>
      <c r="G105">
        <v>62</v>
      </c>
      <c r="H105">
        <v>2681</v>
      </c>
      <c r="I105">
        <v>0.78617542856751199</v>
      </c>
      <c r="J105">
        <v>0.90631516205746299</v>
      </c>
      <c r="K105">
        <v>0.79343000887836601</v>
      </c>
      <c r="L105" t="s">
        <v>1447</v>
      </c>
      <c r="M105" t="str">
        <f>HYPERLINK("../../3.KEGG_map/SCI_I-vs-NC-Down/rno04350.html","rno04350")</f>
        <v>rno04350</v>
      </c>
    </row>
    <row r="106" spans="1:13" x14ac:dyDescent="0.25">
      <c r="A106" t="s">
        <v>439</v>
      </c>
      <c r="B106" t="s">
        <v>440</v>
      </c>
      <c r="C106" t="s">
        <v>281</v>
      </c>
      <c r="D106" t="s">
        <v>441</v>
      </c>
      <c r="E106">
        <v>15</v>
      </c>
      <c r="F106">
        <v>327</v>
      </c>
      <c r="G106">
        <v>115</v>
      </c>
      <c r="H106">
        <v>2681</v>
      </c>
      <c r="I106">
        <v>0.43215655155374399</v>
      </c>
      <c r="J106">
        <v>0.75365401598402404</v>
      </c>
      <c r="K106">
        <v>1.0694056641404099</v>
      </c>
      <c r="L106" t="s">
        <v>1448</v>
      </c>
      <c r="M106" t="str">
        <f>HYPERLINK("../../3.KEGG_map/SCI_I-vs-NC-Down/rno04360.html","rno04360")</f>
        <v>rno04360</v>
      </c>
    </row>
    <row r="107" spans="1:13" x14ac:dyDescent="0.25">
      <c r="A107" t="s">
        <v>443</v>
      </c>
      <c r="B107" t="s">
        <v>444</v>
      </c>
      <c r="C107" t="s">
        <v>249</v>
      </c>
      <c r="D107" t="s">
        <v>304</v>
      </c>
      <c r="E107">
        <v>10</v>
      </c>
      <c r="F107">
        <v>327</v>
      </c>
      <c r="G107">
        <v>60</v>
      </c>
      <c r="H107">
        <v>2681</v>
      </c>
      <c r="I107">
        <v>0.18837192380414899</v>
      </c>
      <c r="J107">
        <v>0.50299311568980298</v>
      </c>
      <c r="K107">
        <v>1.3664627930683</v>
      </c>
      <c r="L107" t="s">
        <v>1449</v>
      </c>
      <c r="M107" t="str">
        <f>HYPERLINK("../../3.KEGG_map/SCI_I-vs-NC-Down/rno04370.html","rno04370")</f>
        <v>rno04370</v>
      </c>
    </row>
    <row r="108" spans="1:13" x14ac:dyDescent="0.25">
      <c r="A108" t="s">
        <v>446</v>
      </c>
      <c r="B108" t="s">
        <v>447</v>
      </c>
      <c r="C108" t="s">
        <v>249</v>
      </c>
      <c r="D108" t="s">
        <v>304</v>
      </c>
      <c r="E108">
        <v>27</v>
      </c>
      <c r="F108">
        <v>327</v>
      </c>
      <c r="G108">
        <v>111</v>
      </c>
      <c r="H108">
        <v>2681</v>
      </c>
      <c r="I108">
        <v>2.2708123732203601E-4</v>
      </c>
      <c r="J108">
        <v>1.1399478113566199E-2</v>
      </c>
      <c r="K108">
        <v>1.99429704934292</v>
      </c>
      <c r="L108" t="s">
        <v>1450</v>
      </c>
      <c r="M108" t="str">
        <f>HYPERLINK("../../3.KEGG_map/SCI_I-vs-NC-Down/rno04371.html","rno04371")</f>
        <v>rno04371</v>
      </c>
    </row>
    <row r="109" spans="1:13" x14ac:dyDescent="0.25">
      <c r="A109" t="s">
        <v>449</v>
      </c>
      <c r="B109" t="s">
        <v>450</v>
      </c>
      <c r="C109" t="s">
        <v>281</v>
      </c>
      <c r="D109" t="s">
        <v>441</v>
      </c>
      <c r="E109">
        <v>9</v>
      </c>
      <c r="F109">
        <v>327</v>
      </c>
      <c r="G109">
        <v>64</v>
      </c>
      <c r="H109">
        <v>2681</v>
      </c>
      <c r="I109">
        <v>0.37780865485904902</v>
      </c>
      <c r="J109">
        <v>0.71300731104978399</v>
      </c>
      <c r="K109">
        <v>1.1529529816513799</v>
      </c>
      <c r="L109" t="s">
        <v>1451</v>
      </c>
      <c r="M109" t="str">
        <f>HYPERLINK("../../3.KEGG_map/SCI_I-vs-NC-Down/rno04380.html","rno04380")</f>
        <v>rno04380</v>
      </c>
    </row>
    <row r="110" spans="1:13" x14ac:dyDescent="0.25">
      <c r="A110" t="s">
        <v>452</v>
      </c>
      <c r="B110" t="s">
        <v>453</v>
      </c>
      <c r="C110" t="s">
        <v>249</v>
      </c>
      <c r="D110" t="s">
        <v>304</v>
      </c>
      <c r="E110">
        <v>13</v>
      </c>
      <c r="F110">
        <v>327</v>
      </c>
      <c r="G110">
        <v>84</v>
      </c>
      <c r="H110">
        <v>2681</v>
      </c>
      <c r="I110">
        <v>0.21741421129435001</v>
      </c>
      <c r="J110">
        <v>0.52981521393089204</v>
      </c>
      <c r="K110">
        <v>1.26885830784913</v>
      </c>
      <c r="L110" t="s">
        <v>1452</v>
      </c>
      <c r="M110" t="str">
        <f>HYPERLINK("../../3.KEGG_map/SCI_I-vs-NC-Down/rno04390.html","rno04390")</f>
        <v>rno04390</v>
      </c>
    </row>
    <row r="111" spans="1:13" x14ac:dyDescent="0.25">
      <c r="A111" t="s">
        <v>455</v>
      </c>
      <c r="B111" t="s">
        <v>456</v>
      </c>
      <c r="C111" t="s">
        <v>249</v>
      </c>
      <c r="D111" t="s">
        <v>304</v>
      </c>
      <c r="E111">
        <v>7</v>
      </c>
      <c r="F111">
        <v>327</v>
      </c>
      <c r="G111">
        <v>26</v>
      </c>
      <c r="H111">
        <v>2681</v>
      </c>
      <c r="I111">
        <v>3.1612894811285201E-2</v>
      </c>
      <c r="J111">
        <v>0.20345734865724599</v>
      </c>
      <c r="K111">
        <v>2.2073629734180198</v>
      </c>
      <c r="L111" t="s">
        <v>1453</v>
      </c>
      <c r="M111" t="str">
        <f>HYPERLINK("../../3.KEGG_map/SCI_I-vs-NC-Down/rno04392.html","rno04392")</f>
        <v>rno04392</v>
      </c>
    </row>
    <row r="112" spans="1:13" x14ac:dyDescent="0.25">
      <c r="A112" t="s">
        <v>458</v>
      </c>
      <c r="B112" t="s">
        <v>459</v>
      </c>
      <c r="C112" t="s">
        <v>355</v>
      </c>
      <c r="D112" t="s">
        <v>460</v>
      </c>
      <c r="E112">
        <v>25</v>
      </c>
      <c r="F112">
        <v>327</v>
      </c>
      <c r="G112">
        <v>192</v>
      </c>
      <c r="H112">
        <v>2681</v>
      </c>
      <c r="I112">
        <v>0.39331070071543101</v>
      </c>
      <c r="J112">
        <v>0.72073142284082004</v>
      </c>
      <c r="K112">
        <v>1.06754905708461</v>
      </c>
      <c r="L112" t="s">
        <v>1454</v>
      </c>
      <c r="M112" t="str">
        <f>HYPERLINK("../../3.KEGG_map/SCI_I-vs-NC-Down/rno04510.html","rno04510")</f>
        <v>rno04510</v>
      </c>
    </row>
    <row r="113" spans="1:13" x14ac:dyDescent="0.25">
      <c r="A113" t="s">
        <v>462</v>
      </c>
      <c r="B113" t="s">
        <v>463</v>
      </c>
      <c r="C113" t="s">
        <v>249</v>
      </c>
      <c r="D113" t="s">
        <v>326</v>
      </c>
      <c r="E113">
        <v>5</v>
      </c>
      <c r="F113">
        <v>327</v>
      </c>
      <c r="G113">
        <v>70</v>
      </c>
      <c r="H113">
        <v>2681</v>
      </c>
      <c r="I113">
        <v>0.94175350373073297</v>
      </c>
      <c r="J113">
        <v>0.96566613147015101</v>
      </c>
      <c r="K113">
        <v>0.58562691131498501</v>
      </c>
      <c r="L113" t="s">
        <v>1455</v>
      </c>
      <c r="M113" t="str">
        <f>HYPERLINK("../../3.KEGG_map/SCI_I-vs-NC-Down/rno04512.html","rno04512")</f>
        <v>rno04512</v>
      </c>
    </row>
    <row r="114" spans="1:13" x14ac:dyDescent="0.25">
      <c r="A114" t="s">
        <v>465</v>
      </c>
      <c r="B114" t="s">
        <v>466</v>
      </c>
      <c r="C114" t="s">
        <v>249</v>
      </c>
      <c r="D114" t="s">
        <v>326</v>
      </c>
      <c r="E114">
        <v>6</v>
      </c>
      <c r="F114">
        <v>327</v>
      </c>
      <c r="G114">
        <v>51</v>
      </c>
      <c r="H114">
        <v>2681</v>
      </c>
      <c r="I114">
        <v>0.60313632262691197</v>
      </c>
      <c r="J114">
        <v>0.85653099053219806</v>
      </c>
      <c r="K114">
        <v>0.96456197157762202</v>
      </c>
      <c r="L114" t="s">
        <v>1456</v>
      </c>
      <c r="M114" t="str">
        <f>HYPERLINK("../../3.KEGG_map/SCI_I-vs-NC-Down/rno04514.html","rno04514")</f>
        <v>rno04514</v>
      </c>
    </row>
    <row r="115" spans="1:13" x14ac:dyDescent="0.25">
      <c r="A115" t="s">
        <v>468</v>
      </c>
      <c r="B115" t="s">
        <v>469</v>
      </c>
      <c r="C115" t="s">
        <v>355</v>
      </c>
      <c r="D115" t="s">
        <v>460</v>
      </c>
      <c r="E115">
        <v>11</v>
      </c>
      <c r="F115">
        <v>327</v>
      </c>
      <c r="G115">
        <v>112</v>
      </c>
      <c r="H115">
        <v>2681</v>
      </c>
      <c r="I115">
        <v>0.82349186118211304</v>
      </c>
      <c r="J115">
        <v>0.91865092069649001</v>
      </c>
      <c r="K115">
        <v>0.80523700305810397</v>
      </c>
      <c r="L115" t="s">
        <v>1457</v>
      </c>
      <c r="M115" t="str">
        <f>HYPERLINK("../../3.KEGG_map/SCI_I-vs-NC-Down/rno04520.html","rno04520")</f>
        <v>rno04520</v>
      </c>
    </row>
    <row r="116" spans="1:13" x14ac:dyDescent="0.25">
      <c r="A116" t="s">
        <v>471</v>
      </c>
      <c r="B116" t="s">
        <v>472</v>
      </c>
      <c r="C116" t="s">
        <v>355</v>
      </c>
      <c r="D116" t="s">
        <v>460</v>
      </c>
      <c r="E116">
        <v>12</v>
      </c>
      <c r="F116">
        <v>327</v>
      </c>
      <c r="G116">
        <v>118</v>
      </c>
      <c r="H116">
        <v>2681</v>
      </c>
      <c r="I116">
        <v>0.794504244748518</v>
      </c>
      <c r="J116">
        <v>0.90645711559944497</v>
      </c>
      <c r="K116">
        <v>0.83377390763489401</v>
      </c>
      <c r="L116" t="s">
        <v>1458</v>
      </c>
      <c r="M116" t="str">
        <f>HYPERLINK("../../3.KEGG_map/SCI_I-vs-NC-Down/rno04530.html","rno04530")</f>
        <v>rno04530</v>
      </c>
    </row>
    <row r="117" spans="1:13" x14ac:dyDescent="0.25">
      <c r="A117" t="s">
        <v>474</v>
      </c>
      <c r="B117" t="s">
        <v>475</v>
      </c>
      <c r="C117" t="s">
        <v>355</v>
      </c>
      <c r="D117" t="s">
        <v>460</v>
      </c>
      <c r="E117">
        <v>10</v>
      </c>
      <c r="F117">
        <v>327</v>
      </c>
      <c r="G117">
        <v>65</v>
      </c>
      <c r="H117">
        <v>2681</v>
      </c>
      <c r="I117">
        <v>0.26356398422488803</v>
      </c>
      <c r="J117">
        <v>0.58409678250816899</v>
      </c>
      <c r="K117">
        <v>1.26135027052458</v>
      </c>
      <c r="L117" t="s">
        <v>1459</v>
      </c>
      <c r="M117" t="str">
        <f>HYPERLINK("../../3.KEGG_map/SCI_I-vs-NC-Down/rno04540.html","rno04540")</f>
        <v>rno04540</v>
      </c>
    </row>
    <row r="118" spans="1:13" x14ac:dyDescent="0.25">
      <c r="A118" t="s">
        <v>477</v>
      </c>
      <c r="B118" t="s">
        <v>478</v>
      </c>
      <c r="C118" t="s">
        <v>355</v>
      </c>
      <c r="D118" t="s">
        <v>460</v>
      </c>
      <c r="E118">
        <v>11</v>
      </c>
      <c r="F118">
        <v>327</v>
      </c>
      <c r="G118">
        <v>60</v>
      </c>
      <c r="H118">
        <v>2681</v>
      </c>
      <c r="I118">
        <v>0.10591276915477101</v>
      </c>
      <c r="J118">
        <v>0.39677768743056002</v>
      </c>
      <c r="K118">
        <v>1.5031090723751299</v>
      </c>
      <c r="L118" t="s">
        <v>1460</v>
      </c>
      <c r="M118" t="str">
        <f>HYPERLINK("../../3.KEGG_map/SCI_I-vs-NC-Down/rno04550.html","rno04550")</f>
        <v>rno04550</v>
      </c>
    </row>
    <row r="119" spans="1:13" x14ac:dyDescent="0.25">
      <c r="A119" t="s">
        <v>480</v>
      </c>
      <c r="B119" t="s">
        <v>481</v>
      </c>
      <c r="C119" t="s">
        <v>281</v>
      </c>
      <c r="D119" t="s">
        <v>330</v>
      </c>
      <c r="E119">
        <v>2</v>
      </c>
      <c r="F119">
        <v>327</v>
      </c>
      <c r="G119">
        <v>12</v>
      </c>
      <c r="H119">
        <v>2681</v>
      </c>
      <c r="I119">
        <v>0.44035397363085899</v>
      </c>
      <c r="J119">
        <v>0.76226791297479801</v>
      </c>
      <c r="K119">
        <v>1.3664627930683</v>
      </c>
      <c r="L119" t="s">
        <v>1461</v>
      </c>
      <c r="M119" t="str">
        <f>HYPERLINK("../../3.KEGG_map/SCI_I-vs-NC-Down/rno04610.html","rno04610")</f>
        <v>rno04610</v>
      </c>
    </row>
    <row r="120" spans="1:13" x14ac:dyDescent="0.25">
      <c r="A120" t="s">
        <v>483</v>
      </c>
      <c r="B120" t="s">
        <v>484</v>
      </c>
      <c r="C120" t="s">
        <v>281</v>
      </c>
      <c r="D120" t="s">
        <v>330</v>
      </c>
      <c r="E120">
        <v>23</v>
      </c>
      <c r="F120">
        <v>327</v>
      </c>
      <c r="G120">
        <v>122</v>
      </c>
      <c r="H120">
        <v>2681</v>
      </c>
      <c r="I120">
        <v>1.9559100874970599E-2</v>
      </c>
      <c r="J120">
        <v>0.151586795027955</v>
      </c>
      <c r="K120">
        <v>1.5456710282248001</v>
      </c>
      <c r="L120" t="s">
        <v>1462</v>
      </c>
      <c r="M120" t="str">
        <f>HYPERLINK("../../3.KEGG_map/SCI_I-vs-NC-Down/rno04611.html","rno04611")</f>
        <v>rno04611</v>
      </c>
    </row>
    <row r="121" spans="1:13" x14ac:dyDescent="0.25">
      <c r="A121" t="s">
        <v>486</v>
      </c>
      <c r="B121" t="s">
        <v>487</v>
      </c>
      <c r="C121" t="s">
        <v>281</v>
      </c>
      <c r="D121" t="s">
        <v>330</v>
      </c>
      <c r="E121">
        <v>1</v>
      </c>
      <c r="F121">
        <v>327</v>
      </c>
      <c r="G121">
        <v>23</v>
      </c>
      <c r="H121">
        <v>2681</v>
      </c>
      <c r="I121">
        <v>0.95045561732518302</v>
      </c>
      <c r="J121">
        <v>0.96566613147015101</v>
      </c>
      <c r="K121">
        <v>0.356468554713469</v>
      </c>
      <c r="L121" t="s">
        <v>1463</v>
      </c>
      <c r="M121" t="str">
        <f>HYPERLINK("../../3.KEGG_map/SCI_I-vs-NC-Down/rno04612.html","rno04612")</f>
        <v>rno04612</v>
      </c>
    </row>
    <row r="122" spans="1:13" x14ac:dyDescent="0.25">
      <c r="A122" t="s">
        <v>492</v>
      </c>
      <c r="B122" t="s">
        <v>493</v>
      </c>
      <c r="C122" t="s">
        <v>281</v>
      </c>
      <c r="D122" t="s">
        <v>330</v>
      </c>
      <c r="E122">
        <v>7</v>
      </c>
      <c r="F122">
        <v>327</v>
      </c>
      <c r="G122">
        <v>33</v>
      </c>
      <c r="H122">
        <v>2681</v>
      </c>
      <c r="I122">
        <v>9.8143075554936898E-2</v>
      </c>
      <c r="J122">
        <v>0.38490487444201799</v>
      </c>
      <c r="K122">
        <v>1.7391344639051101</v>
      </c>
      <c r="L122" t="s">
        <v>1464</v>
      </c>
      <c r="M122" t="str">
        <f>HYPERLINK("../../3.KEGG_map/SCI_I-vs-NC-Down/rno04620.html","rno04620")</f>
        <v>rno04620</v>
      </c>
    </row>
    <row r="123" spans="1:13" x14ac:dyDescent="0.25">
      <c r="A123" t="s">
        <v>495</v>
      </c>
      <c r="B123" t="s">
        <v>496</v>
      </c>
      <c r="C123" t="s">
        <v>281</v>
      </c>
      <c r="D123" t="s">
        <v>330</v>
      </c>
      <c r="E123">
        <v>9</v>
      </c>
      <c r="F123">
        <v>327</v>
      </c>
      <c r="G123">
        <v>64</v>
      </c>
      <c r="H123">
        <v>2681</v>
      </c>
      <c r="I123">
        <v>0.37780865485904902</v>
      </c>
      <c r="J123">
        <v>0.71300731104978399</v>
      </c>
      <c r="K123">
        <v>1.1529529816513799</v>
      </c>
      <c r="L123" t="s">
        <v>1465</v>
      </c>
      <c r="M123" t="str">
        <f>HYPERLINK("../../3.KEGG_map/SCI_I-vs-NC-Down/rno04621.html","rno04621")</f>
        <v>rno04621</v>
      </c>
    </row>
    <row r="124" spans="1:13" x14ac:dyDescent="0.25">
      <c r="A124" t="s">
        <v>498</v>
      </c>
      <c r="B124" t="s">
        <v>499</v>
      </c>
      <c r="C124" t="s">
        <v>281</v>
      </c>
      <c r="D124" t="s">
        <v>330</v>
      </c>
      <c r="E124">
        <v>2</v>
      </c>
      <c r="F124">
        <v>327</v>
      </c>
      <c r="G124">
        <v>23</v>
      </c>
      <c r="H124">
        <v>2681</v>
      </c>
      <c r="I124">
        <v>0.79066860956476204</v>
      </c>
      <c r="J124">
        <v>0.90631516205746299</v>
      </c>
      <c r="K124">
        <v>0.712937109426938</v>
      </c>
      <c r="L124" t="s">
        <v>1466</v>
      </c>
      <c r="M124" t="str">
        <f>HYPERLINK("../../3.KEGG_map/SCI_I-vs-NC-Down/rno04622.html","rno04622")</f>
        <v>rno04622</v>
      </c>
    </row>
    <row r="125" spans="1:13" x14ac:dyDescent="0.25">
      <c r="A125" t="s">
        <v>501</v>
      </c>
      <c r="B125" t="s">
        <v>502</v>
      </c>
      <c r="C125" t="s">
        <v>281</v>
      </c>
      <c r="D125" t="s">
        <v>330</v>
      </c>
      <c r="E125">
        <v>1</v>
      </c>
      <c r="F125">
        <v>327</v>
      </c>
      <c r="G125">
        <v>11</v>
      </c>
      <c r="H125">
        <v>2681</v>
      </c>
      <c r="I125">
        <v>0.76156775324627302</v>
      </c>
      <c r="J125">
        <v>0.90539337533675601</v>
      </c>
      <c r="K125">
        <v>0.74534334167361704</v>
      </c>
      <c r="L125" t="s">
        <v>1381</v>
      </c>
      <c r="M125" t="str">
        <f>HYPERLINK("../../3.KEGG_map/SCI_I-vs-NC-Down/rno04623.html","rno04623")</f>
        <v>rno04623</v>
      </c>
    </row>
    <row r="126" spans="1:13" x14ac:dyDescent="0.25">
      <c r="A126" t="s">
        <v>504</v>
      </c>
      <c r="B126" t="s">
        <v>505</v>
      </c>
      <c r="C126" t="s">
        <v>281</v>
      </c>
      <c r="D126" t="s">
        <v>330</v>
      </c>
      <c r="E126">
        <v>15</v>
      </c>
      <c r="F126">
        <v>327</v>
      </c>
      <c r="G126">
        <v>69</v>
      </c>
      <c r="H126">
        <v>2681</v>
      </c>
      <c r="I126">
        <v>1.6568748389169202E-2</v>
      </c>
      <c r="J126">
        <v>0.151586795027955</v>
      </c>
      <c r="K126">
        <v>1.7823427735673401</v>
      </c>
      <c r="L126" t="s">
        <v>1467</v>
      </c>
      <c r="M126" t="str">
        <f>HYPERLINK("../../3.KEGG_map/SCI_I-vs-NC-Down/rno04625.html","rno04625")</f>
        <v>rno04625</v>
      </c>
    </row>
    <row r="127" spans="1:13" x14ac:dyDescent="0.25">
      <c r="A127" t="s">
        <v>507</v>
      </c>
      <c r="B127" t="s">
        <v>508</v>
      </c>
      <c r="C127" t="s">
        <v>249</v>
      </c>
      <c r="D127" t="s">
        <v>304</v>
      </c>
      <c r="E127">
        <v>11</v>
      </c>
      <c r="F127">
        <v>327</v>
      </c>
      <c r="G127">
        <v>52</v>
      </c>
      <c r="H127">
        <v>2681</v>
      </c>
      <c r="I127">
        <v>4.4907757983727203E-2</v>
      </c>
      <c r="J127">
        <v>0.25191341316834098</v>
      </c>
      <c r="K127">
        <v>1.7343566219713</v>
      </c>
      <c r="L127" t="s">
        <v>1468</v>
      </c>
      <c r="M127" t="str">
        <f>HYPERLINK("../../3.KEGG_map/SCI_I-vs-NC-Down/rno04630.html","rno04630")</f>
        <v>rno04630</v>
      </c>
    </row>
    <row r="128" spans="1:13" x14ac:dyDescent="0.25">
      <c r="A128" t="s">
        <v>510</v>
      </c>
      <c r="B128" t="s">
        <v>511</v>
      </c>
      <c r="C128" t="s">
        <v>281</v>
      </c>
      <c r="D128" t="s">
        <v>330</v>
      </c>
      <c r="E128">
        <v>1</v>
      </c>
      <c r="F128">
        <v>327</v>
      </c>
      <c r="G128">
        <v>18</v>
      </c>
      <c r="H128">
        <v>2681</v>
      </c>
      <c r="I128">
        <v>0.90456347279503801</v>
      </c>
      <c r="J128">
        <v>0.95451181741574198</v>
      </c>
      <c r="K128">
        <v>0.45548759768943298</v>
      </c>
      <c r="L128" t="s">
        <v>1469</v>
      </c>
      <c r="M128" t="str">
        <f>HYPERLINK("../../3.KEGG_map/SCI_I-vs-NC-Down/rno04640.html","rno04640")</f>
        <v>rno04640</v>
      </c>
    </row>
    <row r="129" spans="1:13" x14ac:dyDescent="0.25">
      <c r="A129" t="s">
        <v>513</v>
      </c>
      <c r="B129" t="s">
        <v>514</v>
      </c>
      <c r="C129" t="s">
        <v>281</v>
      </c>
      <c r="D129" t="s">
        <v>330</v>
      </c>
      <c r="E129">
        <v>6</v>
      </c>
      <c r="F129">
        <v>327</v>
      </c>
      <c r="G129">
        <v>60</v>
      </c>
      <c r="H129">
        <v>2681</v>
      </c>
      <c r="I129">
        <v>0.75852309989113298</v>
      </c>
      <c r="J129">
        <v>0.90539337533675601</v>
      </c>
      <c r="K129">
        <v>0.81987767584097904</v>
      </c>
      <c r="L129" t="s">
        <v>1470</v>
      </c>
      <c r="M129" t="str">
        <f>HYPERLINK("../../3.KEGG_map/SCI_I-vs-NC-Down/rno04650.html","rno04650")</f>
        <v>rno04650</v>
      </c>
    </row>
    <row r="130" spans="1:13" x14ac:dyDescent="0.25">
      <c r="A130" t="s">
        <v>516</v>
      </c>
      <c r="B130" t="s">
        <v>517</v>
      </c>
      <c r="C130" t="s">
        <v>281</v>
      </c>
      <c r="D130" t="s">
        <v>330</v>
      </c>
      <c r="E130">
        <v>3</v>
      </c>
      <c r="F130">
        <v>327</v>
      </c>
      <c r="G130">
        <v>24</v>
      </c>
      <c r="H130">
        <v>2681</v>
      </c>
      <c r="I130">
        <v>0.57509441474577505</v>
      </c>
      <c r="J130">
        <v>0.85413430829106296</v>
      </c>
      <c r="K130">
        <v>1.02484709480122</v>
      </c>
      <c r="L130" t="s">
        <v>1471</v>
      </c>
      <c r="M130" t="str">
        <f>HYPERLINK("../../3.KEGG_map/SCI_I-vs-NC-Down/rno04657.html","rno04657")</f>
        <v>rno04657</v>
      </c>
    </row>
    <row r="131" spans="1:13" x14ac:dyDescent="0.25">
      <c r="A131" t="s">
        <v>519</v>
      </c>
      <c r="B131" t="s">
        <v>520</v>
      </c>
      <c r="C131" t="s">
        <v>281</v>
      </c>
      <c r="D131" t="s">
        <v>330</v>
      </c>
      <c r="E131">
        <v>7</v>
      </c>
      <c r="F131">
        <v>327</v>
      </c>
      <c r="G131">
        <v>43</v>
      </c>
      <c r="H131">
        <v>2681</v>
      </c>
      <c r="I131">
        <v>0.265286984884188</v>
      </c>
      <c r="J131">
        <v>0.58409678250816899</v>
      </c>
      <c r="K131">
        <v>1.33468458857834</v>
      </c>
      <c r="L131" t="s">
        <v>1472</v>
      </c>
      <c r="M131" t="str">
        <f>HYPERLINK("../../3.KEGG_map/SCI_I-vs-NC-Down/rno04658.html","rno04658")</f>
        <v>rno04658</v>
      </c>
    </row>
    <row r="132" spans="1:13" x14ac:dyDescent="0.25">
      <c r="A132" t="s">
        <v>522</v>
      </c>
      <c r="B132" t="s">
        <v>523</v>
      </c>
      <c r="C132" t="s">
        <v>281</v>
      </c>
      <c r="D132" t="s">
        <v>330</v>
      </c>
      <c r="E132">
        <v>8</v>
      </c>
      <c r="F132">
        <v>327</v>
      </c>
      <c r="G132">
        <v>61</v>
      </c>
      <c r="H132">
        <v>2681</v>
      </c>
      <c r="I132">
        <v>0.47129709409103998</v>
      </c>
      <c r="J132">
        <v>0.79262643739282901</v>
      </c>
      <c r="K132">
        <v>1.0752494109389901</v>
      </c>
      <c r="L132" t="s">
        <v>1473</v>
      </c>
      <c r="M132" t="str">
        <f>HYPERLINK("../../3.KEGG_map/SCI_I-vs-NC-Down/rno04659.html","rno04659")</f>
        <v>rno04659</v>
      </c>
    </row>
    <row r="133" spans="1:13" x14ac:dyDescent="0.25">
      <c r="A133" t="s">
        <v>525</v>
      </c>
      <c r="B133" t="s">
        <v>526</v>
      </c>
      <c r="C133" t="s">
        <v>281</v>
      </c>
      <c r="D133" t="s">
        <v>330</v>
      </c>
      <c r="E133">
        <v>15</v>
      </c>
      <c r="F133">
        <v>327</v>
      </c>
      <c r="G133">
        <v>80</v>
      </c>
      <c r="H133">
        <v>2681</v>
      </c>
      <c r="I133">
        <v>5.5894638094139998E-2</v>
      </c>
      <c r="J133">
        <v>0.26979911849286797</v>
      </c>
      <c r="K133">
        <v>1.5372706422018301</v>
      </c>
      <c r="L133" t="s">
        <v>1474</v>
      </c>
      <c r="M133" t="str">
        <f>HYPERLINK("../../3.KEGG_map/SCI_I-vs-NC-Down/rno04660.html","rno04660")</f>
        <v>rno04660</v>
      </c>
    </row>
    <row r="134" spans="1:13" x14ac:dyDescent="0.25">
      <c r="A134" t="s">
        <v>528</v>
      </c>
      <c r="B134" t="s">
        <v>529</v>
      </c>
      <c r="C134" t="s">
        <v>281</v>
      </c>
      <c r="D134" t="s">
        <v>330</v>
      </c>
      <c r="E134">
        <v>10</v>
      </c>
      <c r="F134">
        <v>327</v>
      </c>
      <c r="G134">
        <v>58</v>
      </c>
      <c r="H134">
        <v>2681</v>
      </c>
      <c r="I134">
        <v>0.16138021098250699</v>
      </c>
      <c r="J134">
        <v>0.45512846018662101</v>
      </c>
      <c r="K134">
        <v>1.41358219972583</v>
      </c>
      <c r="L134" t="s">
        <v>1475</v>
      </c>
      <c r="M134" t="str">
        <f>HYPERLINK("../../3.KEGG_map/SCI_I-vs-NC-Down/rno04662.html","rno04662")</f>
        <v>rno04662</v>
      </c>
    </row>
    <row r="135" spans="1:13" x14ac:dyDescent="0.25">
      <c r="A135" t="s">
        <v>531</v>
      </c>
      <c r="B135" t="s">
        <v>532</v>
      </c>
      <c r="C135" t="s">
        <v>281</v>
      </c>
      <c r="D135" t="s">
        <v>330</v>
      </c>
      <c r="E135">
        <v>8</v>
      </c>
      <c r="F135">
        <v>327</v>
      </c>
      <c r="G135">
        <v>40</v>
      </c>
      <c r="H135">
        <v>2681</v>
      </c>
      <c r="I135">
        <v>0.105422806034372</v>
      </c>
      <c r="J135">
        <v>0.39677768743056002</v>
      </c>
      <c r="K135">
        <v>1.6397553516819601</v>
      </c>
      <c r="L135" t="s">
        <v>1476</v>
      </c>
      <c r="M135" t="str">
        <f>HYPERLINK("../../3.KEGG_map/SCI_I-vs-NC-Down/rno04664.html","rno04664")</f>
        <v>rno04664</v>
      </c>
    </row>
    <row r="136" spans="1:13" x14ac:dyDescent="0.25">
      <c r="A136" t="s">
        <v>534</v>
      </c>
      <c r="B136" t="s">
        <v>535</v>
      </c>
      <c r="C136" t="s">
        <v>281</v>
      </c>
      <c r="D136" t="s">
        <v>330</v>
      </c>
      <c r="E136">
        <v>9</v>
      </c>
      <c r="F136">
        <v>327</v>
      </c>
      <c r="G136">
        <v>51</v>
      </c>
      <c r="H136">
        <v>2681</v>
      </c>
      <c r="I136">
        <v>0.16106467019499199</v>
      </c>
      <c r="J136">
        <v>0.45512846018662101</v>
      </c>
      <c r="K136">
        <v>1.4468429573664301</v>
      </c>
      <c r="L136" t="s">
        <v>1477</v>
      </c>
      <c r="M136" t="str">
        <f>HYPERLINK("../../3.KEGG_map/SCI_I-vs-NC-Down/rno04666.html","rno04666")</f>
        <v>rno04666</v>
      </c>
    </row>
    <row r="137" spans="1:13" x14ac:dyDescent="0.25">
      <c r="A137" t="s">
        <v>537</v>
      </c>
      <c r="B137" t="s">
        <v>538</v>
      </c>
      <c r="C137" t="s">
        <v>249</v>
      </c>
      <c r="D137" t="s">
        <v>304</v>
      </c>
      <c r="E137">
        <v>13</v>
      </c>
      <c r="F137">
        <v>327</v>
      </c>
      <c r="G137">
        <v>65</v>
      </c>
      <c r="H137">
        <v>2681</v>
      </c>
      <c r="I137">
        <v>4.6319179981859498E-2</v>
      </c>
      <c r="J137">
        <v>0.25191341316834098</v>
      </c>
      <c r="K137">
        <v>1.6397553516819601</v>
      </c>
      <c r="L137" t="s">
        <v>1478</v>
      </c>
      <c r="M137" t="str">
        <f>HYPERLINK("../../3.KEGG_map/SCI_I-vs-NC-Down/rno04668.html","rno04668")</f>
        <v>rno04668</v>
      </c>
    </row>
    <row r="138" spans="1:13" x14ac:dyDescent="0.25">
      <c r="A138" t="s">
        <v>540</v>
      </c>
      <c r="B138" t="s">
        <v>541</v>
      </c>
      <c r="C138" t="s">
        <v>281</v>
      </c>
      <c r="D138" t="s">
        <v>330</v>
      </c>
      <c r="E138">
        <v>7</v>
      </c>
      <c r="F138">
        <v>327</v>
      </c>
      <c r="G138">
        <v>63</v>
      </c>
      <c r="H138">
        <v>2681</v>
      </c>
      <c r="I138">
        <v>0.66364734768082301</v>
      </c>
      <c r="J138">
        <v>0.89556004417750601</v>
      </c>
      <c r="K138">
        <v>0.91097519537886495</v>
      </c>
      <c r="L138" t="s">
        <v>1479</v>
      </c>
      <c r="M138" t="str">
        <f>HYPERLINK("../../3.KEGG_map/SCI_I-vs-NC-Down/rno04670.html","rno04670")</f>
        <v>rno04670</v>
      </c>
    </row>
    <row r="139" spans="1:13" x14ac:dyDescent="0.25">
      <c r="A139" t="s">
        <v>550</v>
      </c>
      <c r="B139" t="s">
        <v>551</v>
      </c>
      <c r="C139" t="s">
        <v>281</v>
      </c>
      <c r="D139" t="s">
        <v>548</v>
      </c>
      <c r="E139">
        <v>15</v>
      </c>
      <c r="F139">
        <v>327</v>
      </c>
      <c r="G139">
        <v>77</v>
      </c>
      <c r="H139">
        <v>2681</v>
      </c>
      <c r="I139">
        <v>4.1667716459141697E-2</v>
      </c>
      <c r="J139">
        <v>0.24901421026772799</v>
      </c>
      <c r="K139">
        <v>1.5971643035863199</v>
      </c>
      <c r="L139" t="s">
        <v>1480</v>
      </c>
      <c r="M139" t="str">
        <f>HYPERLINK("../../3.KEGG_map/SCI_I-vs-NC-Down/rno04713.html","rno04713")</f>
        <v>rno04713</v>
      </c>
    </row>
    <row r="140" spans="1:13" x14ac:dyDescent="0.25">
      <c r="A140" t="s">
        <v>553</v>
      </c>
      <c r="B140" t="s">
        <v>554</v>
      </c>
      <c r="C140" t="s">
        <v>281</v>
      </c>
      <c r="D140" t="s">
        <v>548</v>
      </c>
      <c r="E140">
        <v>10</v>
      </c>
      <c r="F140">
        <v>327</v>
      </c>
      <c r="G140">
        <v>74</v>
      </c>
      <c r="H140">
        <v>2681</v>
      </c>
      <c r="I140">
        <v>0.415827665162117</v>
      </c>
      <c r="J140">
        <v>0.74667604873905502</v>
      </c>
      <c r="K140">
        <v>1.10794280519051</v>
      </c>
      <c r="L140" t="s">
        <v>1481</v>
      </c>
      <c r="M140" t="str">
        <f>HYPERLINK("../../3.KEGG_map/SCI_I-vs-NC-Down/rno04714.html","rno04714")</f>
        <v>rno04714</v>
      </c>
    </row>
    <row r="141" spans="1:13" x14ac:dyDescent="0.25">
      <c r="A141" t="s">
        <v>556</v>
      </c>
      <c r="B141" t="s">
        <v>557</v>
      </c>
      <c r="C141" t="s">
        <v>281</v>
      </c>
      <c r="D141" t="s">
        <v>558</v>
      </c>
      <c r="E141">
        <v>11</v>
      </c>
      <c r="F141">
        <v>327</v>
      </c>
      <c r="G141">
        <v>77</v>
      </c>
      <c r="H141">
        <v>2681</v>
      </c>
      <c r="I141">
        <v>0.33473166902440299</v>
      </c>
      <c r="J141">
        <v>0.67779887840384201</v>
      </c>
      <c r="K141">
        <v>1.17125382262997</v>
      </c>
      <c r="L141" t="s">
        <v>1482</v>
      </c>
      <c r="M141" t="str">
        <f>HYPERLINK("../../3.KEGG_map/SCI_I-vs-NC-Down/rno04720.html","rno04720")</f>
        <v>rno04720</v>
      </c>
    </row>
    <row r="142" spans="1:13" x14ac:dyDescent="0.25">
      <c r="A142" t="s">
        <v>560</v>
      </c>
      <c r="B142" t="s">
        <v>561</v>
      </c>
      <c r="C142" t="s">
        <v>281</v>
      </c>
      <c r="D142" t="s">
        <v>558</v>
      </c>
      <c r="E142">
        <v>4</v>
      </c>
      <c r="F142">
        <v>327</v>
      </c>
      <c r="G142">
        <v>27</v>
      </c>
      <c r="H142">
        <v>2681</v>
      </c>
      <c r="I142">
        <v>0.42242230645795098</v>
      </c>
      <c r="J142">
        <v>0.74667604873905502</v>
      </c>
      <c r="K142">
        <v>1.21463359383849</v>
      </c>
      <c r="L142" t="s">
        <v>1483</v>
      </c>
      <c r="M142" t="str">
        <f>HYPERLINK("../../3.KEGG_map/SCI_I-vs-NC-Down/rno04721.html","rno04721")</f>
        <v>rno04721</v>
      </c>
    </row>
    <row r="143" spans="1:13" x14ac:dyDescent="0.25">
      <c r="A143" t="s">
        <v>563</v>
      </c>
      <c r="B143" t="s">
        <v>564</v>
      </c>
      <c r="C143" t="s">
        <v>281</v>
      </c>
      <c r="D143" t="s">
        <v>558</v>
      </c>
      <c r="E143">
        <v>18</v>
      </c>
      <c r="F143">
        <v>327</v>
      </c>
      <c r="G143">
        <v>90</v>
      </c>
      <c r="H143">
        <v>2681</v>
      </c>
      <c r="I143">
        <v>2.11376009003124E-2</v>
      </c>
      <c r="J143">
        <v>0.151586795027955</v>
      </c>
      <c r="K143">
        <v>1.6397553516819601</v>
      </c>
      <c r="L143" t="s">
        <v>1484</v>
      </c>
      <c r="M143" t="str">
        <f>HYPERLINK("../../3.KEGG_map/SCI_I-vs-NC-Down/rno04722.html","rno04722")</f>
        <v>rno04722</v>
      </c>
    </row>
    <row r="144" spans="1:13" x14ac:dyDescent="0.25">
      <c r="A144" t="s">
        <v>566</v>
      </c>
      <c r="B144" t="s">
        <v>567</v>
      </c>
      <c r="C144" t="s">
        <v>281</v>
      </c>
      <c r="D144" t="s">
        <v>558</v>
      </c>
      <c r="E144">
        <v>9</v>
      </c>
      <c r="F144">
        <v>327</v>
      </c>
      <c r="G144">
        <v>54</v>
      </c>
      <c r="H144">
        <v>2681</v>
      </c>
      <c r="I144">
        <v>0.20520826612155799</v>
      </c>
      <c r="J144">
        <v>0.51639982272287099</v>
      </c>
      <c r="K144">
        <v>1.3664627930683</v>
      </c>
      <c r="L144" t="s">
        <v>1485</v>
      </c>
      <c r="M144" t="str">
        <f>HYPERLINK("../../3.KEGG_map/SCI_I-vs-NC-Down/rno04723.html","rno04723")</f>
        <v>rno04723</v>
      </c>
    </row>
    <row r="145" spans="1:13" x14ac:dyDescent="0.25">
      <c r="A145" t="s">
        <v>569</v>
      </c>
      <c r="B145" t="s">
        <v>570</v>
      </c>
      <c r="C145" t="s">
        <v>281</v>
      </c>
      <c r="D145" t="s">
        <v>558</v>
      </c>
      <c r="E145">
        <v>16</v>
      </c>
      <c r="F145">
        <v>327</v>
      </c>
      <c r="G145">
        <v>77</v>
      </c>
      <c r="H145">
        <v>2681</v>
      </c>
      <c r="I145">
        <v>2.0585119572030099E-2</v>
      </c>
      <c r="J145">
        <v>0.151586795027955</v>
      </c>
      <c r="K145">
        <v>1.7036419238254099</v>
      </c>
      <c r="L145" t="s">
        <v>1486</v>
      </c>
      <c r="M145" t="str">
        <f>HYPERLINK("../../3.KEGG_map/SCI_I-vs-NC-Down/rno04724.html","rno04724")</f>
        <v>rno04724</v>
      </c>
    </row>
    <row r="146" spans="1:13" x14ac:dyDescent="0.25">
      <c r="A146" t="s">
        <v>572</v>
      </c>
      <c r="B146" t="s">
        <v>573</v>
      </c>
      <c r="C146" t="s">
        <v>281</v>
      </c>
      <c r="D146" t="s">
        <v>558</v>
      </c>
      <c r="E146">
        <v>14</v>
      </c>
      <c r="F146">
        <v>327</v>
      </c>
      <c r="G146">
        <v>61</v>
      </c>
      <c r="H146">
        <v>2681</v>
      </c>
      <c r="I146">
        <v>1.27228194968791E-2</v>
      </c>
      <c r="J146">
        <v>0.151586795027955</v>
      </c>
      <c r="K146">
        <v>1.88168646914323</v>
      </c>
      <c r="L146" t="s">
        <v>1487</v>
      </c>
      <c r="M146" t="str">
        <f>HYPERLINK("../../3.KEGG_map/SCI_I-vs-NC-Down/rno04725.html","rno04725")</f>
        <v>rno04725</v>
      </c>
    </row>
    <row r="147" spans="1:13" x14ac:dyDescent="0.25">
      <c r="A147" t="s">
        <v>575</v>
      </c>
      <c r="B147" t="s">
        <v>576</v>
      </c>
      <c r="C147" t="s">
        <v>281</v>
      </c>
      <c r="D147" t="s">
        <v>558</v>
      </c>
      <c r="E147">
        <v>8</v>
      </c>
      <c r="F147">
        <v>327</v>
      </c>
      <c r="G147">
        <v>59</v>
      </c>
      <c r="H147">
        <v>2681</v>
      </c>
      <c r="I147">
        <v>0.43237521235736798</v>
      </c>
      <c r="J147">
        <v>0.75365401598402404</v>
      </c>
      <c r="K147">
        <v>1.1116985435131901</v>
      </c>
      <c r="L147" t="s">
        <v>1488</v>
      </c>
      <c r="M147" t="str">
        <f>HYPERLINK("../../3.KEGG_map/SCI_I-vs-NC-Down/rno04726.html","rno04726")</f>
        <v>rno04726</v>
      </c>
    </row>
    <row r="148" spans="1:13" x14ac:dyDescent="0.25">
      <c r="A148" t="s">
        <v>578</v>
      </c>
      <c r="B148" t="s">
        <v>579</v>
      </c>
      <c r="C148" t="s">
        <v>281</v>
      </c>
      <c r="D148" t="s">
        <v>558</v>
      </c>
      <c r="E148">
        <v>10</v>
      </c>
      <c r="F148">
        <v>327</v>
      </c>
      <c r="G148">
        <v>35</v>
      </c>
      <c r="H148">
        <v>2681</v>
      </c>
      <c r="I148">
        <v>7.0265006733210098E-3</v>
      </c>
      <c r="J148">
        <v>0.116937207116525</v>
      </c>
      <c r="K148">
        <v>2.34250764525994</v>
      </c>
      <c r="L148" t="s">
        <v>1489</v>
      </c>
      <c r="M148" t="str">
        <f>HYPERLINK("../../3.KEGG_map/SCI_I-vs-NC-Down/rno04727.html","rno04727")</f>
        <v>rno04727</v>
      </c>
    </row>
    <row r="149" spans="1:13" x14ac:dyDescent="0.25">
      <c r="A149" t="s">
        <v>581</v>
      </c>
      <c r="B149" t="s">
        <v>582</v>
      </c>
      <c r="C149" t="s">
        <v>281</v>
      </c>
      <c r="D149" t="s">
        <v>558</v>
      </c>
      <c r="E149">
        <v>13</v>
      </c>
      <c r="F149">
        <v>327</v>
      </c>
      <c r="G149">
        <v>85</v>
      </c>
      <c r="H149">
        <v>2681</v>
      </c>
      <c r="I149">
        <v>0.23030072017849801</v>
      </c>
      <c r="J149">
        <v>0.54219067606725402</v>
      </c>
      <c r="K149">
        <v>1.2539305630509101</v>
      </c>
      <c r="L149" t="s">
        <v>1490</v>
      </c>
      <c r="M149" t="str">
        <f>HYPERLINK("../../3.KEGG_map/SCI_I-vs-NC-Down/rno04728.html","rno04728")</f>
        <v>rno04728</v>
      </c>
    </row>
    <row r="150" spans="1:13" x14ac:dyDescent="0.25">
      <c r="A150" t="s">
        <v>584</v>
      </c>
      <c r="B150" t="s">
        <v>585</v>
      </c>
      <c r="C150" t="s">
        <v>281</v>
      </c>
      <c r="D150" t="s">
        <v>558</v>
      </c>
      <c r="E150">
        <v>5</v>
      </c>
      <c r="F150">
        <v>327</v>
      </c>
      <c r="G150">
        <v>48</v>
      </c>
      <c r="H150">
        <v>2681</v>
      </c>
      <c r="I150">
        <v>0.71425517364385305</v>
      </c>
      <c r="J150">
        <v>0.90539337533675601</v>
      </c>
      <c r="K150">
        <v>0.85403924566768596</v>
      </c>
      <c r="L150" t="s">
        <v>1491</v>
      </c>
      <c r="M150" t="str">
        <f>HYPERLINK("../../3.KEGG_map/SCI_I-vs-NC-Down/rno04730.html","rno04730")</f>
        <v>rno04730</v>
      </c>
    </row>
    <row r="151" spans="1:13" x14ac:dyDescent="0.25">
      <c r="A151" t="s">
        <v>587</v>
      </c>
      <c r="B151" t="s">
        <v>588</v>
      </c>
      <c r="C151" t="s">
        <v>281</v>
      </c>
      <c r="D151" t="s">
        <v>589</v>
      </c>
      <c r="E151">
        <v>5</v>
      </c>
      <c r="F151">
        <v>327</v>
      </c>
      <c r="G151">
        <v>20</v>
      </c>
      <c r="H151">
        <v>2681</v>
      </c>
      <c r="I151">
        <v>8.6678349269815699E-2</v>
      </c>
      <c r="J151">
        <v>0.35090751075360899</v>
      </c>
      <c r="K151">
        <v>2.0496941896024499</v>
      </c>
      <c r="L151" t="s">
        <v>1492</v>
      </c>
      <c r="M151" t="str">
        <f>HYPERLINK("../../3.KEGG_map/SCI_I-vs-NC-Down/rno04740.html","rno04740")</f>
        <v>rno04740</v>
      </c>
    </row>
    <row r="152" spans="1:13" x14ac:dyDescent="0.25">
      <c r="A152" t="s">
        <v>591</v>
      </c>
      <c r="B152" t="s">
        <v>592</v>
      </c>
      <c r="C152" t="s">
        <v>281</v>
      </c>
      <c r="D152" t="s">
        <v>589</v>
      </c>
      <c r="E152">
        <v>1</v>
      </c>
      <c r="F152">
        <v>327</v>
      </c>
      <c r="G152">
        <v>8</v>
      </c>
      <c r="H152">
        <v>2681</v>
      </c>
      <c r="I152">
        <v>0.64726721319639902</v>
      </c>
      <c r="J152">
        <v>0.88295690495813095</v>
      </c>
      <c r="K152">
        <v>1.02484709480122</v>
      </c>
      <c r="L152" t="s">
        <v>1493</v>
      </c>
      <c r="M152" t="str">
        <f>HYPERLINK("../../3.KEGG_map/SCI_I-vs-NC-Down/rno04742.html","rno04742")</f>
        <v>rno04742</v>
      </c>
    </row>
    <row r="153" spans="1:13" x14ac:dyDescent="0.25">
      <c r="A153" t="s">
        <v>594</v>
      </c>
      <c r="B153" t="s">
        <v>595</v>
      </c>
      <c r="C153" t="s">
        <v>281</v>
      </c>
      <c r="D153" t="s">
        <v>589</v>
      </c>
      <c r="E153">
        <v>10</v>
      </c>
      <c r="F153">
        <v>327</v>
      </c>
      <c r="G153">
        <v>52</v>
      </c>
      <c r="H153">
        <v>2681</v>
      </c>
      <c r="I153">
        <v>9.3343573505349997E-2</v>
      </c>
      <c r="J153">
        <v>0.37189264999750599</v>
      </c>
      <c r="K153">
        <v>1.5766878381557301</v>
      </c>
      <c r="L153" t="s">
        <v>1494</v>
      </c>
      <c r="M153" t="str">
        <f>HYPERLINK("../../3.KEGG_map/SCI_I-vs-NC-Down/rno04750.html","rno04750")</f>
        <v>rno04750</v>
      </c>
    </row>
    <row r="154" spans="1:13" x14ac:dyDescent="0.25">
      <c r="A154" t="s">
        <v>597</v>
      </c>
      <c r="B154" t="s">
        <v>598</v>
      </c>
      <c r="C154" t="s">
        <v>355</v>
      </c>
      <c r="D154" t="s">
        <v>599</v>
      </c>
      <c r="E154">
        <v>23</v>
      </c>
      <c r="F154">
        <v>327</v>
      </c>
      <c r="G154">
        <v>174</v>
      </c>
      <c r="H154">
        <v>2681</v>
      </c>
      <c r="I154">
        <v>0.370833744833929</v>
      </c>
      <c r="J154">
        <v>0.71300731104978399</v>
      </c>
      <c r="K154">
        <v>1.0837463531231299</v>
      </c>
      <c r="L154" t="s">
        <v>1495</v>
      </c>
      <c r="M154" t="str">
        <f>HYPERLINK("../../3.KEGG_map/SCI_I-vs-NC-Down/rno04810.html","rno04810")</f>
        <v>rno04810</v>
      </c>
    </row>
    <row r="155" spans="1:13" x14ac:dyDescent="0.25">
      <c r="A155" t="s">
        <v>601</v>
      </c>
      <c r="B155" t="s">
        <v>602</v>
      </c>
      <c r="C155" t="s">
        <v>281</v>
      </c>
      <c r="D155" t="s">
        <v>282</v>
      </c>
      <c r="E155">
        <v>15</v>
      </c>
      <c r="F155">
        <v>327</v>
      </c>
      <c r="G155">
        <v>100</v>
      </c>
      <c r="H155">
        <v>2681</v>
      </c>
      <c r="I155">
        <v>0.23113307704859001</v>
      </c>
      <c r="J155">
        <v>0.54219067606725402</v>
      </c>
      <c r="K155">
        <v>1.2298165137614701</v>
      </c>
      <c r="L155" t="s">
        <v>1496</v>
      </c>
      <c r="M155" t="str">
        <f>HYPERLINK("../../3.KEGG_map/SCI_I-vs-NC-Down/rno04910.html","rno04910")</f>
        <v>rno04910</v>
      </c>
    </row>
    <row r="156" spans="1:13" x14ac:dyDescent="0.25">
      <c r="A156" t="s">
        <v>604</v>
      </c>
      <c r="B156" t="s">
        <v>605</v>
      </c>
      <c r="C156" t="s">
        <v>281</v>
      </c>
      <c r="D156" t="s">
        <v>282</v>
      </c>
      <c r="E156">
        <v>8</v>
      </c>
      <c r="F156">
        <v>327</v>
      </c>
      <c r="G156">
        <v>56</v>
      </c>
      <c r="H156">
        <v>2681</v>
      </c>
      <c r="I156">
        <v>0.37361031568289998</v>
      </c>
      <c r="J156">
        <v>0.71300731104978399</v>
      </c>
      <c r="K156">
        <v>1.17125382262997</v>
      </c>
      <c r="L156" t="s">
        <v>1497</v>
      </c>
      <c r="M156" t="str">
        <f>HYPERLINK("../../3.KEGG_map/SCI_I-vs-NC-Down/rno04911.html","rno04911")</f>
        <v>rno04911</v>
      </c>
    </row>
    <row r="157" spans="1:13" x14ac:dyDescent="0.25">
      <c r="A157" t="s">
        <v>607</v>
      </c>
      <c r="B157" t="s">
        <v>608</v>
      </c>
      <c r="C157" t="s">
        <v>281</v>
      </c>
      <c r="D157" t="s">
        <v>282</v>
      </c>
      <c r="E157">
        <v>14</v>
      </c>
      <c r="F157">
        <v>327</v>
      </c>
      <c r="G157">
        <v>83</v>
      </c>
      <c r="H157">
        <v>2681</v>
      </c>
      <c r="I157">
        <v>0.12679231350575099</v>
      </c>
      <c r="J157">
        <v>0.408011162691583</v>
      </c>
      <c r="K157">
        <v>1.3829262002136999</v>
      </c>
      <c r="L157" t="s">
        <v>1498</v>
      </c>
      <c r="M157" t="str">
        <f>HYPERLINK("../../3.KEGG_map/SCI_I-vs-NC-Down/rno04912.html","rno04912")</f>
        <v>rno04912</v>
      </c>
    </row>
    <row r="158" spans="1:13" x14ac:dyDescent="0.25">
      <c r="A158" t="s">
        <v>610</v>
      </c>
      <c r="B158" t="s">
        <v>611</v>
      </c>
      <c r="C158" t="s">
        <v>281</v>
      </c>
      <c r="D158" t="s">
        <v>282</v>
      </c>
      <c r="E158">
        <v>8</v>
      </c>
      <c r="F158">
        <v>327</v>
      </c>
      <c r="G158">
        <v>19</v>
      </c>
      <c r="H158">
        <v>2681</v>
      </c>
      <c r="I158">
        <v>1.0076251243566899E-3</v>
      </c>
      <c r="J158">
        <v>2.8101545134836502E-2</v>
      </c>
      <c r="K158">
        <v>3.4521165298567502</v>
      </c>
      <c r="L158" t="s">
        <v>1499</v>
      </c>
      <c r="M158" t="str">
        <f>HYPERLINK("../../3.KEGG_map/SCI_I-vs-NC-Down/rno04913.html","rno04913")</f>
        <v>rno04913</v>
      </c>
    </row>
    <row r="159" spans="1:13" x14ac:dyDescent="0.25">
      <c r="A159" t="s">
        <v>613</v>
      </c>
      <c r="B159" t="s">
        <v>614</v>
      </c>
      <c r="C159" t="s">
        <v>281</v>
      </c>
      <c r="D159" t="s">
        <v>282</v>
      </c>
      <c r="E159">
        <v>17</v>
      </c>
      <c r="F159">
        <v>327</v>
      </c>
      <c r="G159">
        <v>59</v>
      </c>
      <c r="H159">
        <v>2681</v>
      </c>
      <c r="I159">
        <v>4.25888771003565E-4</v>
      </c>
      <c r="J159">
        <v>1.6402176628212702E-2</v>
      </c>
      <c r="K159">
        <v>2.3623594049655301</v>
      </c>
      <c r="L159" t="s">
        <v>1500</v>
      </c>
      <c r="M159" t="str">
        <f>HYPERLINK("../../3.KEGG_map/SCI_I-vs-NC-Down/rno04914.html","rno04914")</f>
        <v>rno04914</v>
      </c>
    </row>
    <row r="160" spans="1:13" x14ac:dyDescent="0.25">
      <c r="A160" t="s">
        <v>616</v>
      </c>
      <c r="B160" t="s">
        <v>617</v>
      </c>
      <c r="C160" t="s">
        <v>281</v>
      </c>
      <c r="D160" t="s">
        <v>282</v>
      </c>
      <c r="E160">
        <v>14</v>
      </c>
      <c r="F160">
        <v>327</v>
      </c>
      <c r="G160">
        <v>67</v>
      </c>
      <c r="H160">
        <v>2681</v>
      </c>
      <c r="I160">
        <v>2.8055571010519399E-2</v>
      </c>
      <c r="J160">
        <v>0.19012194890790299</v>
      </c>
      <c r="K160">
        <v>1.7131772331005499</v>
      </c>
      <c r="L160" t="s">
        <v>1501</v>
      </c>
      <c r="M160" t="str">
        <f>HYPERLINK("../../3.KEGG_map/SCI_I-vs-NC-Down/rno04915.html","rno04915")</f>
        <v>rno04915</v>
      </c>
    </row>
    <row r="161" spans="1:13" x14ac:dyDescent="0.25">
      <c r="A161" t="s">
        <v>619</v>
      </c>
      <c r="B161" t="s">
        <v>620</v>
      </c>
      <c r="C161" t="s">
        <v>281</v>
      </c>
      <c r="D161" t="s">
        <v>282</v>
      </c>
      <c r="E161">
        <v>8</v>
      </c>
      <c r="F161">
        <v>327</v>
      </c>
      <c r="G161">
        <v>48</v>
      </c>
      <c r="H161">
        <v>2681</v>
      </c>
      <c r="I161">
        <v>0.22415581762512399</v>
      </c>
      <c r="J161">
        <v>0.53583914498958296</v>
      </c>
      <c r="K161">
        <v>1.3664627930683</v>
      </c>
      <c r="L161" t="s">
        <v>1497</v>
      </c>
      <c r="M161" t="str">
        <f>HYPERLINK("../../3.KEGG_map/SCI_I-vs-NC-Down/rno04916.html","rno04916")</f>
        <v>rno04916</v>
      </c>
    </row>
    <row r="162" spans="1:13" x14ac:dyDescent="0.25">
      <c r="A162" t="s">
        <v>622</v>
      </c>
      <c r="B162" t="s">
        <v>623</v>
      </c>
      <c r="C162" t="s">
        <v>281</v>
      </c>
      <c r="D162" t="s">
        <v>282</v>
      </c>
      <c r="E162">
        <v>9</v>
      </c>
      <c r="F162">
        <v>327</v>
      </c>
      <c r="G162">
        <v>33</v>
      </c>
      <c r="H162">
        <v>2681</v>
      </c>
      <c r="I162">
        <v>1.42746431406048E-2</v>
      </c>
      <c r="J162">
        <v>0.151586795027955</v>
      </c>
      <c r="K162">
        <v>2.2360300250208498</v>
      </c>
      <c r="L162" t="s">
        <v>1502</v>
      </c>
      <c r="M162" t="str">
        <f>HYPERLINK("../../3.KEGG_map/SCI_I-vs-NC-Down/rno04917.html","rno04917")</f>
        <v>rno04917</v>
      </c>
    </row>
    <row r="163" spans="1:13" x14ac:dyDescent="0.25">
      <c r="A163" t="s">
        <v>625</v>
      </c>
      <c r="B163" t="s">
        <v>626</v>
      </c>
      <c r="C163" t="s">
        <v>281</v>
      </c>
      <c r="D163" t="s">
        <v>282</v>
      </c>
      <c r="E163">
        <v>8</v>
      </c>
      <c r="F163">
        <v>327</v>
      </c>
      <c r="G163">
        <v>46</v>
      </c>
      <c r="H163">
        <v>2681</v>
      </c>
      <c r="I163">
        <v>0.19068181753608099</v>
      </c>
      <c r="J163">
        <v>0.50380143370059305</v>
      </c>
      <c r="K163">
        <v>1.42587421885388</v>
      </c>
      <c r="L163" t="s">
        <v>1503</v>
      </c>
      <c r="M163" t="str">
        <f>HYPERLINK("../../3.KEGG_map/SCI_I-vs-NC-Down/rno04918.html","rno04918")</f>
        <v>rno04918</v>
      </c>
    </row>
    <row r="164" spans="1:13" x14ac:dyDescent="0.25">
      <c r="A164" t="s">
        <v>628</v>
      </c>
      <c r="B164" t="s">
        <v>629</v>
      </c>
      <c r="C164" t="s">
        <v>281</v>
      </c>
      <c r="D164" t="s">
        <v>282</v>
      </c>
      <c r="E164">
        <v>9</v>
      </c>
      <c r="F164">
        <v>327</v>
      </c>
      <c r="G164">
        <v>88</v>
      </c>
      <c r="H164">
        <v>2681</v>
      </c>
      <c r="I164">
        <v>0.76471472339200097</v>
      </c>
      <c r="J164">
        <v>0.90539337533675601</v>
      </c>
      <c r="K164">
        <v>0.83851125938281901</v>
      </c>
      <c r="L164" t="s">
        <v>1504</v>
      </c>
      <c r="M164" t="str">
        <f>HYPERLINK("../../3.KEGG_map/SCI_I-vs-NC-Down/rno04919.html","rno04919")</f>
        <v>rno04919</v>
      </c>
    </row>
    <row r="165" spans="1:13" x14ac:dyDescent="0.25">
      <c r="A165" t="s">
        <v>631</v>
      </c>
      <c r="B165" t="s">
        <v>632</v>
      </c>
      <c r="C165" t="s">
        <v>281</v>
      </c>
      <c r="D165" t="s">
        <v>282</v>
      </c>
      <c r="E165">
        <v>6</v>
      </c>
      <c r="F165">
        <v>327</v>
      </c>
      <c r="G165">
        <v>30</v>
      </c>
      <c r="H165">
        <v>2681</v>
      </c>
      <c r="I165">
        <v>0.15014607446286801</v>
      </c>
      <c r="J165">
        <v>0.44337252576682201</v>
      </c>
      <c r="K165">
        <v>1.6397553516819601</v>
      </c>
      <c r="L165" t="s">
        <v>1505</v>
      </c>
      <c r="M165" t="str">
        <f>HYPERLINK("../../3.KEGG_map/SCI_I-vs-NC-Down/rno04920.html","rno04920")</f>
        <v>rno04920</v>
      </c>
    </row>
    <row r="166" spans="1:13" x14ac:dyDescent="0.25">
      <c r="A166" t="s">
        <v>634</v>
      </c>
      <c r="B166" t="s">
        <v>635</v>
      </c>
      <c r="C166" t="s">
        <v>281</v>
      </c>
      <c r="D166" t="s">
        <v>282</v>
      </c>
      <c r="E166">
        <v>25</v>
      </c>
      <c r="F166">
        <v>327</v>
      </c>
      <c r="G166">
        <v>140</v>
      </c>
      <c r="H166">
        <v>2681</v>
      </c>
      <c r="I166">
        <v>2.8783402623507301E-2</v>
      </c>
      <c r="J166">
        <v>0.19012194890790299</v>
      </c>
      <c r="K166">
        <v>1.46406727828746</v>
      </c>
      <c r="L166" t="s">
        <v>1506</v>
      </c>
      <c r="M166" t="str">
        <f>HYPERLINK("../../3.KEGG_map/SCI_I-vs-NC-Down/rno04921.html","rno04921")</f>
        <v>rno04921</v>
      </c>
    </row>
    <row r="167" spans="1:13" x14ac:dyDescent="0.25">
      <c r="A167" t="s">
        <v>637</v>
      </c>
      <c r="B167" t="s">
        <v>638</v>
      </c>
      <c r="C167" t="s">
        <v>281</v>
      </c>
      <c r="D167" t="s">
        <v>282</v>
      </c>
      <c r="E167">
        <v>9</v>
      </c>
      <c r="F167">
        <v>327</v>
      </c>
      <c r="G167">
        <v>88</v>
      </c>
      <c r="H167">
        <v>2681</v>
      </c>
      <c r="I167">
        <v>0.76471472339200097</v>
      </c>
      <c r="J167">
        <v>0.90539337533675601</v>
      </c>
      <c r="K167">
        <v>0.83851125938281901</v>
      </c>
      <c r="L167" t="s">
        <v>1507</v>
      </c>
      <c r="M167" t="str">
        <f>HYPERLINK("../../3.KEGG_map/SCI_I-vs-NC-Down/rno04922.html","rno04922")</f>
        <v>rno04922</v>
      </c>
    </row>
    <row r="168" spans="1:13" x14ac:dyDescent="0.25">
      <c r="A168" t="s">
        <v>640</v>
      </c>
      <c r="B168" t="s">
        <v>641</v>
      </c>
      <c r="C168" t="s">
        <v>281</v>
      </c>
      <c r="D168" t="s">
        <v>282</v>
      </c>
      <c r="E168">
        <v>13</v>
      </c>
      <c r="F168">
        <v>327</v>
      </c>
      <c r="G168">
        <v>35</v>
      </c>
      <c r="H168">
        <v>2681</v>
      </c>
      <c r="I168">
        <v>1.24965548363771E-4</v>
      </c>
      <c r="J168">
        <v>9.0484317253318007E-3</v>
      </c>
      <c r="K168">
        <v>3.04525993883792</v>
      </c>
      <c r="L168" t="s">
        <v>1508</v>
      </c>
      <c r="M168" t="str">
        <f>HYPERLINK("../../3.KEGG_map/SCI_I-vs-NC-Down/rno04923.html","rno04923")</f>
        <v>rno04923</v>
      </c>
    </row>
    <row r="169" spans="1:13" x14ac:dyDescent="0.25">
      <c r="A169" t="s">
        <v>643</v>
      </c>
      <c r="B169" t="s">
        <v>644</v>
      </c>
      <c r="C169" t="s">
        <v>281</v>
      </c>
      <c r="D169" t="s">
        <v>282</v>
      </c>
      <c r="E169">
        <v>5</v>
      </c>
      <c r="F169">
        <v>327</v>
      </c>
      <c r="G169">
        <v>65</v>
      </c>
      <c r="H169">
        <v>2681</v>
      </c>
      <c r="I169">
        <v>0.91338649266836502</v>
      </c>
      <c r="J169">
        <v>0.95451181741574198</v>
      </c>
      <c r="K169">
        <v>0.63067513526229102</v>
      </c>
      <c r="L169" t="s">
        <v>1509</v>
      </c>
      <c r="M169" t="str">
        <f>HYPERLINK("../../3.KEGG_map/SCI_I-vs-NC-Down/rno04924.html","rno04924")</f>
        <v>rno04924</v>
      </c>
    </row>
    <row r="170" spans="1:13" x14ac:dyDescent="0.25">
      <c r="A170" t="s">
        <v>646</v>
      </c>
      <c r="B170" t="s">
        <v>647</v>
      </c>
      <c r="C170" t="s">
        <v>281</v>
      </c>
      <c r="D170" t="s">
        <v>282</v>
      </c>
      <c r="E170">
        <v>10</v>
      </c>
      <c r="F170">
        <v>327</v>
      </c>
      <c r="G170">
        <v>62</v>
      </c>
      <c r="H170">
        <v>2681</v>
      </c>
      <c r="I170">
        <v>0.21724046100316199</v>
      </c>
      <c r="J170">
        <v>0.52981521393089204</v>
      </c>
      <c r="K170">
        <v>1.32238334813061</v>
      </c>
      <c r="L170" t="s">
        <v>1510</v>
      </c>
      <c r="M170" t="str">
        <f>HYPERLINK("../../3.KEGG_map/SCI_I-vs-NC-Down/rno04925.html","rno04925")</f>
        <v>rno04925</v>
      </c>
    </row>
    <row r="171" spans="1:13" x14ac:dyDescent="0.25">
      <c r="A171" t="s">
        <v>649</v>
      </c>
      <c r="B171" t="s">
        <v>650</v>
      </c>
      <c r="C171" t="s">
        <v>281</v>
      </c>
      <c r="D171" t="s">
        <v>282</v>
      </c>
      <c r="E171">
        <v>17</v>
      </c>
      <c r="F171">
        <v>327</v>
      </c>
      <c r="G171">
        <v>104</v>
      </c>
      <c r="H171">
        <v>2681</v>
      </c>
      <c r="I171">
        <v>0.12367966107869199</v>
      </c>
      <c r="J171">
        <v>0.408011162691583</v>
      </c>
      <c r="K171">
        <v>1.3401846624323701</v>
      </c>
      <c r="L171" t="s">
        <v>1511</v>
      </c>
      <c r="M171" t="str">
        <f>HYPERLINK("../../3.KEGG_map/SCI_I-vs-NC-Down/rno04926.html","rno04926")</f>
        <v>rno04926</v>
      </c>
    </row>
    <row r="172" spans="1:13" x14ac:dyDescent="0.25">
      <c r="A172" t="s">
        <v>652</v>
      </c>
      <c r="B172" t="s">
        <v>653</v>
      </c>
      <c r="C172" t="s">
        <v>281</v>
      </c>
      <c r="D172" t="s">
        <v>282</v>
      </c>
      <c r="E172">
        <v>10</v>
      </c>
      <c r="F172">
        <v>327</v>
      </c>
      <c r="G172">
        <v>49</v>
      </c>
      <c r="H172">
        <v>2681</v>
      </c>
      <c r="I172">
        <v>6.7174930588085505E-2</v>
      </c>
      <c r="J172">
        <v>0.300497202466808</v>
      </c>
      <c r="K172">
        <v>1.67321974661424</v>
      </c>
      <c r="L172" t="s">
        <v>1512</v>
      </c>
      <c r="M172" t="str">
        <f>HYPERLINK("../../3.KEGG_map/SCI_I-vs-NC-Down/rno04927.html","rno04927")</f>
        <v>rno04927</v>
      </c>
    </row>
    <row r="173" spans="1:13" x14ac:dyDescent="0.25">
      <c r="A173" t="s">
        <v>655</v>
      </c>
      <c r="B173" t="s">
        <v>656</v>
      </c>
      <c r="C173" t="s">
        <v>235</v>
      </c>
      <c r="D173" t="s">
        <v>657</v>
      </c>
      <c r="E173">
        <v>1</v>
      </c>
      <c r="F173">
        <v>327</v>
      </c>
      <c r="G173">
        <v>18</v>
      </c>
      <c r="H173">
        <v>2681</v>
      </c>
      <c r="I173">
        <v>0.90456347279503801</v>
      </c>
      <c r="J173">
        <v>0.95451181741574198</v>
      </c>
      <c r="K173">
        <v>0.45548759768943298</v>
      </c>
      <c r="L173" t="s">
        <v>1493</v>
      </c>
      <c r="M173" t="str">
        <f>HYPERLINK("../../3.KEGG_map/SCI_I-vs-NC-Down/rno04930.html","rno04930")</f>
        <v>rno04930</v>
      </c>
    </row>
    <row r="174" spans="1:13" x14ac:dyDescent="0.25">
      <c r="A174" t="s">
        <v>659</v>
      </c>
      <c r="B174" t="s">
        <v>660</v>
      </c>
      <c r="C174" t="s">
        <v>235</v>
      </c>
      <c r="D174" t="s">
        <v>657</v>
      </c>
      <c r="E174">
        <v>6</v>
      </c>
      <c r="F174">
        <v>327</v>
      </c>
      <c r="G174">
        <v>51</v>
      </c>
      <c r="H174">
        <v>2681</v>
      </c>
      <c r="I174">
        <v>0.60313632262691197</v>
      </c>
      <c r="J174">
        <v>0.85653099053219806</v>
      </c>
      <c r="K174">
        <v>0.96456197157762202</v>
      </c>
      <c r="L174" t="s">
        <v>1505</v>
      </c>
      <c r="M174" t="str">
        <f>HYPERLINK("../../3.KEGG_map/SCI_I-vs-NC-Down/rno04931.html","rno04931")</f>
        <v>rno04931</v>
      </c>
    </row>
    <row r="175" spans="1:13" x14ac:dyDescent="0.25">
      <c r="A175" t="s">
        <v>662</v>
      </c>
      <c r="B175" t="s">
        <v>663</v>
      </c>
      <c r="C175" t="s">
        <v>235</v>
      </c>
      <c r="D175" t="s">
        <v>657</v>
      </c>
      <c r="E175">
        <v>9</v>
      </c>
      <c r="F175">
        <v>327</v>
      </c>
      <c r="G175">
        <v>59</v>
      </c>
      <c r="H175">
        <v>2681</v>
      </c>
      <c r="I175">
        <v>0.28794524262603999</v>
      </c>
      <c r="J175">
        <v>0.61249369406047505</v>
      </c>
      <c r="K175">
        <v>1.25066086145234</v>
      </c>
      <c r="L175" t="s">
        <v>1513</v>
      </c>
      <c r="M175" t="str">
        <f>HYPERLINK("../../3.KEGG_map/SCI_I-vs-NC-Down/rno04932.html","rno04932")</f>
        <v>rno04932</v>
      </c>
    </row>
    <row r="176" spans="1:13" x14ac:dyDescent="0.25">
      <c r="A176" t="s">
        <v>665</v>
      </c>
      <c r="B176" t="s">
        <v>666</v>
      </c>
      <c r="C176" t="s">
        <v>235</v>
      </c>
      <c r="D176" t="s">
        <v>657</v>
      </c>
      <c r="E176">
        <v>11</v>
      </c>
      <c r="F176">
        <v>327</v>
      </c>
      <c r="G176">
        <v>94</v>
      </c>
      <c r="H176">
        <v>2681</v>
      </c>
      <c r="I176">
        <v>0.60816851125459503</v>
      </c>
      <c r="J176">
        <v>0.85653099053219806</v>
      </c>
      <c r="K176">
        <v>0.95943132279263399</v>
      </c>
      <c r="L176" t="s">
        <v>1514</v>
      </c>
      <c r="M176" t="str">
        <f>HYPERLINK("../../3.KEGG_map/SCI_I-vs-NC-Down/rno04933.html","rno04933")</f>
        <v>rno04933</v>
      </c>
    </row>
    <row r="177" spans="1:13" x14ac:dyDescent="0.25">
      <c r="A177" t="s">
        <v>668</v>
      </c>
      <c r="B177" t="s">
        <v>669</v>
      </c>
      <c r="C177" t="s">
        <v>235</v>
      </c>
      <c r="D177" t="s">
        <v>657</v>
      </c>
      <c r="E177">
        <v>15</v>
      </c>
      <c r="F177">
        <v>327</v>
      </c>
      <c r="G177">
        <v>79</v>
      </c>
      <c r="H177">
        <v>2681</v>
      </c>
      <c r="I177">
        <v>5.0825245542492202E-2</v>
      </c>
      <c r="J177">
        <v>0.25915050647238602</v>
      </c>
      <c r="K177">
        <v>1.55672976425502</v>
      </c>
      <c r="L177" t="s">
        <v>1515</v>
      </c>
      <c r="M177" t="str">
        <f>HYPERLINK("../../3.KEGG_map/SCI_I-vs-NC-Down/rno04934.html","rno04934")</f>
        <v>rno04934</v>
      </c>
    </row>
    <row r="178" spans="1:13" x14ac:dyDescent="0.25">
      <c r="A178" t="s">
        <v>671</v>
      </c>
      <c r="B178" t="s">
        <v>672</v>
      </c>
      <c r="C178" t="s">
        <v>235</v>
      </c>
      <c r="D178" t="s">
        <v>657</v>
      </c>
      <c r="E178">
        <v>2</v>
      </c>
      <c r="F178">
        <v>327</v>
      </c>
      <c r="G178">
        <v>15</v>
      </c>
      <c r="H178">
        <v>2681</v>
      </c>
      <c r="I178">
        <v>0.56238187814505503</v>
      </c>
      <c r="J178">
        <v>0.84525659529586095</v>
      </c>
      <c r="K178">
        <v>1.0931702344546399</v>
      </c>
      <c r="L178" t="s">
        <v>1516</v>
      </c>
      <c r="M178" t="str">
        <f>HYPERLINK("../../3.KEGG_map/SCI_I-vs-NC-Down/rno04940.html","rno04940")</f>
        <v>rno04940</v>
      </c>
    </row>
    <row r="179" spans="1:13" x14ac:dyDescent="0.25">
      <c r="A179" t="s">
        <v>678</v>
      </c>
      <c r="B179" t="s">
        <v>679</v>
      </c>
      <c r="C179" t="s">
        <v>281</v>
      </c>
      <c r="D179" t="s">
        <v>676</v>
      </c>
      <c r="E179">
        <v>5</v>
      </c>
      <c r="F179">
        <v>327</v>
      </c>
      <c r="G179">
        <v>39</v>
      </c>
      <c r="H179">
        <v>2681</v>
      </c>
      <c r="I179">
        <v>0.52581729418786505</v>
      </c>
      <c r="J179">
        <v>0.81976231854350301</v>
      </c>
      <c r="K179">
        <v>1.0511252254371499</v>
      </c>
      <c r="L179" t="s">
        <v>1517</v>
      </c>
      <c r="M179" t="str">
        <f>HYPERLINK("../../3.KEGG_map/SCI_I-vs-NC-Down/rno04961.html","rno04961")</f>
        <v>rno04961</v>
      </c>
    </row>
    <row r="180" spans="1:13" x14ac:dyDescent="0.25">
      <c r="A180" t="s">
        <v>681</v>
      </c>
      <c r="B180" t="s">
        <v>682</v>
      </c>
      <c r="C180" t="s">
        <v>281</v>
      </c>
      <c r="D180" t="s">
        <v>676</v>
      </c>
      <c r="E180">
        <v>1</v>
      </c>
      <c r="F180">
        <v>327</v>
      </c>
      <c r="G180">
        <v>13</v>
      </c>
      <c r="H180">
        <v>2681</v>
      </c>
      <c r="I180">
        <v>0.81640352637997904</v>
      </c>
      <c r="J180">
        <v>0.91781566466534104</v>
      </c>
      <c r="K180">
        <v>0.63067513526229102</v>
      </c>
      <c r="L180" t="s">
        <v>1518</v>
      </c>
      <c r="M180" t="str">
        <f>HYPERLINK("../../3.KEGG_map/SCI_I-vs-NC-Down/rno04962.html","rno04962")</f>
        <v>rno04962</v>
      </c>
    </row>
    <row r="181" spans="1:13" x14ac:dyDescent="0.25">
      <c r="A181" t="s">
        <v>684</v>
      </c>
      <c r="B181" t="s">
        <v>685</v>
      </c>
      <c r="C181" t="s">
        <v>281</v>
      </c>
      <c r="D181" t="s">
        <v>676</v>
      </c>
      <c r="E181">
        <v>2</v>
      </c>
      <c r="F181">
        <v>327</v>
      </c>
      <c r="G181">
        <v>10</v>
      </c>
      <c r="H181">
        <v>2681</v>
      </c>
      <c r="I181">
        <v>0.349438759030955</v>
      </c>
      <c r="J181">
        <v>0.69062305918716205</v>
      </c>
      <c r="K181">
        <v>1.6397553516819601</v>
      </c>
      <c r="L181" t="s">
        <v>1519</v>
      </c>
      <c r="M181" t="str">
        <f>HYPERLINK("../../3.KEGG_map/SCI_I-vs-NC-Down/rno04964.html","rno04964")</f>
        <v>rno04964</v>
      </c>
    </row>
    <row r="182" spans="1:13" x14ac:dyDescent="0.25">
      <c r="A182" t="s">
        <v>690</v>
      </c>
      <c r="B182" t="s">
        <v>691</v>
      </c>
      <c r="C182" t="s">
        <v>281</v>
      </c>
      <c r="D182" t="s">
        <v>692</v>
      </c>
      <c r="E182">
        <v>13</v>
      </c>
      <c r="F182">
        <v>327</v>
      </c>
      <c r="G182">
        <v>67</v>
      </c>
      <c r="H182">
        <v>2681</v>
      </c>
      <c r="I182">
        <v>5.7251428107713602E-2</v>
      </c>
      <c r="J182">
        <v>0.27113412179313401</v>
      </c>
      <c r="K182">
        <v>1.5908074307362301</v>
      </c>
      <c r="L182" t="s">
        <v>1520</v>
      </c>
      <c r="M182" t="str">
        <f>HYPERLINK("../../3.KEGG_map/SCI_I-vs-NC-Down/rno04970.html","rno04970")</f>
        <v>rno04970</v>
      </c>
    </row>
    <row r="183" spans="1:13" x14ac:dyDescent="0.25">
      <c r="A183" t="s">
        <v>694</v>
      </c>
      <c r="B183" t="s">
        <v>695</v>
      </c>
      <c r="C183" t="s">
        <v>281</v>
      </c>
      <c r="D183" t="s">
        <v>692</v>
      </c>
      <c r="E183">
        <v>9</v>
      </c>
      <c r="F183">
        <v>327</v>
      </c>
      <c r="G183">
        <v>49</v>
      </c>
      <c r="H183">
        <v>2681</v>
      </c>
      <c r="I183">
        <v>0.134480749642751</v>
      </c>
      <c r="J183">
        <v>0.42727428051051403</v>
      </c>
      <c r="K183">
        <v>1.5058977719528199</v>
      </c>
      <c r="L183" t="s">
        <v>1521</v>
      </c>
      <c r="M183" t="str">
        <f>HYPERLINK("../../3.KEGG_map/SCI_I-vs-NC-Down/rno04971.html","rno04971")</f>
        <v>rno04971</v>
      </c>
    </row>
    <row r="184" spans="1:13" x14ac:dyDescent="0.25">
      <c r="A184" t="s">
        <v>697</v>
      </c>
      <c r="B184" t="s">
        <v>698</v>
      </c>
      <c r="C184" t="s">
        <v>281</v>
      </c>
      <c r="D184" t="s">
        <v>692</v>
      </c>
      <c r="E184">
        <v>11</v>
      </c>
      <c r="F184">
        <v>327</v>
      </c>
      <c r="G184">
        <v>55</v>
      </c>
      <c r="H184">
        <v>2681</v>
      </c>
      <c r="I184">
        <v>6.3918320475838702E-2</v>
      </c>
      <c r="J184">
        <v>0.29169997162610001</v>
      </c>
      <c r="K184">
        <v>1.6397553516819601</v>
      </c>
      <c r="L184" t="s">
        <v>1522</v>
      </c>
      <c r="M184" t="str">
        <f>HYPERLINK("../../3.KEGG_map/SCI_I-vs-NC-Down/rno04972.html","rno04972")</f>
        <v>rno04972</v>
      </c>
    </row>
    <row r="185" spans="1:13" x14ac:dyDescent="0.25">
      <c r="A185" t="s">
        <v>700</v>
      </c>
      <c r="B185" t="s">
        <v>701</v>
      </c>
      <c r="C185" t="s">
        <v>281</v>
      </c>
      <c r="D185" t="s">
        <v>692</v>
      </c>
      <c r="E185">
        <v>5</v>
      </c>
      <c r="F185">
        <v>327</v>
      </c>
      <c r="G185">
        <v>17</v>
      </c>
      <c r="H185">
        <v>2681</v>
      </c>
      <c r="I185">
        <v>4.6815015716762602E-2</v>
      </c>
      <c r="J185">
        <v>0.25191341316834098</v>
      </c>
      <c r="K185">
        <v>2.4114049289440498</v>
      </c>
      <c r="L185" t="s">
        <v>1523</v>
      </c>
      <c r="M185" t="str">
        <f>HYPERLINK("../../3.KEGG_map/SCI_I-vs-NC-Down/rno04973.html","rno04973")</f>
        <v>rno04973</v>
      </c>
    </row>
    <row r="186" spans="1:13" x14ac:dyDescent="0.25">
      <c r="A186" t="s">
        <v>703</v>
      </c>
      <c r="B186" t="s">
        <v>704</v>
      </c>
      <c r="C186" t="s">
        <v>281</v>
      </c>
      <c r="D186" t="s">
        <v>692</v>
      </c>
      <c r="E186">
        <v>5</v>
      </c>
      <c r="F186">
        <v>327</v>
      </c>
      <c r="G186">
        <v>58</v>
      </c>
      <c r="H186">
        <v>2681</v>
      </c>
      <c r="I186">
        <v>0.85382443044798495</v>
      </c>
      <c r="J186">
        <v>0.93705666415201905</v>
      </c>
      <c r="K186">
        <v>0.706791099862913</v>
      </c>
      <c r="L186" t="s">
        <v>1524</v>
      </c>
      <c r="M186" t="str">
        <f>HYPERLINK("../../3.KEGG_map/SCI_I-vs-NC-Down/rno04974.html","rno04974")</f>
        <v>rno04974</v>
      </c>
    </row>
    <row r="187" spans="1:13" x14ac:dyDescent="0.25">
      <c r="A187" t="s">
        <v>706</v>
      </c>
      <c r="B187" t="s">
        <v>707</v>
      </c>
      <c r="C187" t="s">
        <v>281</v>
      </c>
      <c r="D187" t="s">
        <v>692</v>
      </c>
      <c r="E187">
        <v>3</v>
      </c>
      <c r="F187">
        <v>327</v>
      </c>
      <c r="G187">
        <v>8</v>
      </c>
      <c r="H187">
        <v>2681</v>
      </c>
      <c r="I187">
        <v>6.3051334775958298E-2</v>
      </c>
      <c r="J187">
        <v>0.29169997162610001</v>
      </c>
      <c r="K187">
        <v>3.0745412844036699</v>
      </c>
      <c r="L187" t="s">
        <v>1525</v>
      </c>
      <c r="M187" t="str">
        <f>HYPERLINK("../../3.KEGG_map/SCI_I-vs-NC-Down/rno04975.html","rno04975")</f>
        <v>rno04975</v>
      </c>
    </row>
    <row r="188" spans="1:13" x14ac:dyDescent="0.25">
      <c r="A188" t="s">
        <v>709</v>
      </c>
      <c r="B188" t="s">
        <v>710</v>
      </c>
      <c r="C188" t="s">
        <v>281</v>
      </c>
      <c r="D188" t="s">
        <v>692</v>
      </c>
      <c r="E188">
        <v>8</v>
      </c>
      <c r="F188">
        <v>327</v>
      </c>
      <c r="G188">
        <v>19</v>
      </c>
      <c r="H188">
        <v>2681</v>
      </c>
      <c r="I188">
        <v>1.0076251243566899E-3</v>
      </c>
      <c r="J188">
        <v>2.8101545134836502E-2</v>
      </c>
      <c r="K188">
        <v>3.4521165298567502</v>
      </c>
      <c r="L188" t="s">
        <v>1526</v>
      </c>
      <c r="M188" t="str">
        <f>HYPERLINK("../../3.KEGG_map/SCI_I-vs-NC-Down/rno04976.html","rno04976")</f>
        <v>rno04976</v>
      </c>
    </row>
    <row r="189" spans="1:13" x14ac:dyDescent="0.25">
      <c r="A189" t="s">
        <v>715</v>
      </c>
      <c r="B189" t="s">
        <v>716</v>
      </c>
      <c r="C189" t="s">
        <v>281</v>
      </c>
      <c r="D189" t="s">
        <v>692</v>
      </c>
      <c r="E189">
        <v>3</v>
      </c>
      <c r="F189">
        <v>327</v>
      </c>
      <c r="G189">
        <v>11</v>
      </c>
      <c r="H189">
        <v>2681</v>
      </c>
      <c r="I189">
        <v>0.14135297878181599</v>
      </c>
      <c r="J189">
        <v>0.43801972437328202</v>
      </c>
      <c r="K189">
        <v>2.2360300250208498</v>
      </c>
      <c r="L189" t="s">
        <v>1527</v>
      </c>
      <c r="M189" t="str">
        <f>HYPERLINK("../../3.KEGG_map/SCI_I-vs-NC-Down/rno04978.html","rno04978")</f>
        <v>rno04978</v>
      </c>
    </row>
    <row r="190" spans="1:13" x14ac:dyDescent="0.25">
      <c r="A190" t="s">
        <v>718</v>
      </c>
      <c r="B190" t="s">
        <v>719</v>
      </c>
      <c r="C190" t="s">
        <v>281</v>
      </c>
      <c r="D190" t="s">
        <v>692</v>
      </c>
      <c r="E190">
        <v>3</v>
      </c>
      <c r="F190">
        <v>327</v>
      </c>
      <c r="G190">
        <v>10</v>
      </c>
      <c r="H190">
        <v>2681</v>
      </c>
      <c r="I190">
        <v>0.112526091066142</v>
      </c>
      <c r="J190">
        <v>0.39718503448218501</v>
      </c>
      <c r="K190">
        <v>2.4596330275229401</v>
      </c>
      <c r="L190" t="s">
        <v>1525</v>
      </c>
      <c r="M190" t="str">
        <f>HYPERLINK("../../3.KEGG_map/SCI_I-vs-NC-Down/rno04979.html","rno04979")</f>
        <v>rno04979</v>
      </c>
    </row>
    <row r="191" spans="1:13" x14ac:dyDescent="0.25">
      <c r="A191" t="s">
        <v>721</v>
      </c>
      <c r="B191" t="s">
        <v>722</v>
      </c>
      <c r="C191" t="s">
        <v>235</v>
      </c>
      <c r="D191" t="s">
        <v>723</v>
      </c>
      <c r="E191">
        <v>13</v>
      </c>
      <c r="F191">
        <v>327</v>
      </c>
      <c r="G191">
        <v>92</v>
      </c>
      <c r="H191">
        <v>2681</v>
      </c>
      <c r="I191">
        <v>0.32786362213846798</v>
      </c>
      <c r="J191">
        <v>0.67727442515744496</v>
      </c>
      <c r="K191">
        <v>1.15852280281877</v>
      </c>
      <c r="L191" t="s">
        <v>1528</v>
      </c>
      <c r="M191" t="str">
        <f>HYPERLINK("../../3.KEGG_map/SCI_I-vs-NC-Down/rno05010.html","rno05010")</f>
        <v>rno05010</v>
      </c>
    </row>
    <row r="192" spans="1:13" x14ac:dyDescent="0.25">
      <c r="A192" t="s">
        <v>725</v>
      </c>
      <c r="B192" t="s">
        <v>726</v>
      </c>
      <c r="C192" t="s">
        <v>235</v>
      </c>
      <c r="D192" t="s">
        <v>723</v>
      </c>
      <c r="E192">
        <v>4</v>
      </c>
      <c r="F192">
        <v>327</v>
      </c>
      <c r="G192">
        <v>20</v>
      </c>
      <c r="H192">
        <v>2681</v>
      </c>
      <c r="I192">
        <v>0.22068294599631499</v>
      </c>
      <c r="J192">
        <v>0.53260980235649102</v>
      </c>
      <c r="K192">
        <v>1.6397553516819601</v>
      </c>
      <c r="L192" t="s">
        <v>1529</v>
      </c>
      <c r="M192" t="str">
        <f>HYPERLINK("../../3.KEGG_map/SCI_I-vs-NC-Down/rno05012.html","rno05012")</f>
        <v>rno05012</v>
      </c>
    </row>
    <row r="193" spans="1:13" x14ac:dyDescent="0.25">
      <c r="A193" t="s">
        <v>728</v>
      </c>
      <c r="B193" t="s">
        <v>729</v>
      </c>
      <c r="C193" t="s">
        <v>235</v>
      </c>
      <c r="D193" t="s">
        <v>723</v>
      </c>
      <c r="E193">
        <v>4</v>
      </c>
      <c r="F193">
        <v>327</v>
      </c>
      <c r="G193">
        <v>30</v>
      </c>
      <c r="H193">
        <v>2681</v>
      </c>
      <c r="I193">
        <v>0.50697335743972705</v>
      </c>
      <c r="J193">
        <v>0.81472277971293605</v>
      </c>
      <c r="K193">
        <v>1.0931702344546399</v>
      </c>
      <c r="L193" t="s">
        <v>1530</v>
      </c>
      <c r="M193" t="str">
        <f>HYPERLINK("../../3.KEGG_map/SCI_I-vs-NC-Down/rno05014.html","rno05014")</f>
        <v>rno05014</v>
      </c>
    </row>
    <row r="194" spans="1:13" x14ac:dyDescent="0.25">
      <c r="A194" t="s">
        <v>731</v>
      </c>
      <c r="B194" t="s">
        <v>732</v>
      </c>
      <c r="C194" t="s">
        <v>235</v>
      </c>
      <c r="D194" t="s">
        <v>723</v>
      </c>
      <c r="E194">
        <v>4</v>
      </c>
      <c r="F194">
        <v>327</v>
      </c>
      <c r="G194">
        <v>61</v>
      </c>
      <c r="H194">
        <v>2681</v>
      </c>
      <c r="I194">
        <v>0.95124218850258901</v>
      </c>
      <c r="J194">
        <v>0.96566613147015101</v>
      </c>
      <c r="K194">
        <v>0.53762470546949404</v>
      </c>
      <c r="L194" t="s">
        <v>1531</v>
      </c>
      <c r="M194" t="str">
        <f>HYPERLINK("../../3.KEGG_map/SCI_I-vs-NC-Down/rno05016.html","rno05016")</f>
        <v>rno05016</v>
      </c>
    </row>
    <row r="195" spans="1:13" x14ac:dyDescent="0.25">
      <c r="A195" t="s">
        <v>734</v>
      </c>
      <c r="B195" t="s">
        <v>735</v>
      </c>
      <c r="C195" t="s">
        <v>235</v>
      </c>
      <c r="D195" t="s">
        <v>723</v>
      </c>
      <c r="E195">
        <v>1</v>
      </c>
      <c r="F195">
        <v>327</v>
      </c>
      <c r="G195">
        <v>9</v>
      </c>
      <c r="H195">
        <v>2681</v>
      </c>
      <c r="I195">
        <v>0.69041858666620004</v>
      </c>
      <c r="J195">
        <v>0.90206688735895202</v>
      </c>
      <c r="K195">
        <v>0.91097519537886495</v>
      </c>
      <c r="L195" t="s">
        <v>1532</v>
      </c>
      <c r="M195" t="str">
        <f>HYPERLINK("../../3.KEGG_map/SCI_I-vs-NC-Down/rno05020.html","rno05020")</f>
        <v>rno05020</v>
      </c>
    </row>
    <row r="196" spans="1:13" x14ac:dyDescent="0.25">
      <c r="A196" t="s">
        <v>737</v>
      </c>
      <c r="B196" t="s">
        <v>738</v>
      </c>
      <c r="C196" t="s">
        <v>235</v>
      </c>
      <c r="D196" t="s">
        <v>739</v>
      </c>
      <c r="E196">
        <v>4</v>
      </c>
      <c r="F196">
        <v>327</v>
      </c>
      <c r="G196">
        <v>15</v>
      </c>
      <c r="H196">
        <v>2681</v>
      </c>
      <c r="I196">
        <v>9.99016980949224E-2</v>
      </c>
      <c r="J196">
        <v>0.38577424956654599</v>
      </c>
      <c r="K196">
        <v>2.1863404689092798</v>
      </c>
      <c r="L196" t="s">
        <v>1533</v>
      </c>
      <c r="M196" t="str">
        <f>HYPERLINK("../../3.KEGG_map/SCI_I-vs-NC-Down/rno05030.html","rno05030")</f>
        <v>rno05030</v>
      </c>
    </row>
    <row r="197" spans="1:13" x14ac:dyDescent="0.25">
      <c r="A197" t="s">
        <v>741</v>
      </c>
      <c r="B197" t="s">
        <v>742</v>
      </c>
      <c r="C197" t="s">
        <v>235</v>
      </c>
      <c r="D197" t="s">
        <v>739</v>
      </c>
      <c r="E197">
        <v>6</v>
      </c>
      <c r="F197">
        <v>327</v>
      </c>
      <c r="G197">
        <v>45</v>
      </c>
      <c r="H197">
        <v>2681</v>
      </c>
      <c r="I197">
        <v>0.47510034441294602</v>
      </c>
      <c r="J197">
        <v>0.79262643739282901</v>
      </c>
      <c r="K197">
        <v>1.0931702344546399</v>
      </c>
      <c r="L197" t="s">
        <v>1534</v>
      </c>
      <c r="M197" t="str">
        <f>HYPERLINK("../../3.KEGG_map/SCI_I-vs-NC-Down/rno05031.html","rno05031")</f>
        <v>rno05031</v>
      </c>
    </row>
    <row r="198" spans="1:13" x14ac:dyDescent="0.25">
      <c r="A198" t="s">
        <v>744</v>
      </c>
      <c r="B198" t="s">
        <v>745</v>
      </c>
      <c r="C198" t="s">
        <v>235</v>
      </c>
      <c r="D198" t="s">
        <v>739</v>
      </c>
      <c r="E198">
        <v>11</v>
      </c>
      <c r="F198">
        <v>327</v>
      </c>
      <c r="G198">
        <v>39</v>
      </c>
      <c r="H198">
        <v>2681</v>
      </c>
      <c r="I198">
        <v>5.3058309757913601E-3</v>
      </c>
      <c r="J198">
        <v>9.5125969637402302E-2</v>
      </c>
      <c r="K198">
        <v>2.31247549596173</v>
      </c>
      <c r="L198" t="s">
        <v>1535</v>
      </c>
      <c r="M198" t="str">
        <f>HYPERLINK("../../3.KEGG_map/SCI_I-vs-NC-Down/rno05032.html","rno05032")</f>
        <v>rno05032</v>
      </c>
    </row>
    <row r="199" spans="1:13" x14ac:dyDescent="0.25">
      <c r="A199" t="s">
        <v>750</v>
      </c>
      <c r="B199" t="s">
        <v>751</v>
      </c>
      <c r="C199" t="s">
        <v>235</v>
      </c>
      <c r="D199" t="s">
        <v>739</v>
      </c>
      <c r="E199">
        <v>6</v>
      </c>
      <c r="F199">
        <v>327</v>
      </c>
      <c r="G199">
        <v>36</v>
      </c>
      <c r="H199">
        <v>2681</v>
      </c>
      <c r="I199">
        <v>0.270513803272458</v>
      </c>
      <c r="J199">
        <v>0.59042577931640905</v>
      </c>
      <c r="K199">
        <v>1.3664627930683</v>
      </c>
      <c r="L199" t="s">
        <v>1536</v>
      </c>
      <c r="M199" t="str">
        <f>HYPERLINK("../../3.KEGG_map/SCI_I-vs-NC-Down/rno05034.html","rno05034")</f>
        <v>rno05034</v>
      </c>
    </row>
    <row r="200" spans="1:13" x14ac:dyDescent="0.25">
      <c r="A200" t="s">
        <v>753</v>
      </c>
      <c r="B200" t="s">
        <v>754</v>
      </c>
      <c r="C200" t="s">
        <v>235</v>
      </c>
      <c r="D200" t="s">
        <v>755</v>
      </c>
      <c r="E200">
        <v>12</v>
      </c>
      <c r="F200">
        <v>327</v>
      </c>
      <c r="G200">
        <v>89</v>
      </c>
      <c r="H200">
        <v>2681</v>
      </c>
      <c r="I200">
        <v>0.40154525301733002</v>
      </c>
      <c r="J200">
        <v>0.73034680077789704</v>
      </c>
      <c r="K200">
        <v>1.1054530460777201</v>
      </c>
      <c r="L200" t="s">
        <v>1537</v>
      </c>
      <c r="M200" t="str">
        <f>HYPERLINK("../../3.KEGG_map/SCI_I-vs-NC-Down/rno05100.html","rno05100")</f>
        <v>rno05100</v>
      </c>
    </row>
    <row r="201" spans="1:13" x14ac:dyDescent="0.25">
      <c r="A201" t="s">
        <v>757</v>
      </c>
      <c r="B201" t="s">
        <v>758</v>
      </c>
      <c r="C201" t="s">
        <v>235</v>
      </c>
      <c r="D201" t="s">
        <v>755</v>
      </c>
      <c r="E201">
        <v>5</v>
      </c>
      <c r="F201">
        <v>327</v>
      </c>
      <c r="G201">
        <v>42</v>
      </c>
      <c r="H201">
        <v>2681</v>
      </c>
      <c r="I201">
        <v>0.59478803614059705</v>
      </c>
      <c r="J201">
        <v>0.85653099053219806</v>
      </c>
      <c r="K201">
        <v>0.97604485219164105</v>
      </c>
      <c r="L201" t="s">
        <v>1538</v>
      </c>
      <c r="M201" t="str">
        <f>HYPERLINK("../../3.KEGG_map/SCI_I-vs-NC-Down/rno05132.html","rno05132")</f>
        <v>rno05132</v>
      </c>
    </row>
    <row r="202" spans="1:13" x14ac:dyDescent="0.25">
      <c r="A202" t="s">
        <v>760</v>
      </c>
      <c r="B202" t="s">
        <v>761</v>
      </c>
      <c r="C202" t="s">
        <v>235</v>
      </c>
      <c r="D202" t="s">
        <v>755</v>
      </c>
      <c r="E202">
        <v>4</v>
      </c>
      <c r="F202">
        <v>327</v>
      </c>
      <c r="G202">
        <v>17</v>
      </c>
      <c r="H202">
        <v>2681</v>
      </c>
      <c r="I202">
        <v>0.14383670163025999</v>
      </c>
      <c r="J202">
        <v>0.44028063547799001</v>
      </c>
      <c r="K202">
        <v>1.9291239431552401</v>
      </c>
      <c r="L202" t="s">
        <v>1539</v>
      </c>
      <c r="M202" t="str">
        <f>HYPERLINK("../../3.KEGG_map/SCI_I-vs-NC-Down/rno05133.html","rno05133")</f>
        <v>rno05133</v>
      </c>
    </row>
    <row r="203" spans="1:13" x14ac:dyDescent="0.25">
      <c r="A203" t="s">
        <v>763</v>
      </c>
      <c r="B203" t="s">
        <v>764</v>
      </c>
      <c r="C203" t="s">
        <v>235</v>
      </c>
      <c r="D203" t="s">
        <v>755</v>
      </c>
      <c r="E203">
        <v>3</v>
      </c>
      <c r="F203">
        <v>327</v>
      </c>
      <c r="G203">
        <v>13</v>
      </c>
      <c r="H203">
        <v>2681</v>
      </c>
      <c r="I203">
        <v>0.204949645070443</v>
      </c>
      <c r="J203">
        <v>0.51639982272287099</v>
      </c>
      <c r="K203">
        <v>1.89202540578687</v>
      </c>
      <c r="L203" t="s">
        <v>1540</v>
      </c>
      <c r="M203" t="str">
        <f>HYPERLINK("../../3.KEGG_map/SCI_I-vs-NC-Down/rno05134.html","rno05134")</f>
        <v>rno05134</v>
      </c>
    </row>
    <row r="204" spans="1:13" x14ac:dyDescent="0.25">
      <c r="A204" t="s">
        <v>766</v>
      </c>
      <c r="B204" t="s">
        <v>767</v>
      </c>
      <c r="C204" t="s">
        <v>235</v>
      </c>
      <c r="D204" t="s">
        <v>768</v>
      </c>
      <c r="E204">
        <v>2</v>
      </c>
      <c r="F204">
        <v>327</v>
      </c>
      <c r="G204">
        <v>13</v>
      </c>
      <c r="H204">
        <v>2681</v>
      </c>
      <c r="I204">
        <v>0.48315476064184398</v>
      </c>
      <c r="J204">
        <v>0.79262643739282901</v>
      </c>
      <c r="K204">
        <v>1.26135027052458</v>
      </c>
      <c r="L204" t="s">
        <v>1466</v>
      </c>
      <c r="M204" t="str">
        <f>HYPERLINK("../../3.KEGG_map/SCI_I-vs-NC-Down/rno05140.html","rno05140")</f>
        <v>rno05140</v>
      </c>
    </row>
    <row r="205" spans="1:13" x14ac:dyDescent="0.25">
      <c r="A205" t="s">
        <v>770</v>
      </c>
      <c r="B205" t="s">
        <v>771</v>
      </c>
      <c r="C205" t="s">
        <v>235</v>
      </c>
      <c r="D205" t="s">
        <v>768</v>
      </c>
      <c r="E205">
        <v>12</v>
      </c>
      <c r="F205">
        <v>327</v>
      </c>
      <c r="G205">
        <v>52</v>
      </c>
      <c r="H205">
        <v>2681</v>
      </c>
      <c r="I205">
        <v>1.9561908521993701E-2</v>
      </c>
      <c r="J205">
        <v>0.151586795027955</v>
      </c>
      <c r="K205">
        <v>1.89202540578687</v>
      </c>
      <c r="L205" t="s">
        <v>1541</v>
      </c>
      <c r="M205" t="str">
        <f>HYPERLINK("../../3.KEGG_map/SCI_I-vs-NC-Down/rno05142.html","rno05142")</f>
        <v>rno05142</v>
      </c>
    </row>
    <row r="206" spans="1:13" x14ac:dyDescent="0.25">
      <c r="A206" t="s">
        <v>779</v>
      </c>
      <c r="B206" t="s">
        <v>780</v>
      </c>
      <c r="C206" t="s">
        <v>235</v>
      </c>
      <c r="D206" t="s">
        <v>768</v>
      </c>
      <c r="E206">
        <v>8</v>
      </c>
      <c r="F206">
        <v>327</v>
      </c>
      <c r="G206">
        <v>34</v>
      </c>
      <c r="H206">
        <v>2681</v>
      </c>
      <c r="I206">
        <v>4.7171037525545897E-2</v>
      </c>
      <c r="J206">
        <v>0.25191341316834098</v>
      </c>
      <c r="K206">
        <v>1.9291239431552401</v>
      </c>
      <c r="L206" t="s">
        <v>1542</v>
      </c>
      <c r="M206" t="str">
        <f>HYPERLINK("../../3.KEGG_map/SCI_I-vs-NC-Down/rno05145.html","rno05145")</f>
        <v>rno05145</v>
      </c>
    </row>
    <row r="207" spans="1:13" x14ac:dyDescent="0.25">
      <c r="A207" t="s">
        <v>782</v>
      </c>
      <c r="B207" t="s">
        <v>783</v>
      </c>
      <c r="C207" t="s">
        <v>235</v>
      </c>
      <c r="D207" t="s">
        <v>768</v>
      </c>
      <c r="E207">
        <v>9</v>
      </c>
      <c r="F207">
        <v>327</v>
      </c>
      <c r="G207">
        <v>79</v>
      </c>
      <c r="H207">
        <v>2681</v>
      </c>
      <c r="I207">
        <v>0.640540465354834</v>
      </c>
      <c r="J207">
        <v>0.88295690495813095</v>
      </c>
      <c r="K207">
        <v>0.93403785855301402</v>
      </c>
      <c r="L207" t="s">
        <v>1543</v>
      </c>
      <c r="M207" t="str">
        <f>HYPERLINK("../../3.KEGG_map/SCI_I-vs-NC-Down/rno05146.html","rno05146")</f>
        <v>rno05146</v>
      </c>
    </row>
    <row r="208" spans="1:13" x14ac:dyDescent="0.25">
      <c r="A208" t="s">
        <v>788</v>
      </c>
      <c r="B208" t="s">
        <v>789</v>
      </c>
      <c r="C208" t="s">
        <v>235</v>
      </c>
      <c r="D208" t="s">
        <v>755</v>
      </c>
      <c r="E208">
        <v>14</v>
      </c>
      <c r="F208">
        <v>327</v>
      </c>
      <c r="G208">
        <v>81</v>
      </c>
      <c r="H208">
        <v>2681</v>
      </c>
      <c r="I208">
        <v>0.109091424418432</v>
      </c>
      <c r="J208">
        <v>0.39718503448218501</v>
      </c>
      <c r="K208">
        <v>1.4170725261449</v>
      </c>
      <c r="L208" t="s">
        <v>1544</v>
      </c>
      <c r="M208" t="str">
        <f>HYPERLINK("../../3.KEGG_map/SCI_I-vs-NC-Down/rno05152.html","rno05152")</f>
        <v>rno05152</v>
      </c>
    </row>
    <row r="209" spans="1:13" x14ac:dyDescent="0.25">
      <c r="A209" t="s">
        <v>791</v>
      </c>
      <c r="B209" t="s">
        <v>792</v>
      </c>
      <c r="C209" t="s">
        <v>235</v>
      </c>
      <c r="D209" t="s">
        <v>793</v>
      </c>
      <c r="E209">
        <v>12</v>
      </c>
      <c r="F209">
        <v>327</v>
      </c>
      <c r="G209">
        <v>59</v>
      </c>
      <c r="H209">
        <v>2681</v>
      </c>
      <c r="I209">
        <v>4.8596945245471201E-2</v>
      </c>
      <c r="J209">
        <v>0.254121526179443</v>
      </c>
      <c r="K209">
        <v>1.66754781526979</v>
      </c>
      <c r="L209" t="s">
        <v>1545</v>
      </c>
      <c r="M209" t="str">
        <f>HYPERLINK("../../3.KEGG_map/SCI_I-vs-NC-Down/rno05160.html","rno05160")</f>
        <v>rno05160</v>
      </c>
    </row>
    <row r="210" spans="1:13" x14ac:dyDescent="0.25">
      <c r="A210" t="s">
        <v>795</v>
      </c>
      <c r="B210" t="s">
        <v>796</v>
      </c>
      <c r="C210" t="s">
        <v>235</v>
      </c>
      <c r="D210" t="s">
        <v>793</v>
      </c>
      <c r="E210">
        <v>11</v>
      </c>
      <c r="F210">
        <v>327</v>
      </c>
      <c r="G210">
        <v>79</v>
      </c>
      <c r="H210">
        <v>2681</v>
      </c>
      <c r="I210">
        <v>0.36726994835175097</v>
      </c>
      <c r="J210">
        <v>0.71300731104978399</v>
      </c>
      <c r="K210">
        <v>1.1416018271203501</v>
      </c>
      <c r="L210" t="s">
        <v>1546</v>
      </c>
      <c r="M210" t="str">
        <f>HYPERLINK("../../3.KEGG_map/SCI_I-vs-NC-Down/rno05161.html","rno05161")</f>
        <v>rno05161</v>
      </c>
    </row>
    <row r="211" spans="1:13" x14ac:dyDescent="0.25">
      <c r="A211" t="s">
        <v>798</v>
      </c>
      <c r="B211" t="s">
        <v>799</v>
      </c>
      <c r="C211" t="s">
        <v>235</v>
      </c>
      <c r="D211" t="s">
        <v>793</v>
      </c>
      <c r="E211">
        <v>8</v>
      </c>
      <c r="F211">
        <v>327</v>
      </c>
      <c r="G211">
        <v>28</v>
      </c>
      <c r="H211">
        <v>2681</v>
      </c>
      <c r="I211">
        <v>1.54430700504546E-2</v>
      </c>
      <c r="J211">
        <v>0.151586795027955</v>
      </c>
      <c r="K211">
        <v>2.34250764525994</v>
      </c>
      <c r="L211" t="s">
        <v>1547</v>
      </c>
      <c r="M211" t="str">
        <f>HYPERLINK("../../3.KEGG_map/SCI_I-vs-NC-Down/rno05162.html","rno05162")</f>
        <v>rno05162</v>
      </c>
    </row>
    <row r="212" spans="1:13" x14ac:dyDescent="0.25">
      <c r="A212" t="s">
        <v>801</v>
      </c>
      <c r="B212" t="s">
        <v>802</v>
      </c>
      <c r="C212" t="s">
        <v>235</v>
      </c>
      <c r="D212" t="s">
        <v>793</v>
      </c>
      <c r="E212">
        <v>7</v>
      </c>
      <c r="F212">
        <v>327</v>
      </c>
      <c r="G212">
        <v>67</v>
      </c>
      <c r="H212">
        <v>2681</v>
      </c>
      <c r="I212">
        <v>0.72689710751196901</v>
      </c>
      <c r="J212">
        <v>0.90539337533675601</v>
      </c>
      <c r="K212">
        <v>0.85658861655027596</v>
      </c>
      <c r="L212" t="s">
        <v>1464</v>
      </c>
      <c r="M212" t="str">
        <f>HYPERLINK("../../3.KEGG_map/SCI_I-vs-NC-Down/rno05164.html","rno05164")</f>
        <v>rno05164</v>
      </c>
    </row>
    <row r="213" spans="1:13" x14ac:dyDescent="0.25">
      <c r="A213" t="s">
        <v>804</v>
      </c>
      <c r="B213" t="s">
        <v>805</v>
      </c>
      <c r="C213" t="s">
        <v>235</v>
      </c>
      <c r="D213" t="s">
        <v>793</v>
      </c>
      <c r="E213">
        <v>20</v>
      </c>
      <c r="F213">
        <v>327</v>
      </c>
      <c r="G213">
        <v>188</v>
      </c>
      <c r="H213">
        <v>2681</v>
      </c>
      <c r="I213">
        <v>0.78331776179144297</v>
      </c>
      <c r="J213">
        <v>0.90631516205746299</v>
      </c>
      <c r="K213">
        <v>0.87221029344784995</v>
      </c>
      <c r="L213" t="s">
        <v>1548</v>
      </c>
      <c r="M213" t="str">
        <f>HYPERLINK("../../3.KEGG_map/SCI_I-vs-NC-Down/rno05165.html","rno05165")</f>
        <v>rno05165</v>
      </c>
    </row>
    <row r="214" spans="1:13" x14ac:dyDescent="0.25">
      <c r="A214" t="s">
        <v>807</v>
      </c>
      <c r="B214" t="s">
        <v>808</v>
      </c>
      <c r="C214" t="s">
        <v>235</v>
      </c>
      <c r="D214" t="s">
        <v>793</v>
      </c>
      <c r="E214">
        <v>21</v>
      </c>
      <c r="F214">
        <v>327</v>
      </c>
      <c r="G214">
        <v>143</v>
      </c>
      <c r="H214">
        <v>2681</v>
      </c>
      <c r="I214">
        <v>0.20779435097613499</v>
      </c>
      <c r="J214">
        <v>0.51639982272287099</v>
      </c>
      <c r="K214">
        <v>1.20401616731892</v>
      </c>
      <c r="L214" t="s">
        <v>1549</v>
      </c>
      <c r="M214" t="str">
        <f>HYPERLINK("../../3.KEGG_map/SCI_I-vs-NC-Down/rno05166.html","rno05166")</f>
        <v>rno05166</v>
      </c>
    </row>
    <row r="215" spans="1:13" x14ac:dyDescent="0.25">
      <c r="A215" t="s">
        <v>810</v>
      </c>
      <c r="B215" t="s">
        <v>811</v>
      </c>
      <c r="C215" t="s">
        <v>235</v>
      </c>
      <c r="D215" t="s">
        <v>793</v>
      </c>
      <c r="E215">
        <v>11</v>
      </c>
      <c r="F215">
        <v>327</v>
      </c>
      <c r="G215">
        <v>98</v>
      </c>
      <c r="H215">
        <v>2681</v>
      </c>
      <c r="I215">
        <v>0.665209241622708</v>
      </c>
      <c r="J215">
        <v>0.89556004417750601</v>
      </c>
      <c r="K215">
        <v>0.92027086063783303</v>
      </c>
      <c r="L215" t="s">
        <v>1550</v>
      </c>
      <c r="M215" t="str">
        <f>HYPERLINK("../../3.KEGG_map/SCI_I-vs-NC-Down/rno05167.html","rno05167")</f>
        <v>rno05167</v>
      </c>
    </row>
    <row r="216" spans="1:13" x14ac:dyDescent="0.25">
      <c r="A216" t="s">
        <v>813</v>
      </c>
      <c r="B216" t="s">
        <v>814</v>
      </c>
      <c r="C216" t="s">
        <v>235</v>
      </c>
      <c r="D216" t="s">
        <v>793</v>
      </c>
      <c r="E216">
        <v>6</v>
      </c>
      <c r="F216">
        <v>327</v>
      </c>
      <c r="G216">
        <v>64</v>
      </c>
      <c r="H216">
        <v>2681</v>
      </c>
      <c r="I216">
        <v>0.81136493402071996</v>
      </c>
      <c r="J216">
        <v>0.91781566466534104</v>
      </c>
      <c r="K216">
        <v>0.76863532110091703</v>
      </c>
      <c r="L216" t="s">
        <v>1551</v>
      </c>
      <c r="M216" t="str">
        <f>HYPERLINK("../../3.KEGG_map/SCI_I-vs-NC-Down/rno05168.html","rno05168")</f>
        <v>rno05168</v>
      </c>
    </row>
    <row r="217" spans="1:13" x14ac:dyDescent="0.25">
      <c r="A217" t="s">
        <v>816</v>
      </c>
      <c r="B217" t="s">
        <v>817</v>
      </c>
      <c r="C217" t="s">
        <v>235</v>
      </c>
      <c r="D217" t="s">
        <v>793</v>
      </c>
      <c r="E217">
        <v>9</v>
      </c>
      <c r="F217">
        <v>327</v>
      </c>
      <c r="G217">
        <v>93</v>
      </c>
      <c r="H217">
        <v>2681</v>
      </c>
      <c r="I217">
        <v>0.81908648958181796</v>
      </c>
      <c r="J217">
        <v>0.91781566466534104</v>
      </c>
      <c r="K217">
        <v>0.79343000887836601</v>
      </c>
      <c r="L217" t="s">
        <v>1552</v>
      </c>
      <c r="M217" t="str">
        <f>HYPERLINK("../../3.KEGG_map/SCI_I-vs-NC-Down/rno05169.html","rno05169")</f>
        <v>rno05169</v>
      </c>
    </row>
    <row r="218" spans="1:13" x14ac:dyDescent="0.25">
      <c r="A218" t="s">
        <v>819</v>
      </c>
      <c r="B218" t="s">
        <v>820</v>
      </c>
      <c r="C218" t="s">
        <v>235</v>
      </c>
      <c r="D218" t="s">
        <v>821</v>
      </c>
      <c r="E218">
        <v>39</v>
      </c>
      <c r="F218">
        <v>327</v>
      </c>
      <c r="G218">
        <v>258</v>
      </c>
      <c r="H218">
        <v>2681</v>
      </c>
      <c r="I218">
        <v>8.2286770442842494E-2</v>
      </c>
      <c r="J218">
        <v>0.34099916547058901</v>
      </c>
      <c r="K218">
        <v>1.23934997510846</v>
      </c>
      <c r="L218" t="s">
        <v>1553</v>
      </c>
      <c r="M218" t="str">
        <f>HYPERLINK("../../3.KEGG_map/SCI_I-vs-NC-Down/rno05200.html","rno05200")</f>
        <v>rno05200</v>
      </c>
    </row>
    <row r="219" spans="1:13" x14ac:dyDescent="0.25">
      <c r="A219" t="s">
        <v>823</v>
      </c>
      <c r="B219" t="s">
        <v>824</v>
      </c>
      <c r="C219" t="s">
        <v>235</v>
      </c>
      <c r="D219" t="s">
        <v>821</v>
      </c>
      <c r="E219">
        <v>15</v>
      </c>
      <c r="F219">
        <v>327</v>
      </c>
      <c r="G219">
        <v>93</v>
      </c>
      <c r="H219">
        <v>2681</v>
      </c>
      <c r="I219">
        <v>0.15409821992381501</v>
      </c>
      <c r="J219">
        <v>0.449751781405552</v>
      </c>
      <c r="K219">
        <v>1.32238334813061</v>
      </c>
      <c r="L219" t="s">
        <v>1554</v>
      </c>
      <c r="M219" t="str">
        <f>HYPERLINK("../../3.KEGG_map/SCI_I-vs-NC-Down/rno05202.html","rno05202")</f>
        <v>rno05202</v>
      </c>
    </row>
    <row r="220" spans="1:13" x14ac:dyDescent="0.25">
      <c r="A220" t="s">
        <v>826</v>
      </c>
      <c r="B220" t="s">
        <v>827</v>
      </c>
      <c r="C220" t="s">
        <v>235</v>
      </c>
      <c r="D220" t="s">
        <v>821</v>
      </c>
      <c r="E220">
        <v>7</v>
      </c>
      <c r="F220">
        <v>327</v>
      </c>
      <c r="G220">
        <v>84</v>
      </c>
      <c r="H220">
        <v>2681</v>
      </c>
      <c r="I220">
        <v>0.903434402299232</v>
      </c>
      <c r="J220">
        <v>0.95451181741574198</v>
      </c>
      <c r="K220">
        <v>0.68323139653414899</v>
      </c>
      <c r="L220" t="s">
        <v>1555</v>
      </c>
      <c r="M220" t="str">
        <f>HYPERLINK("../../3.KEGG_map/SCI_I-vs-NC-Down/rno05203.html","rno05203")</f>
        <v>rno05203</v>
      </c>
    </row>
    <row r="221" spans="1:13" x14ac:dyDescent="0.25">
      <c r="A221" t="s">
        <v>832</v>
      </c>
      <c r="B221" t="s">
        <v>833</v>
      </c>
      <c r="C221" t="s">
        <v>235</v>
      </c>
      <c r="D221" t="s">
        <v>821</v>
      </c>
      <c r="E221">
        <v>25</v>
      </c>
      <c r="F221">
        <v>327</v>
      </c>
      <c r="G221">
        <v>166</v>
      </c>
      <c r="H221">
        <v>2681</v>
      </c>
      <c r="I221">
        <v>0.14905254901050799</v>
      </c>
      <c r="J221">
        <v>0.44337252576682201</v>
      </c>
      <c r="K221">
        <v>1.2347555359050899</v>
      </c>
      <c r="L221" t="s">
        <v>1556</v>
      </c>
      <c r="M221" t="str">
        <f>HYPERLINK("../../3.KEGG_map/SCI_I-vs-NC-Down/rno05205.html","rno05205")</f>
        <v>rno05205</v>
      </c>
    </row>
    <row r="222" spans="1:13" x14ac:dyDescent="0.25">
      <c r="A222" t="s">
        <v>835</v>
      </c>
      <c r="B222" t="s">
        <v>836</v>
      </c>
      <c r="C222" t="s">
        <v>235</v>
      </c>
      <c r="D222" t="s">
        <v>821</v>
      </c>
      <c r="E222">
        <v>11</v>
      </c>
      <c r="F222">
        <v>327</v>
      </c>
      <c r="G222">
        <v>82</v>
      </c>
      <c r="H222">
        <v>2681</v>
      </c>
      <c r="I222">
        <v>0.41672319033576999</v>
      </c>
      <c r="J222">
        <v>0.74667604873905502</v>
      </c>
      <c r="K222">
        <v>1.09983590661595</v>
      </c>
      <c r="L222" t="s">
        <v>1557</v>
      </c>
      <c r="M222" t="str">
        <f>HYPERLINK("../../3.KEGG_map/SCI_I-vs-NC-Down/rno05206.html","rno05206")</f>
        <v>rno05206</v>
      </c>
    </row>
    <row r="223" spans="1:13" x14ac:dyDescent="0.25">
      <c r="A223" t="s">
        <v>838</v>
      </c>
      <c r="B223" t="s">
        <v>839</v>
      </c>
      <c r="C223" t="s">
        <v>235</v>
      </c>
      <c r="D223" t="s">
        <v>840</v>
      </c>
      <c r="E223">
        <v>16</v>
      </c>
      <c r="F223">
        <v>327</v>
      </c>
      <c r="G223">
        <v>61</v>
      </c>
      <c r="H223">
        <v>2681</v>
      </c>
      <c r="I223">
        <v>1.90685457731797E-3</v>
      </c>
      <c r="J223">
        <v>3.9885041575567499E-2</v>
      </c>
      <c r="K223">
        <v>2.1504988218779801</v>
      </c>
      <c r="L223" t="s">
        <v>1558</v>
      </c>
      <c r="M223" t="str">
        <f>HYPERLINK("../../3.KEGG_map/SCI_I-vs-NC-Down/rno05210.html","rno05210")</f>
        <v>rno05210</v>
      </c>
    </row>
    <row r="224" spans="1:13" x14ac:dyDescent="0.25">
      <c r="A224" t="s">
        <v>842</v>
      </c>
      <c r="B224" t="s">
        <v>843</v>
      </c>
      <c r="C224" t="s">
        <v>235</v>
      </c>
      <c r="D224" t="s">
        <v>840</v>
      </c>
      <c r="E224">
        <v>9</v>
      </c>
      <c r="F224">
        <v>327</v>
      </c>
      <c r="G224">
        <v>52</v>
      </c>
      <c r="H224">
        <v>2681</v>
      </c>
      <c r="I224">
        <v>0.17523885322305699</v>
      </c>
      <c r="J224">
        <v>0.47809730607594803</v>
      </c>
      <c r="K224">
        <v>1.41901905434016</v>
      </c>
      <c r="L224" t="s">
        <v>1559</v>
      </c>
      <c r="M224" t="str">
        <f>HYPERLINK("../../3.KEGG_map/SCI_I-vs-NC-Down/rno05211.html","rno05211")</f>
        <v>rno05211</v>
      </c>
    </row>
    <row r="225" spans="1:13" x14ac:dyDescent="0.25">
      <c r="A225" t="s">
        <v>845</v>
      </c>
      <c r="B225" t="s">
        <v>846</v>
      </c>
      <c r="C225" t="s">
        <v>235</v>
      </c>
      <c r="D225" t="s">
        <v>840</v>
      </c>
      <c r="E225">
        <v>14</v>
      </c>
      <c r="F225">
        <v>327</v>
      </c>
      <c r="G225">
        <v>61</v>
      </c>
      <c r="H225">
        <v>2681</v>
      </c>
      <c r="I225">
        <v>1.27228194968791E-2</v>
      </c>
      <c r="J225">
        <v>0.151586795027955</v>
      </c>
      <c r="K225">
        <v>1.88168646914323</v>
      </c>
      <c r="L225" t="s">
        <v>1560</v>
      </c>
      <c r="M225" t="str">
        <f>HYPERLINK("../../3.KEGG_map/SCI_I-vs-NC-Down/rno05212.html","rno05212")</f>
        <v>rno05212</v>
      </c>
    </row>
    <row r="226" spans="1:13" x14ac:dyDescent="0.25">
      <c r="A226" t="s">
        <v>848</v>
      </c>
      <c r="B226" t="s">
        <v>849</v>
      </c>
      <c r="C226" t="s">
        <v>235</v>
      </c>
      <c r="D226" t="s">
        <v>840</v>
      </c>
      <c r="E226">
        <v>9</v>
      </c>
      <c r="F226">
        <v>327</v>
      </c>
      <c r="G226">
        <v>43</v>
      </c>
      <c r="H226">
        <v>2681</v>
      </c>
      <c r="I226">
        <v>7.0205385335598905E-2</v>
      </c>
      <c r="J226">
        <v>0.30381985722819499</v>
      </c>
      <c r="K226">
        <v>1.71602304245786</v>
      </c>
      <c r="L226" t="s">
        <v>1561</v>
      </c>
      <c r="M226" t="str">
        <f>HYPERLINK("../../3.KEGG_map/SCI_I-vs-NC-Down/rno05213.html","rno05213")</f>
        <v>rno05213</v>
      </c>
    </row>
    <row r="227" spans="1:13" x14ac:dyDescent="0.25">
      <c r="A227" t="s">
        <v>851</v>
      </c>
      <c r="B227" t="s">
        <v>852</v>
      </c>
      <c r="C227" t="s">
        <v>235</v>
      </c>
      <c r="D227" t="s">
        <v>840</v>
      </c>
      <c r="E227">
        <v>10</v>
      </c>
      <c r="F227">
        <v>327</v>
      </c>
      <c r="G227">
        <v>47</v>
      </c>
      <c r="H227">
        <v>2681</v>
      </c>
      <c r="I227">
        <v>5.2656079004349397E-2</v>
      </c>
      <c r="J227">
        <v>0.25915050647238602</v>
      </c>
      <c r="K227">
        <v>1.7444205868956999</v>
      </c>
      <c r="L227" t="s">
        <v>1562</v>
      </c>
      <c r="M227" t="str">
        <f>HYPERLINK("../../3.KEGG_map/SCI_I-vs-NC-Down/rno05214.html","rno05214")</f>
        <v>rno05214</v>
      </c>
    </row>
    <row r="228" spans="1:13" x14ac:dyDescent="0.25">
      <c r="A228" t="s">
        <v>854</v>
      </c>
      <c r="B228" t="s">
        <v>855</v>
      </c>
      <c r="C228" t="s">
        <v>235</v>
      </c>
      <c r="D228" t="s">
        <v>840</v>
      </c>
      <c r="E228">
        <v>11</v>
      </c>
      <c r="F228">
        <v>327</v>
      </c>
      <c r="G228">
        <v>62</v>
      </c>
      <c r="H228">
        <v>2681</v>
      </c>
      <c r="I228">
        <v>0.12637580569717299</v>
      </c>
      <c r="J228">
        <v>0.408011162691583</v>
      </c>
      <c r="K228">
        <v>1.45462168294367</v>
      </c>
      <c r="L228" t="s">
        <v>1563</v>
      </c>
      <c r="M228" t="str">
        <f>HYPERLINK("../../3.KEGG_map/SCI_I-vs-NC-Down/rno05215.html","rno05215")</f>
        <v>rno05215</v>
      </c>
    </row>
    <row r="229" spans="1:13" x14ac:dyDescent="0.25">
      <c r="A229" t="s">
        <v>857</v>
      </c>
      <c r="B229" t="s">
        <v>858</v>
      </c>
      <c r="C229" t="s">
        <v>235</v>
      </c>
      <c r="D229" t="s">
        <v>840</v>
      </c>
      <c r="E229">
        <v>2</v>
      </c>
      <c r="F229">
        <v>327</v>
      </c>
      <c r="G229">
        <v>20</v>
      </c>
      <c r="H229">
        <v>2681</v>
      </c>
      <c r="I229">
        <v>0.72088922014013601</v>
      </c>
      <c r="J229">
        <v>0.90539337533675601</v>
      </c>
      <c r="K229">
        <v>0.81987767584097904</v>
      </c>
      <c r="L229" t="s">
        <v>1564</v>
      </c>
      <c r="M229" t="str">
        <f>HYPERLINK("../../3.KEGG_map/SCI_I-vs-NC-Down/rno05216.html","rno05216")</f>
        <v>rno05216</v>
      </c>
    </row>
    <row r="230" spans="1:13" x14ac:dyDescent="0.25">
      <c r="A230" t="s">
        <v>860</v>
      </c>
      <c r="B230" t="s">
        <v>861</v>
      </c>
      <c r="C230" t="s">
        <v>235</v>
      </c>
      <c r="D230" t="s">
        <v>840</v>
      </c>
      <c r="E230">
        <v>1</v>
      </c>
      <c r="F230">
        <v>327</v>
      </c>
      <c r="G230">
        <v>9</v>
      </c>
      <c r="H230">
        <v>2681</v>
      </c>
      <c r="I230">
        <v>0.69041858666620004</v>
      </c>
      <c r="J230">
        <v>0.90206688735895202</v>
      </c>
      <c r="K230">
        <v>0.91097519537886495</v>
      </c>
      <c r="L230" t="s">
        <v>1565</v>
      </c>
      <c r="M230" t="str">
        <f>HYPERLINK("../../3.KEGG_map/SCI_I-vs-NC-Down/rno05217.html","rno05217")</f>
        <v>rno05217</v>
      </c>
    </row>
    <row r="231" spans="1:13" x14ac:dyDescent="0.25">
      <c r="A231" t="s">
        <v>863</v>
      </c>
      <c r="B231" t="s">
        <v>864</v>
      </c>
      <c r="C231" t="s">
        <v>235</v>
      </c>
      <c r="D231" t="s">
        <v>840</v>
      </c>
      <c r="E231">
        <v>8</v>
      </c>
      <c r="F231">
        <v>327</v>
      </c>
      <c r="G231">
        <v>38</v>
      </c>
      <c r="H231">
        <v>2681</v>
      </c>
      <c r="I231">
        <v>8.2872307146238694E-2</v>
      </c>
      <c r="J231">
        <v>0.34099916547058901</v>
      </c>
      <c r="K231">
        <v>1.72605826492838</v>
      </c>
      <c r="L231" t="s">
        <v>1566</v>
      </c>
      <c r="M231" t="str">
        <f>HYPERLINK("../../3.KEGG_map/SCI_I-vs-NC-Down/rno05218.html","rno05218")</f>
        <v>rno05218</v>
      </c>
    </row>
    <row r="232" spans="1:13" x14ac:dyDescent="0.25">
      <c r="A232" t="s">
        <v>866</v>
      </c>
      <c r="B232" t="s">
        <v>867</v>
      </c>
      <c r="C232" t="s">
        <v>235</v>
      </c>
      <c r="D232" t="s">
        <v>840</v>
      </c>
      <c r="E232">
        <v>4</v>
      </c>
      <c r="F232">
        <v>327</v>
      </c>
      <c r="G232">
        <v>27</v>
      </c>
      <c r="H232">
        <v>2681</v>
      </c>
      <c r="I232">
        <v>0.42242230645795098</v>
      </c>
      <c r="J232">
        <v>0.74667604873905502</v>
      </c>
      <c r="K232">
        <v>1.21463359383849</v>
      </c>
      <c r="L232" t="s">
        <v>1567</v>
      </c>
      <c r="M232" t="str">
        <f>HYPERLINK("../../3.KEGG_map/SCI_I-vs-NC-Down/rno05219.html","rno05219")</f>
        <v>rno05219</v>
      </c>
    </row>
    <row r="233" spans="1:13" x14ac:dyDescent="0.25">
      <c r="A233" t="s">
        <v>869</v>
      </c>
      <c r="B233" t="s">
        <v>870</v>
      </c>
      <c r="C233" t="s">
        <v>235</v>
      </c>
      <c r="D233" t="s">
        <v>840</v>
      </c>
      <c r="E233">
        <v>12</v>
      </c>
      <c r="F233">
        <v>327</v>
      </c>
      <c r="G233">
        <v>51</v>
      </c>
      <c r="H233">
        <v>2681</v>
      </c>
      <c r="I233">
        <v>1.6832861038230899E-2</v>
      </c>
      <c r="J233">
        <v>0.151586795027955</v>
      </c>
      <c r="K233">
        <v>1.9291239431552401</v>
      </c>
      <c r="L233" t="s">
        <v>1568</v>
      </c>
      <c r="M233" t="str">
        <f>HYPERLINK("../../3.KEGG_map/SCI_I-vs-NC-Down/rno05220.html","rno05220")</f>
        <v>rno05220</v>
      </c>
    </row>
    <row r="234" spans="1:13" x14ac:dyDescent="0.25">
      <c r="A234" t="s">
        <v>872</v>
      </c>
      <c r="B234" t="s">
        <v>873</v>
      </c>
      <c r="C234" t="s">
        <v>235</v>
      </c>
      <c r="D234" t="s">
        <v>840</v>
      </c>
      <c r="E234">
        <v>9</v>
      </c>
      <c r="F234">
        <v>327</v>
      </c>
      <c r="G234">
        <v>36</v>
      </c>
      <c r="H234">
        <v>2681</v>
      </c>
      <c r="I234">
        <v>2.50749698820294E-2</v>
      </c>
      <c r="J234">
        <v>0.17482826223303799</v>
      </c>
      <c r="K234">
        <v>2.0496941896024499</v>
      </c>
      <c r="L234" t="s">
        <v>1569</v>
      </c>
      <c r="M234" t="str">
        <f>HYPERLINK("../../3.KEGG_map/SCI_I-vs-NC-Down/rno05221.html","rno05221")</f>
        <v>rno05221</v>
      </c>
    </row>
    <row r="235" spans="1:13" x14ac:dyDescent="0.25">
      <c r="A235" t="s">
        <v>875</v>
      </c>
      <c r="B235" t="s">
        <v>876</v>
      </c>
      <c r="C235" t="s">
        <v>235</v>
      </c>
      <c r="D235" t="s">
        <v>840</v>
      </c>
      <c r="E235">
        <v>9</v>
      </c>
      <c r="F235">
        <v>327</v>
      </c>
      <c r="G235">
        <v>62</v>
      </c>
      <c r="H235">
        <v>2681</v>
      </c>
      <c r="I235">
        <v>0.34134775690584801</v>
      </c>
      <c r="J235">
        <v>0.68542629586694304</v>
      </c>
      <c r="K235">
        <v>1.19014501331755</v>
      </c>
      <c r="L235" t="s">
        <v>1570</v>
      </c>
      <c r="M235" t="str">
        <f>HYPERLINK("../../3.KEGG_map/SCI_I-vs-NC-Down/rno05222.html","rno05222")</f>
        <v>rno05222</v>
      </c>
    </row>
    <row r="236" spans="1:13" x14ac:dyDescent="0.25">
      <c r="A236" t="s">
        <v>878</v>
      </c>
      <c r="B236" t="s">
        <v>879</v>
      </c>
      <c r="C236" t="s">
        <v>235</v>
      </c>
      <c r="D236" t="s">
        <v>840</v>
      </c>
      <c r="E236">
        <v>10</v>
      </c>
      <c r="F236">
        <v>327</v>
      </c>
      <c r="G236">
        <v>47</v>
      </c>
      <c r="H236">
        <v>2681</v>
      </c>
      <c r="I236">
        <v>5.2656079004349397E-2</v>
      </c>
      <c r="J236">
        <v>0.25915050647238602</v>
      </c>
      <c r="K236">
        <v>1.7444205868956999</v>
      </c>
      <c r="L236" t="s">
        <v>1571</v>
      </c>
      <c r="M236" t="str">
        <f>HYPERLINK("../../3.KEGG_map/SCI_I-vs-NC-Down/rno05223.html","rno05223")</f>
        <v>rno05223</v>
      </c>
    </row>
    <row r="237" spans="1:13" x14ac:dyDescent="0.25">
      <c r="A237" t="s">
        <v>881</v>
      </c>
      <c r="B237" t="s">
        <v>882</v>
      </c>
      <c r="C237" t="s">
        <v>235</v>
      </c>
      <c r="D237" t="s">
        <v>840</v>
      </c>
      <c r="E237">
        <v>13</v>
      </c>
      <c r="F237">
        <v>327</v>
      </c>
      <c r="G237">
        <v>57</v>
      </c>
      <c r="H237">
        <v>2681</v>
      </c>
      <c r="I237">
        <v>1.6951340774877598E-2</v>
      </c>
      <c r="J237">
        <v>0.151586795027955</v>
      </c>
      <c r="K237">
        <v>1.8698964536724101</v>
      </c>
      <c r="L237" t="s">
        <v>1572</v>
      </c>
      <c r="M237" t="str">
        <f>HYPERLINK("../../3.KEGG_map/SCI_I-vs-NC-Down/rno05224.html","rno05224")</f>
        <v>rno05224</v>
      </c>
    </row>
    <row r="238" spans="1:13" x14ac:dyDescent="0.25">
      <c r="A238" t="s">
        <v>884</v>
      </c>
      <c r="B238" t="s">
        <v>885</v>
      </c>
      <c r="C238" t="s">
        <v>235</v>
      </c>
      <c r="D238" t="s">
        <v>840</v>
      </c>
      <c r="E238">
        <v>15</v>
      </c>
      <c r="F238">
        <v>327</v>
      </c>
      <c r="G238">
        <v>102</v>
      </c>
      <c r="H238">
        <v>2681</v>
      </c>
      <c r="I238">
        <v>0.25571544768362298</v>
      </c>
      <c r="J238">
        <v>0.57587615062309405</v>
      </c>
      <c r="K238">
        <v>1.20570246447203</v>
      </c>
      <c r="L238" t="s">
        <v>1573</v>
      </c>
      <c r="M238" t="str">
        <f>HYPERLINK("../../3.KEGG_map/SCI_I-vs-NC-Down/rno05225.html","rno05225")</f>
        <v>rno05225</v>
      </c>
    </row>
    <row r="239" spans="1:13" x14ac:dyDescent="0.25">
      <c r="A239" t="s">
        <v>887</v>
      </c>
      <c r="B239" t="s">
        <v>888</v>
      </c>
      <c r="C239" t="s">
        <v>235</v>
      </c>
      <c r="D239" t="s">
        <v>840</v>
      </c>
      <c r="E239">
        <v>16</v>
      </c>
      <c r="F239">
        <v>327</v>
      </c>
      <c r="G239">
        <v>76</v>
      </c>
      <c r="H239">
        <v>2681</v>
      </c>
      <c r="I239">
        <v>1.8275313022541401E-2</v>
      </c>
      <c r="J239">
        <v>0.151586795027955</v>
      </c>
      <c r="K239">
        <v>1.72605826492838</v>
      </c>
      <c r="L239" t="s">
        <v>1574</v>
      </c>
      <c r="M239" t="str">
        <f>HYPERLINK("../../3.KEGG_map/SCI_I-vs-NC-Down/rno05226.html","rno05226")</f>
        <v>rno05226</v>
      </c>
    </row>
    <row r="240" spans="1:13" x14ac:dyDescent="0.25">
      <c r="A240" t="s">
        <v>890</v>
      </c>
      <c r="B240" t="s">
        <v>891</v>
      </c>
      <c r="C240" t="s">
        <v>235</v>
      </c>
      <c r="D240" t="s">
        <v>821</v>
      </c>
      <c r="E240">
        <v>9</v>
      </c>
      <c r="F240">
        <v>327</v>
      </c>
      <c r="G240">
        <v>34</v>
      </c>
      <c r="H240">
        <v>2681</v>
      </c>
      <c r="I240">
        <v>1.7393558264389701E-2</v>
      </c>
      <c r="J240">
        <v>0.151586795027955</v>
      </c>
      <c r="K240">
        <v>2.1702644360496501</v>
      </c>
      <c r="L240" t="s">
        <v>1575</v>
      </c>
      <c r="M240" t="str">
        <f>HYPERLINK("../../3.KEGG_map/SCI_I-vs-NC-Down/rno05230.html","rno05230")</f>
        <v>rno05230</v>
      </c>
    </row>
    <row r="241" spans="1:13" x14ac:dyDescent="0.25">
      <c r="A241" t="s">
        <v>893</v>
      </c>
      <c r="B241" t="s">
        <v>894</v>
      </c>
      <c r="C241" t="s">
        <v>235</v>
      </c>
      <c r="D241" t="s">
        <v>821</v>
      </c>
      <c r="E241">
        <v>14</v>
      </c>
      <c r="F241">
        <v>327</v>
      </c>
      <c r="G241">
        <v>61</v>
      </c>
      <c r="H241">
        <v>2681</v>
      </c>
      <c r="I241">
        <v>1.27228194968791E-2</v>
      </c>
      <c r="J241">
        <v>0.151586795027955</v>
      </c>
      <c r="K241">
        <v>1.88168646914323</v>
      </c>
      <c r="L241" t="s">
        <v>1576</v>
      </c>
      <c r="M241" t="str">
        <f>HYPERLINK("../../3.KEGG_map/SCI_I-vs-NC-Down/rno05231.html","rno05231")</f>
        <v>rno05231</v>
      </c>
    </row>
    <row r="242" spans="1:13" x14ac:dyDescent="0.25">
      <c r="A242" t="s">
        <v>900</v>
      </c>
      <c r="B242" t="s">
        <v>901</v>
      </c>
      <c r="C242" t="s">
        <v>235</v>
      </c>
      <c r="D242" t="s">
        <v>898</v>
      </c>
      <c r="E242">
        <v>1</v>
      </c>
      <c r="F242">
        <v>327</v>
      </c>
      <c r="G242">
        <v>11</v>
      </c>
      <c r="H242">
        <v>2681</v>
      </c>
      <c r="I242">
        <v>0.76156775324627302</v>
      </c>
      <c r="J242">
        <v>0.90539337533675601</v>
      </c>
      <c r="K242">
        <v>0.74534334167361704</v>
      </c>
      <c r="L242" t="s">
        <v>1463</v>
      </c>
      <c r="M242" t="str">
        <f>HYPERLINK("../../3.KEGG_map/SCI_I-vs-NC-Down/rno05320.html","rno05320")</f>
        <v>rno05320</v>
      </c>
    </row>
    <row r="243" spans="1:13" x14ac:dyDescent="0.25">
      <c r="A243" t="s">
        <v>903</v>
      </c>
      <c r="B243" t="s">
        <v>904</v>
      </c>
      <c r="C243" t="s">
        <v>235</v>
      </c>
      <c r="D243" t="s">
        <v>898</v>
      </c>
      <c r="E243">
        <v>1</v>
      </c>
      <c r="F243">
        <v>327</v>
      </c>
      <c r="G243">
        <v>14</v>
      </c>
      <c r="H243">
        <v>2681</v>
      </c>
      <c r="I243">
        <v>0.83890579282441202</v>
      </c>
      <c r="J243">
        <v>0.92760067840937099</v>
      </c>
      <c r="K243">
        <v>0.58562691131498501</v>
      </c>
      <c r="L243" t="s">
        <v>1381</v>
      </c>
      <c r="M243" t="str">
        <f>HYPERLINK("../../3.KEGG_map/SCI_I-vs-NC-Down/rno05321.html","rno05321")</f>
        <v>rno05321</v>
      </c>
    </row>
    <row r="244" spans="1:13" x14ac:dyDescent="0.25">
      <c r="A244" t="s">
        <v>906</v>
      </c>
      <c r="B244" t="s">
        <v>907</v>
      </c>
      <c r="C244" t="s">
        <v>235</v>
      </c>
      <c r="D244" t="s">
        <v>898</v>
      </c>
      <c r="E244">
        <v>3</v>
      </c>
      <c r="F244">
        <v>327</v>
      </c>
      <c r="G244">
        <v>10</v>
      </c>
      <c r="H244">
        <v>2681</v>
      </c>
      <c r="I244">
        <v>0.112526091066142</v>
      </c>
      <c r="J244">
        <v>0.39718503448218501</v>
      </c>
      <c r="K244">
        <v>2.4596330275229401</v>
      </c>
      <c r="L244" t="s">
        <v>1577</v>
      </c>
      <c r="M244" t="str">
        <f>HYPERLINK("../../3.KEGG_map/SCI_I-vs-NC-Down/rno05322.html","rno05322")</f>
        <v>rno05322</v>
      </c>
    </row>
    <row r="245" spans="1:13" x14ac:dyDescent="0.25">
      <c r="A245" t="s">
        <v>909</v>
      </c>
      <c r="B245" t="s">
        <v>910</v>
      </c>
      <c r="C245" t="s">
        <v>235</v>
      </c>
      <c r="D245" t="s">
        <v>898</v>
      </c>
      <c r="E245">
        <v>1</v>
      </c>
      <c r="F245">
        <v>327</v>
      </c>
      <c r="G245">
        <v>17</v>
      </c>
      <c r="H245">
        <v>2681</v>
      </c>
      <c r="I245">
        <v>0.89120970968163504</v>
      </c>
      <c r="J245">
        <v>0.95451181741574198</v>
      </c>
      <c r="K245">
        <v>0.48228098578881101</v>
      </c>
      <c r="L245" t="s">
        <v>1343</v>
      </c>
      <c r="M245" t="str">
        <f>HYPERLINK("../../3.KEGG_map/SCI_I-vs-NC-Down/rno05323.html","rno05323")</f>
        <v>rno05323</v>
      </c>
    </row>
    <row r="246" spans="1:13" x14ac:dyDescent="0.25">
      <c r="A246" t="s">
        <v>912</v>
      </c>
      <c r="B246" t="s">
        <v>913</v>
      </c>
      <c r="C246" t="s">
        <v>235</v>
      </c>
      <c r="D246" t="s">
        <v>898</v>
      </c>
      <c r="E246">
        <v>1</v>
      </c>
      <c r="F246">
        <v>327</v>
      </c>
      <c r="G246">
        <v>11</v>
      </c>
      <c r="H246">
        <v>2681</v>
      </c>
      <c r="I246">
        <v>0.76156775324627302</v>
      </c>
      <c r="J246">
        <v>0.90539337533675601</v>
      </c>
      <c r="K246">
        <v>0.74534334167361704</v>
      </c>
      <c r="L246" t="s">
        <v>1463</v>
      </c>
      <c r="M246" t="str">
        <f>HYPERLINK("../../3.KEGG_map/SCI_I-vs-NC-Down/rno05330.html","rno05330")</f>
        <v>rno05330</v>
      </c>
    </row>
    <row r="247" spans="1:13" x14ac:dyDescent="0.25">
      <c r="A247" t="s">
        <v>915</v>
      </c>
      <c r="B247" t="s">
        <v>916</v>
      </c>
      <c r="C247" t="s">
        <v>235</v>
      </c>
      <c r="D247" t="s">
        <v>898</v>
      </c>
      <c r="E247">
        <v>1</v>
      </c>
      <c r="F247">
        <v>327</v>
      </c>
      <c r="G247">
        <v>11</v>
      </c>
      <c r="H247">
        <v>2681</v>
      </c>
      <c r="I247">
        <v>0.76156775324627302</v>
      </c>
      <c r="J247">
        <v>0.90539337533675601</v>
      </c>
      <c r="K247">
        <v>0.74534334167361704</v>
      </c>
      <c r="L247" t="s">
        <v>1463</v>
      </c>
      <c r="M247" t="str">
        <f>HYPERLINK("../../3.KEGG_map/SCI_I-vs-NC-Down/rno05332.html","rno05332")</f>
        <v>rno05332</v>
      </c>
    </row>
    <row r="248" spans="1:13" x14ac:dyDescent="0.25">
      <c r="A248" t="s">
        <v>921</v>
      </c>
      <c r="B248" t="s">
        <v>922</v>
      </c>
      <c r="C248" t="s">
        <v>235</v>
      </c>
      <c r="D248" t="s">
        <v>923</v>
      </c>
      <c r="E248">
        <v>7</v>
      </c>
      <c r="F248">
        <v>327</v>
      </c>
      <c r="G248">
        <v>60</v>
      </c>
      <c r="H248">
        <v>2681</v>
      </c>
      <c r="I248">
        <v>0.61083285778989405</v>
      </c>
      <c r="J248">
        <v>0.85653099053219806</v>
      </c>
      <c r="K248">
        <v>0.95652395514780797</v>
      </c>
      <c r="L248" t="s">
        <v>1578</v>
      </c>
      <c r="M248" t="str">
        <f>HYPERLINK("../../3.KEGG_map/SCI_I-vs-NC-Down/rno05410.html","rno05410")</f>
        <v>rno05410</v>
      </c>
    </row>
    <row r="249" spans="1:13" x14ac:dyDescent="0.25">
      <c r="A249" t="s">
        <v>925</v>
      </c>
      <c r="B249" t="s">
        <v>926</v>
      </c>
      <c r="C249" t="s">
        <v>235</v>
      </c>
      <c r="D249" t="s">
        <v>923</v>
      </c>
      <c r="E249">
        <v>6</v>
      </c>
      <c r="F249">
        <v>327</v>
      </c>
      <c r="G249">
        <v>59</v>
      </c>
      <c r="H249">
        <v>2681</v>
      </c>
      <c r="I249">
        <v>0.74375407568100904</v>
      </c>
      <c r="J249">
        <v>0.90539337533675601</v>
      </c>
      <c r="K249">
        <v>0.83377390763489401</v>
      </c>
      <c r="L249" t="s">
        <v>1579</v>
      </c>
      <c r="M249" t="str">
        <f>HYPERLINK("../../3.KEGG_map/SCI_I-vs-NC-Down/rno05412.html","rno05412")</f>
        <v>rno05412</v>
      </c>
    </row>
    <row r="250" spans="1:13" x14ac:dyDescent="0.25">
      <c r="A250" t="s">
        <v>928</v>
      </c>
      <c r="B250" t="s">
        <v>929</v>
      </c>
      <c r="C250" t="s">
        <v>235</v>
      </c>
      <c r="D250" t="s">
        <v>923</v>
      </c>
      <c r="E250">
        <v>14</v>
      </c>
      <c r="F250">
        <v>327</v>
      </c>
      <c r="G250">
        <v>69</v>
      </c>
      <c r="H250">
        <v>2681</v>
      </c>
      <c r="I250">
        <v>3.5379276933303998E-2</v>
      </c>
      <c r="J250">
        <v>0.22200496275648299</v>
      </c>
      <c r="K250">
        <v>1.66351992199619</v>
      </c>
      <c r="L250" t="s">
        <v>1580</v>
      </c>
      <c r="M250" t="str">
        <f>HYPERLINK("../../3.KEGG_map/SCI_I-vs-NC-Down/rno05414.html","rno05414")</f>
        <v>rno05414</v>
      </c>
    </row>
    <row r="251" spans="1:13" x14ac:dyDescent="0.25">
      <c r="A251" t="s">
        <v>931</v>
      </c>
      <c r="B251" t="s">
        <v>932</v>
      </c>
      <c r="C251" t="s">
        <v>235</v>
      </c>
      <c r="D251" t="s">
        <v>923</v>
      </c>
      <c r="E251">
        <v>1</v>
      </c>
      <c r="F251">
        <v>327</v>
      </c>
      <c r="G251">
        <v>22</v>
      </c>
      <c r="H251">
        <v>2681</v>
      </c>
      <c r="I251">
        <v>0.94350835611820805</v>
      </c>
      <c r="J251">
        <v>0.96566613147015101</v>
      </c>
      <c r="K251">
        <v>0.37267167083680802</v>
      </c>
      <c r="L251" t="s">
        <v>1463</v>
      </c>
      <c r="M251" t="str">
        <f>HYPERLINK("../../3.KEGG_map/SCI_I-vs-NC-Down/rno05416.html","rno05416")</f>
        <v>rno05416</v>
      </c>
    </row>
    <row r="252" spans="1:13" x14ac:dyDescent="0.25">
      <c r="A252" t="s">
        <v>934</v>
      </c>
      <c r="B252" t="s">
        <v>935</v>
      </c>
      <c r="C252" t="s">
        <v>235</v>
      </c>
      <c r="D252" t="s">
        <v>923</v>
      </c>
      <c r="E252">
        <v>12</v>
      </c>
      <c r="F252">
        <v>327</v>
      </c>
      <c r="G252">
        <v>81</v>
      </c>
      <c r="H252">
        <v>2681</v>
      </c>
      <c r="I252">
        <v>0.27873445008401898</v>
      </c>
      <c r="J252">
        <v>0.59796877753067401</v>
      </c>
      <c r="K252">
        <v>1.21463359383849</v>
      </c>
      <c r="L252" t="s">
        <v>1581</v>
      </c>
      <c r="M252" t="str">
        <f>HYPERLINK("../../3.KEGG_map/SCI_I-vs-NC-Down/rno05418.html","rno05418")</f>
        <v>rno05418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37DA5-C9A0-4566-A0E4-436267553D49}">
  <dimension ref="A1:M241"/>
  <sheetViews>
    <sheetView workbookViewId="0"/>
  </sheetViews>
  <sheetFormatPr defaultRowHeight="13.8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18</v>
      </c>
      <c r="B2" t="s">
        <v>19</v>
      </c>
      <c r="C2" t="s">
        <v>15</v>
      </c>
      <c r="D2" t="s">
        <v>16</v>
      </c>
      <c r="E2">
        <v>1</v>
      </c>
      <c r="F2">
        <v>340</v>
      </c>
      <c r="G2">
        <v>16</v>
      </c>
      <c r="H2">
        <v>2681</v>
      </c>
      <c r="I2">
        <v>0.88654108158344502</v>
      </c>
      <c r="J2">
        <v>0.94671514427046999</v>
      </c>
      <c r="K2">
        <v>0.49283088235294098</v>
      </c>
      <c r="L2" t="s">
        <v>1338</v>
      </c>
      <c r="M2" t="str">
        <f>HYPERLINK("../../3.KEGG_map/SCI_II-vs-NC-Down/rno00020.html","rno00020")</f>
        <v>rno00020</v>
      </c>
    </row>
    <row r="3" spans="1:13" x14ac:dyDescent="0.25">
      <c r="A3" t="s">
        <v>21</v>
      </c>
      <c r="B3" t="s">
        <v>22</v>
      </c>
      <c r="C3" t="s">
        <v>15</v>
      </c>
      <c r="D3" t="s">
        <v>16</v>
      </c>
      <c r="E3">
        <v>1</v>
      </c>
      <c r="F3">
        <v>340</v>
      </c>
      <c r="G3">
        <v>6</v>
      </c>
      <c r="H3">
        <v>2681</v>
      </c>
      <c r="I3">
        <v>0.557132127379243</v>
      </c>
      <c r="J3">
        <v>0.79976466264729495</v>
      </c>
      <c r="K3">
        <v>1.31421568627451</v>
      </c>
      <c r="L3" t="s">
        <v>1582</v>
      </c>
      <c r="M3" t="str">
        <f>HYPERLINK("../../3.KEGG_map/SCI_II-vs-NC-Down/rno00030.html","rno00030")</f>
        <v>rno00030</v>
      </c>
    </row>
    <row r="4" spans="1:13" x14ac:dyDescent="0.25">
      <c r="A4" t="s">
        <v>40</v>
      </c>
      <c r="B4" t="s">
        <v>41</v>
      </c>
      <c r="C4" t="s">
        <v>15</v>
      </c>
      <c r="D4" t="s">
        <v>38</v>
      </c>
      <c r="E4">
        <v>1</v>
      </c>
      <c r="F4">
        <v>340</v>
      </c>
      <c r="G4">
        <v>9</v>
      </c>
      <c r="H4">
        <v>2681</v>
      </c>
      <c r="I4">
        <v>0.70549511468413895</v>
      </c>
      <c r="J4">
        <v>0.89559473856846605</v>
      </c>
      <c r="K4">
        <v>0.87614379084967298</v>
      </c>
      <c r="L4" t="s">
        <v>1340</v>
      </c>
      <c r="M4" t="str">
        <f>HYPERLINK("../../3.KEGG_map/SCI_II-vs-NC-Down/rno00062.html","rno00062")</f>
        <v>rno00062</v>
      </c>
    </row>
    <row r="5" spans="1:13" x14ac:dyDescent="0.25">
      <c r="A5" t="s">
        <v>43</v>
      </c>
      <c r="B5" t="s">
        <v>44</v>
      </c>
      <c r="C5" t="s">
        <v>15</v>
      </c>
      <c r="D5" t="s">
        <v>38</v>
      </c>
      <c r="E5">
        <v>2</v>
      </c>
      <c r="F5">
        <v>340</v>
      </c>
      <c r="G5">
        <v>13</v>
      </c>
      <c r="H5">
        <v>2681</v>
      </c>
      <c r="I5">
        <v>0.50501903825546302</v>
      </c>
      <c r="J5">
        <v>0.767117526463995</v>
      </c>
      <c r="K5">
        <v>1.2131221719456999</v>
      </c>
      <c r="L5" t="s">
        <v>1341</v>
      </c>
      <c r="M5" t="str">
        <f>HYPERLINK("../../3.KEGG_map/SCI_II-vs-NC-Down/rno00071.html","rno00071")</f>
        <v>rno00071</v>
      </c>
    </row>
    <row r="6" spans="1:13" x14ac:dyDescent="0.25">
      <c r="A6" t="s">
        <v>55</v>
      </c>
      <c r="B6" t="s">
        <v>56</v>
      </c>
      <c r="C6" t="s">
        <v>15</v>
      </c>
      <c r="D6" t="s">
        <v>57</v>
      </c>
      <c r="E6">
        <v>1</v>
      </c>
      <c r="F6">
        <v>340</v>
      </c>
      <c r="G6">
        <v>5</v>
      </c>
      <c r="H6">
        <v>2681</v>
      </c>
      <c r="I6">
        <v>0.492673618521769</v>
      </c>
      <c r="J6">
        <v>0.767117526463995</v>
      </c>
      <c r="K6">
        <v>1.5770588235294101</v>
      </c>
      <c r="L6" t="s">
        <v>1342</v>
      </c>
      <c r="M6" t="str">
        <f>HYPERLINK("../../3.KEGG_map/SCI_II-vs-NC-Down/rno00130.html","rno00130")</f>
        <v>rno00130</v>
      </c>
    </row>
    <row r="7" spans="1:13" x14ac:dyDescent="0.25">
      <c r="A7" t="s">
        <v>62</v>
      </c>
      <c r="B7" t="s">
        <v>63</v>
      </c>
      <c r="C7" t="s">
        <v>15</v>
      </c>
      <c r="D7" t="s">
        <v>64</v>
      </c>
      <c r="E7">
        <v>2</v>
      </c>
      <c r="F7">
        <v>340</v>
      </c>
      <c r="G7">
        <v>21</v>
      </c>
      <c r="H7">
        <v>2681</v>
      </c>
      <c r="I7">
        <v>0.76639041288523901</v>
      </c>
      <c r="J7">
        <v>0.91086239748072795</v>
      </c>
      <c r="K7">
        <v>0.75098039215686296</v>
      </c>
      <c r="L7" t="s">
        <v>1583</v>
      </c>
      <c r="M7" t="str">
        <f>HYPERLINK("../../3.KEGG_map/SCI_II-vs-NC-Down/rno00190.html","rno00190")</f>
        <v>rno00190</v>
      </c>
    </row>
    <row r="8" spans="1:13" x14ac:dyDescent="0.25">
      <c r="A8" t="s">
        <v>66</v>
      </c>
      <c r="B8" t="s">
        <v>67</v>
      </c>
      <c r="C8" t="s">
        <v>15</v>
      </c>
      <c r="D8" t="s">
        <v>68</v>
      </c>
      <c r="E8">
        <v>1</v>
      </c>
      <c r="F8">
        <v>340</v>
      </c>
      <c r="G8">
        <v>5</v>
      </c>
      <c r="H8">
        <v>2681</v>
      </c>
      <c r="I8">
        <v>0.492673618521769</v>
      </c>
      <c r="J8">
        <v>0.767117526463995</v>
      </c>
      <c r="K8">
        <v>1.5770588235294101</v>
      </c>
      <c r="L8" t="s">
        <v>1344</v>
      </c>
      <c r="M8" t="str">
        <f>HYPERLINK("../../3.KEGG_map/SCI_II-vs-NC-Down/rno00220.html","rno00220")</f>
        <v>rno00220</v>
      </c>
    </row>
    <row r="9" spans="1:13" x14ac:dyDescent="0.25">
      <c r="A9" t="s">
        <v>70</v>
      </c>
      <c r="B9" t="s">
        <v>71</v>
      </c>
      <c r="C9" t="s">
        <v>15</v>
      </c>
      <c r="D9" t="s">
        <v>72</v>
      </c>
      <c r="E9">
        <v>17</v>
      </c>
      <c r="F9">
        <v>340</v>
      </c>
      <c r="G9">
        <v>57</v>
      </c>
      <c r="H9">
        <v>2681</v>
      </c>
      <c r="I9">
        <v>4.3414171641205601E-4</v>
      </c>
      <c r="J9">
        <v>1.04194011938893E-2</v>
      </c>
      <c r="K9">
        <v>2.3517543859649099</v>
      </c>
      <c r="L9" t="s">
        <v>1584</v>
      </c>
      <c r="M9" t="str">
        <f>HYPERLINK("../../3.KEGG_map/SCI_II-vs-NC-Down/rno00230.html","rno00230")</f>
        <v>rno00230</v>
      </c>
    </row>
    <row r="10" spans="1:13" x14ac:dyDescent="0.25">
      <c r="A10" t="s">
        <v>74</v>
      </c>
      <c r="B10" t="s">
        <v>75</v>
      </c>
      <c r="C10" t="s">
        <v>15</v>
      </c>
      <c r="D10" t="s">
        <v>72</v>
      </c>
      <c r="E10">
        <v>1</v>
      </c>
      <c r="F10">
        <v>340</v>
      </c>
      <c r="G10">
        <v>19</v>
      </c>
      <c r="H10">
        <v>2681</v>
      </c>
      <c r="I10">
        <v>0.92467409995148697</v>
      </c>
      <c r="J10">
        <v>0.969090759774484</v>
      </c>
      <c r="K10">
        <v>0.415015479876161</v>
      </c>
      <c r="L10" t="s">
        <v>1585</v>
      </c>
      <c r="M10" t="str">
        <f>HYPERLINK("../../3.KEGG_map/SCI_II-vs-NC-Down/rno00240.html","rno00240")</f>
        <v>rno00240</v>
      </c>
    </row>
    <row r="11" spans="1:13" x14ac:dyDescent="0.25">
      <c r="A11" t="s">
        <v>953</v>
      </c>
      <c r="B11" t="s">
        <v>954</v>
      </c>
      <c r="C11" t="s">
        <v>15</v>
      </c>
      <c r="D11" t="s">
        <v>68</v>
      </c>
      <c r="E11">
        <v>1</v>
      </c>
      <c r="F11">
        <v>340</v>
      </c>
      <c r="G11">
        <v>13</v>
      </c>
      <c r="H11">
        <v>2681</v>
      </c>
      <c r="I11">
        <v>0.829187930078082</v>
      </c>
      <c r="J11">
        <v>0.91805059358262997</v>
      </c>
      <c r="K11">
        <v>0.60656108597285097</v>
      </c>
      <c r="L11" t="s">
        <v>1344</v>
      </c>
      <c r="M11" t="str">
        <f>HYPERLINK("../../3.KEGG_map/SCI_II-vs-NC-Down/rno00250.html","rno00250")</f>
        <v>rno00250</v>
      </c>
    </row>
    <row r="12" spans="1:13" x14ac:dyDescent="0.25">
      <c r="A12" t="s">
        <v>80</v>
      </c>
      <c r="B12" t="s">
        <v>81</v>
      </c>
      <c r="C12" t="s">
        <v>15</v>
      </c>
      <c r="D12" t="s">
        <v>68</v>
      </c>
      <c r="E12">
        <v>1</v>
      </c>
      <c r="F12">
        <v>340</v>
      </c>
      <c r="G12">
        <v>8</v>
      </c>
      <c r="H12">
        <v>2681</v>
      </c>
      <c r="I12">
        <v>0.66257541429520095</v>
      </c>
      <c r="J12">
        <v>0.85955729422080196</v>
      </c>
      <c r="K12">
        <v>0.98566176470588196</v>
      </c>
      <c r="L12" t="s">
        <v>1347</v>
      </c>
      <c r="M12" t="str">
        <f>HYPERLINK("../../3.KEGG_map/SCI_II-vs-NC-Down/rno00270.html","rno00270")</f>
        <v>rno00270</v>
      </c>
    </row>
    <row r="13" spans="1:13" x14ac:dyDescent="0.25">
      <c r="A13" t="s">
        <v>83</v>
      </c>
      <c r="B13" t="s">
        <v>84</v>
      </c>
      <c r="C13" t="s">
        <v>15</v>
      </c>
      <c r="D13" t="s">
        <v>68</v>
      </c>
      <c r="E13">
        <v>7</v>
      </c>
      <c r="F13">
        <v>340</v>
      </c>
      <c r="G13">
        <v>35</v>
      </c>
      <c r="H13">
        <v>2681</v>
      </c>
      <c r="I13">
        <v>0.145985313506966</v>
      </c>
      <c r="J13">
        <v>0.36496328376741399</v>
      </c>
      <c r="K13">
        <v>1.5770588235294101</v>
      </c>
      <c r="L13" t="s">
        <v>1586</v>
      </c>
      <c r="M13" t="str">
        <f>HYPERLINK("../../3.KEGG_map/SCI_II-vs-NC-Down/rno00280.html","rno00280")</f>
        <v>rno00280</v>
      </c>
    </row>
    <row r="14" spans="1:13" x14ac:dyDescent="0.25">
      <c r="A14" t="s">
        <v>86</v>
      </c>
      <c r="B14" t="s">
        <v>87</v>
      </c>
      <c r="C14" t="s">
        <v>15</v>
      </c>
      <c r="D14" t="s">
        <v>68</v>
      </c>
      <c r="E14">
        <v>11</v>
      </c>
      <c r="F14">
        <v>340</v>
      </c>
      <c r="G14">
        <v>83</v>
      </c>
      <c r="H14">
        <v>2681</v>
      </c>
      <c r="I14">
        <v>0.48766201639093398</v>
      </c>
      <c r="J14">
        <v>0.767117526463995</v>
      </c>
      <c r="K14">
        <v>1.0450389794471999</v>
      </c>
      <c r="L14" t="s">
        <v>1587</v>
      </c>
      <c r="M14" t="str">
        <f>HYPERLINK("../../3.KEGG_map/SCI_II-vs-NC-Down/rno00310.html","rno00310")</f>
        <v>rno00310</v>
      </c>
    </row>
    <row r="15" spans="1:13" x14ac:dyDescent="0.25">
      <c r="A15" t="s">
        <v>101</v>
      </c>
      <c r="B15" t="s">
        <v>102</v>
      </c>
      <c r="C15" t="s">
        <v>15</v>
      </c>
      <c r="D15" t="s">
        <v>68</v>
      </c>
      <c r="E15">
        <v>1</v>
      </c>
      <c r="F15">
        <v>340</v>
      </c>
      <c r="G15">
        <v>7</v>
      </c>
      <c r="H15">
        <v>2681</v>
      </c>
      <c r="I15">
        <v>0.61342187567496498</v>
      </c>
      <c r="J15">
        <v>0.83173169651466095</v>
      </c>
      <c r="K15">
        <v>1.1264705882352899</v>
      </c>
      <c r="L15" t="s">
        <v>1350</v>
      </c>
      <c r="M15" t="str">
        <f>HYPERLINK("../../3.KEGG_map/SCI_II-vs-NC-Down/rno00380.html","rno00380")</f>
        <v>rno00380</v>
      </c>
    </row>
    <row r="16" spans="1:13" x14ac:dyDescent="0.25">
      <c r="A16" t="s">
        <v>104</v>
      </c>
      <c r="B16" t="s">
        <v>105</v>
      </c>
      <c r="C16" t="s">
        <v>15</v>
      </c>
      <c r="D16" t="s">
        <v>106</v>
      </c>
      <c r="E16">
        <v>1</v>
      </c>
      <c r="F16">
        <v>340</v>
      </c>
      <c r="G16">
        <v>11</v>
      </c>
      <c r="H16">
        <v>2681</v>
      </c>
      <c r="I16">
        <v>0.77568775542567903</v>
      </c>
      <c r="J16">
        <v>0.91086239748072795</v>
      </c>
      <c r="K16">
        <v>0.71684491978609599</v>
      </c>
      <c r="L16" t="s">
        <v>1588</v>
      </c>
      <c r="M16" t="str">
        <f>HYPERLINK("../../3.KEGG_map/SCI_II-vs-NC-Down/rno00410.html","rno00410")</f>
        <v>rno00410</v>
      </c>
    </row>
    <row r="17" spans="1:13" x14ac:dyDescent="0.25">
      <c r="A17" t="s">
        <v>117</v>
      </c>
      <c r="B17" t="s">
        <v>118</v>
      </c>
      <c r="C17" t="s">
        <v>15</v>
      </c>
      <c r="D17" t="s">
        <v>106</v>
      </c>
      <c r="E17">
        <v>1</v>
      </c>
      <c r="F17">
        <v>340</v>
      </c>
      <c r="G17">
        <v>15</v>
      </c>
      <c r="H17">
        <v>2681</v>
      </c>
      <c r="I17">
        <v>0.86995637295849704</v>
      </c>
      <c r="J17">
        <v>0.93627591708537805</v>
      </c>
      <c r="K17">
        <v>0.52568627450980399</v>
      </c>
      <c r="L17" t="s">
        <v>1352</v>
      </c>
      <c r="M17" t="str">
        <f>HYPERLINK("../../3.KEGG_map/SCI_II-vs-NC-Down/rno00480.html","rno00480")</f>
        <v>rno00480</v>
      </c>
    </row>
    <row r="18" spans="1:13" x14ac:dyDescent="0.25">
      <c r="A18" t="s">
        <v>968</v>
      </c>
      <c r="B18" t="s">
        <v>969</v>
      </c>
      <c r="C18" t="s">
        <v>15</v>
      </c>
      <c r="D18" t="s">
        <v>125</v>
      </c>
      <c r="E18">
        <v>2</v>
      </c>
      <c r="F18">
        <v>340</v>
      </c>
      <c r="G18">
        <v>21</v>
      </c>
      <c r="H18">
        <v>2681</v>
      </c>
      <c r="I18">
        <v>0.76639041288523901</v>
      </c>
      <c r="J18">
        <v>0.91086239748072795</v>
      </c>
      <c r="K18">
        <v>0.75098039215686296</v>
      </c>
      <c r="L18" t="s">
        <v>1354</v>
      </c>
      <c r="M18" t="str">
        <f>HYPERLINK("../../3.KEGG_map/SCI_II-vs-NC-Down/rno00510.html","rno00510")</f>
        <v>rno00510</v>
      </c>
    </row>
    <row r="19" spans="1:13" x14ac:dyDescent="0.25">
      <c r="A19" t="s">
        <v>133</v>
      </c>
      <c r="B19" t="s">
        <v>134</v>
      </c>
      <c r="C19" t="s">
        <v>15</v>
      </c>
      <c r="D19" t="s">
        <v>16</v>
      </c>
      <c r="E19">
        <v>3</v>
      </c>
      <c r="F19">
        <v>340</v>
      </c>
      <c r="G19">
        <v>22</v>
      </c>
      <c r="H19">
        <v>2681</v>
      </c>
      <c r="I19">
        <v>0.54170757911184797</v>
      </c>
      <c r="J19">
        <v>0.79976466264729495</v>
      </c>
      <c r="K19">
        <v>1.0752673796791401</v>
      </c>
      <c r="L19" t="s">
        <v>1589</v>
      </c>
      <c r="M19" t="str">
        <f>HYPERLINK("../../3.KEGG_map/SCI_II-vs-NC-Down/rno00520.html","rno00520")</f>
        <v>rno00520</v>
      </c>
    </row>
    <row r="20" spans="1:13" x14ac:dyDescent="0.25">
      <c r="A20" t="s">
        <v>974</v>
      </c>
      <c r="B20" t="s">
        <v>975</v>
      </c>
      <c r="C20" t="s">
        <v>15</v>
      </c>
      <c r="D20" t="s">
        <v>125</v>
      </c>
      <c r="E20">
        <v>3</v>
      </c>
      <c r="F20">
        <v>340</v>
      </c>
      <c r="G20">
        <v>5</v>
      </c>
      <c r="H20">
        <v>2681</v>
      </c>
      <c r="I20">
        <v>1.6610556105398199E-2</v>
      </c>
      <c r="J20">
        <v>0.105545242822472</v>
      </c>
      <c r="K20">
        <v>4.73117647058824</v>
      </c>
      <c r="L20" t="s">
        <v>1590</v>
      </c>
      <c r="M20" t="str">
        <f>HYPERLINK("../../3.KEGG_map/SCI_II-vs-NC-Down/rno00531.html","rno00531")</f>
        <v>rno00531</v>
      </c>
    </row>
    <row r="21" spans="1:13" x14ac:dyDescent="0.25">
      <c r="A21" t="s">
        <v>145</v>
      </c>
      <c r="B21" t="s">
        <v>146</v>
      </c>
      <c r="C21" t="s">
        <v>15</v>
      </c>
      <c r="D21" t="s">
        <v>38</v>
      </c>
      <c r="E21">
        <v>5</v>
      </c>
      <c r="F21">
        <v>340</v>
      </c>
      <c r="G21">
        <v>24</v>
      </c>
      <c r="H21">
        <v>2681</v>
      </c>
      <c r="I21">
        <v>0.17957207878262901</v>
      </c>
      <c r="J21">
        <v>0.42670592978050498</v>
      </c>
      <c r="K21">
        <v>1.64276960784314</v>
      </c>
      <c r="L21" t="s">
        <v>1591</v>
      </c>
      <c r="M21" t="str">
        <f>HYPERLINK("../../3.KEGG_map/SCI_II-vs-NC-Down/rno00561.html","rno00561")</f>
        <v>rno00561</v>
      </c>
    </row>
    <row r="22" spans="1:13" x14ac:dyDescent="0.25">
      <c r="A22" t="s">
        <v>148</v>
      </c>
      <c r="B22" t="s">
        <v>149</v>
      </c>
      <c r="C22" t="s">
        <v>15</v>
      </c>
      <c r="D22" t="s">
        <v>16</v>
      </c>
      <c r="E22">
        <v>9</v>
      </c>
      <c r="F22">
        <v>340</v>
      </c>
      <c r="G22">
        <v>77</v>
      </c>
      <c r="H22">
        <v>2681</v>
      </c>
      <c r="I22">
        <v>0.65733699376912502</v>
      </c>
      <c r="J22">
        <v>0.85739607882929403</v>
      </c>
      <c r="K22">
        <v>0.92165775401069505</v>
      </c>
      <c r="L22" t="s">
        <v>1592</v>
      </c>
      <c r="M22" t="str">
        <f>HYPERLINK("../../3.KEGG_map/SCI_II-vs-NC-Down/rno00562.html","rno00562")</f>
        <v>rno00562</v>
      </c>
    </row>
    <row r="23" spans="1:13" x14ac:dyDescent="0.25">
      <c r="A23" t="s">
        <v>151</v>
      </c>
      <c r="B23" t="s">
        <v>152</v>
      </c>
      <c r="C23" t="s">
        <v>15</v>
      </c>
      <c r="D23" t="s">
        <v>38</v>
      </c>
      <c r="E23">
        <v>7</v>
      </c>
      <c r="F23">
        <v>340</v>
      </c>
      <c r="G23">
        <v>42</v>
      </c>
      <c r="H23">
        <v>2681</v>
      </c>
      <c r="I23">
        <v>0.27834948497283701</v>
      </c>
      <c r="J23">
        <v>0.56613454570746502</v>
      </c>
      <c r="K23">
        <v>1.31421568627451</v>
      </c>
      <c r="L23" t="s">
        <v>1593</v>
      </c>
      <c r="M23" t="str">
        <f>HYPERLINK("../../3.KEGG_map/SCI_II-vs-NC-Down/rno00564.html","rno00564")</f>
        <v>rno00564</v>
      </c>
    </row>
    <row r="24" spans="1:13" x14ac:dyDescent="0.25">
      <c r="A24" t="s">
        <v>154</v>
      </c>
      <c r="B24" t="s">
        <v>155</v>
      </c>
      <c r="C24" t="s">
        <v>15</v>
      </c>
      <c r="D24" t="s">
        <v>38</v>
      </c>
      <c r="E24">
        <v>4</v>
      </c>
      <c r="F24">
        <v>340</v>
      </c>
      <c r="G24">
        <v>28</v>
      </c>
      <c r="H24">
        <v>2681</v>
      </c>
      <c r="I24">
        <v>0.48278872427357</v>
      </c>
      <c r="J24">
        <v>0.767117526463995</v>
      </c>
      <c r="K24">
        <v>1.1264705882352899</v>
      </c>
      <c r="L24" t="s">
        <v>1594</v>
      </c>
      <c r="M24" t="str">
        <f>HYPERLINK("../../3.KEGG_map/SCI_II-vs-NC-Down/rno00565.html","rno00565")</f>
        <v>rno00565</v>
      </c>
    </row>
    <row r="25" spans="1:13" x14ac:dyDescent="0.25">
      <c r="A25" t="s">
        <v>166</v>
      </c>
      <c r="B25" t="s">
        <v>167</v>
      </c>
      <c r="C25" t="s">
        <v>15</v>
      </c>
      <c r="D25" t="s">
        <v>38</v>
      </c>
      <c r="E25">
        <v>6</v>
      </c>
      <c r="F25">
        <v>340</v>
      </c>
      <c r="G25">
        <v>26</v>
      </c>
      <c r="H25">
        <v>2681</v>
      </c>
      <c r="I25">
        <v>0.101501417656435</v>
      </c>
      <c r="J25">
        <v>0.303077791183398</v>
      </c>
      <c r="K25">
        <v>1.81968325791855</v>
      </c>
      <c r="L25" t="s">
        <v>1595</v>
      </c>
      <c r="M25" t="str">
        <f>HYPERLINK("../../3.KEGG_map/SCI_II-vs-NC-Down/rno00600.html","rno00600")</f>
        <v>rno00600</v>
      </c>
    </row>
    <row r="26" spans="1:13" x14ac:dyDescent="0.25">
      <c r="A26" t="s">
        <v>989</v>
      </c>
      <c r="B26" t="s">
        <v>990</v>
      </c>
      <c r="C26" t="s">
        <v>15</v>
      </c>
      <c r="D26" t="s">
        <v>125</v>
      </c>
      <c r="E26">
        <v>1</v>
      </c>
      <c r="F26">
        <v>340</v>
      </c>
      <c r="G26">
        <v>9</v>
      </c>
      <c r="H26">
        <v>2681</v>
      </c>
      <c r="I26">
        <v>0.70549511468413895</v>
      </c>
      <c r="J26">
        <v>0.89559473856846605</v>
      </c>
      <c r="K26">
        <v>0.87614379084967298</v>
      </c>
      <c r="L26" t="s">
        <v>1596</v>
      </c>
      <c r="M26" t="str">
        <f>HYPERLINK("../../3.KEGG_map/SCI_II-vs-NC-Down/rno00604.html","rno00604")</f>
        <v>rno00604</v>
      </c>
    </row>
    <row r="27" spans="1:13" x14ac:dyDescent="0.25">
      <c r="A27" t="s">
        <v>175</v>
      </c>
      <c r="B27" t="s">
        <v>176</v>
      </c>
      <c r="C27" t="s">
        <v>15</v>
      </c>
      <c r="D27" t="s">
        <v>16</v>
      </c>
      <c r="E27">
        <v>1</v>
      </c>
      <c r="F27">
        <v>340</v>
      </c>
      <c r="G27">
        <v>12</v>
      </c>
      <c r="H27">
        <v>2681</v>
      </c>
      <c r="I27">
        <v>0.80425186147634198</v>
      </c>
      <c r="J27">
        <v>0.91805059358262997</v>
      </c>
      <c r="K27">
        <v>0.65710784313725501</v>
      </c>
      <c r="L27" t="s">
        <v>1350</v>
      </c>
      <c r="M27" t="str">
        <f>HYPERLINK("../../3.KEGG_map/SCI_II-vs-NC-Down/rno00620.html","rno00620")</f>
        <v>rno00620</v>
      </c>
    </row>
    <row r="28" spans="1:13" x14ac:dyDescent="0.25">
      <c r="A28" t="s">
        <v>1369</v>
      </c>
      <c r="B28" t="s">
        <v>1370</v>
      </c>
      <c r="C28" t="s">
        <v>15</v>
      </c>
      <c r="D28" t="s">
        <v>16</v>
      </c>
      <c r="E28">
        <v>2</v>
      </c>
      <c r="F28">
        <v>340</v>
      </c>
      <c r="G28">
        <v>10</v>
      </c>
      <c r="H28">
        <v>2681</v>
      </c>
      <c r="I28">
        <v>0.36822529841672402</v>
      </c>
      <c r="J28">
        <v>0.64980935014716001</v>
      </c>
      <c r="K28">
        <v>1.5770588235294101</v>
      </c>
      <c r="L28" t="s">
        <v>1597</v>
      </c>
      <c r="M28" t="str">
        <f>HYPERLINK("../../3.KEGG_map/SCI_II-vs-NC-Down/rno00630.html","rno00630")</f>
        <v>rno00630</v>
      </c>
    </row>
    <row r="29" spans="1:13" x14ac:dyDescent="0.25">
      <c r="A29" t="s">
        <v>178</v>
      </c>
      <c r="B29" t="s">
        <v>179</v>
      </c>
      <c r="C29" t="s">
        <v>15</v>
      </c>
      <c r="D29" t="s">
        <v>16</v>
      </c>
      <c r="E29">
        <v>5</v>
      </c>
      <c r="F29">
        <v>340</v>
      </c>
      <c r="G29">
        <v>25</v>
      </c>
      <c r="H29">
        <v>2681</v>
      </c>
      <c r="I29">
        <v>0.202742899651014</v>
      </c>
      <c r="J29">
        <v>0.46341234205946003</v>
      </c>
      <c r="K29">
        <v>1.5770588235294101</v>
      </c>
      <c r="L29" t="s">
        <v>1598</v>
      </c>
      <c r="M29" t="str">
        <f>HYPERLINK("../../3.KEGG_map/SCI_II-vs-NC-Down/rno00640.html","rno00640")</f>
        <v>rno00640</v>
      </c>
    </row>
    <row r="30" spans="1:13" x14ac:dyDescent="0.25">
      <c r="A30" t="s">
        <v>193</v>
      </c>
      <c r="B30" t="s">
        <v>194</v>
      </c>
      <c r="C30" t="s">
        <v>15</v>
      </c>
      <c r="D30" t="s">
        <v>57</v>
      </c>
      <c r="E30">
        <v>1</v>
      </c>
      <c r="F30">
        <v>340</v>
      </c>
      <c r="G30">
        <v>6</v>
      </c>
      <c r="H30">
        <v>2681</v>
      </c>
      <c r="I30">
        <v>0.557132127379243</v>
      </c>
      <c r="J30">
        <v>0.79976466264729495</v>
      </c>
      <c r="K30">
        <v>1.31421568627451</v>
      </c>
      <c r="L30" t="s">
        <v>1373</v>
      </c>
      <c r="M30" t="str">
        <f>HYPERLINK("../../3.KEGG_map/SCI_II-vs-NC-Down/rno00760.html","rno00760")</f>
        <v>rno00760</v>
      </c>
    </row>
    <row r="31" spans="1:13" x14ac:dyDescent="0.25">
      <c r="A31" t="s">
        <v>196</v>
      </c>
      <c r="B31" t="s">
        <v>197</v>
      </c>
      <c r="C31" t="s">
        <v>15</v>
      </c>
      <c r="D31" t="s">
        <v>57</v>
      </c>
      <c r="E31">
        <v>3</v>
      </c>
      <c r="F31">
        <v>340</v>
      </c>
      <c r="G31">
        <v>12</v>
      </c>
      <c r="H31">
        <v>2681</v>
      </c>
      <c r="I31">
        <v>0.18731128523153001</v>
      </c>
      <c r="J31">
        <v>0.44073243583889399</v>
      </c>
      <c r="K31">
        <v>1.9713235294117599</v>
      </c>
      <c r="L31" t="s">
        <v>1599</v>
      </c>
      <c r="M31" t="str">
        <f>HYPERLINK("../../3.KEGG_map/SCI_II-vs-NC-Down/rno00770.html","rno00770")</f>
        <v>rno00770</v>
      </c>
    </row>
    <row r="32" spans="1:13" x14ac:dyDescent="0.25">
      <c r="A32" t="s">
        <v>202</v>
      </c>
      <c r="B32" t="s">
        <v>203</v>
      </c>
      <c r="C32" t="s">
        <v>15</v>
      </c>
      <c r="D32" t="s">
        <v>57</v>
      </c>
      <c r="E32">
        <v>1</v>
      </c>
      <c r="F32">
        <v>340</v>
      </c>
      <c r="G32">
        <v>7</v>
      </c>
      <c r="H32">
        <v>2681</v>
      </c>
      <c r="I32">
        <v>0.61342187567496498</v>
      </c>
      <c r="J32">
        <v>0.83173169651466095</v>
      </c>
      <c r="K32">
        <v>1.1264705882352899</v>
      </c>
      <c r="L32" t="s">
        <v>1375</v>
      </c>
      <c r="M32" t="str">
        <f>HYPERLINK("../../3.KEGG_map/SCI_II-vs-NC-Down/rno00830.html","rno00830")</f>
        <v>rno00830</v>
      </c>
    </row>
    <row r="33" spans="1:13" x14ac:dyDescent="0.25">
      <c r="A33" t="s">
        <v>208</v>
      </c>
      <c r="B33" t="s">
        <v>209</v>
      </c>
      <c r="C33" t="s">
        <v>15</v>
      </c>
      <c r="D33" t="s">
        <v>210</v>
      </c>
      <c r="E33">
        <v>2</v>
      </c>
      <c r="F33">
        <v>340</v>
      </c>
      <c r="G33">
        <v>7</v>
      </c>
      <c r="H33">
        <v>2681</v>
      </c>
      <c r="I33">
        <v>0.21939363760490799</v>
      </c>
      <c r="J33">
        <v>0.479602808040275</v>
      </c>
      <c r="K33">
        <v>2.25294117647059</v>
      </c>
      <c r="L33" t="s">
        <v>1376</v>
      </c>
      <c r="M33" t="str">
        <f>HYPERLINK("../../3.KEGG_map/SCI_II-vs-NC-Down/rno00900.html","rno00900")</f>
        <v>rno00900</v>
      </c>
    </row>
    <row r="34" spans="1:13" x14ac:dyDescent="0.25">
      <c r="A34" t="s">
        <v>218</v>
      </c>
      <c r="B34" t="s">
        <v>219</v>
      </c>
      <c r="C34" t="s">
        <v>220</v>
      </c>
      <c r="D34" t="s">
        <v>221</v>
      </c>
      <c r="E34">
        <v>4</v>
      </c>
      <c r="F34">
        <v>340</v>
      </c>
      <c r="G34">
        <v>16</v>
      </c>
      <c r="H34">
        <v>2681</v>
      </c>
      <c r="I34">
        <v>0.134814892520842</v>
      </c>
      <c r="J34">
        <v>0.34725893362674498</v>
      </c>
      <c r="K34">
        <v>1.9713235294117599</v>
      </c>
      <c r="L34" t="s">
        <v>1377</v>
      </c>
      <c r="M34" t="str">
        <f>HYPERLINK("../../3.KEGG_map/SCI_II-vs-NC-Down/rno00970.html","rno00970")</f>
        <v>rno00970</v>
      </c>
    </row>
    <row r="35" spans="1:13" x14ac:dyDescent="0.25">
      <c r="A35" t="s">
        <v>230</v>
      </c>
      <c r="B35" t="s">
        <v>231</v>
      </c>
      <c r="C35" t="s">
        <v>15</v>
      </c>
      <c r="D35" t="s">
        <v>225</v>
      </c>
      <c r="E35">
        <v>1</v>
      </c>
      <c r="F35">
        <v>340</v>
      </c>
      <c r="G35">
        <v>21</v>
      </c>
      <c r="H35">
        <v>2681</v>
      </c>
      <c r="I35">
        <v>0.94269021755698501</v>
      </c>
      <c r="J35">
        <v>0.97519677678308803</v>
      </c>
      <c r="K35">
        <v>0.37549019607843098</v>
      </c>
      <c r="L35" t="s">
        <v>1600</v>
      </c>
      <c r="M35" t="str">
        <f>HYPERLINK("../../3.KEGG_map/SCI_II-vs-NC-Down/rno00983.html","rno00983")</f>
        <v>rno00983</v>
      </c>
    </row>
    <row r="36" spans="1:13" x14ac:dyDescent="0.25">
      <c r="A36" t="s">
        <v>233</v>
      </c>
      <c r="B36" t="s">
        <v>234</v>
      </c>
      <c r="C36" t="s">
        <v>235</v>
      </c>
      <c r="D36" t="s">
        <v>236</v>
      </c>
      <c r="E36">
        <v>15</v>
      </c>
      <c r="F36">
        <v>340</v>
      </c>
      <c r="G36">
        <v>65</v>
      </c>
      <c r="H36">
        <v>2681</v>
      </c>
      <c r="I36">
        <v>1.3532165415237499E-2</v>
      </c>
      <c r="J36">
        <v>9.4623275424856698E-2</v>
      </c>
      <c r="K36">
        <v>1.81968325791855</v>
      </c>
      <c r="L36" t="s">
        <v>1601</v>
      </c>
      <c r="M36" t="str">
        <f>HYPERLINK("../../3.KEGG_map/SCI_II-vs-NC-Down/rno01521.html","rno01521")</f>
        <v>rno01521</v>
      </c>
    </row>
    <row r="37" spans="1:13" x14ac:dyDescent="0.25">
      <c r="A37" t="s">
        <v>238</v>
      </c>
      <c r="B37" t="s">
        <v>239</v>
      </c>
      <c r="C37" t="s">
        <v>235</v>
      </c>
      <c r="D37" t="s">
        <v>236</v>
      </c>
      <c r="E37">
        <v>21</v>
      </c>
      <c r="F37">
        <v>340</v>
      </c>
      <c r="G37">
        <v>66</v>
      </c>
      <c r="H37">
        <v>2681</v>
      </c>
      <c r="I37" s="1">
        <v>3.1539756883389599E-5</v>
      </c>
      <c r="J37">
        <v>1.8923854130033801E-3</v>
      </c>
      <c r="K37">
        <v>2.5089572192513399</v>
      </c>
      <c r="L37" t="s">
        <v>1602</v>
      </c>
      <c r="M37" t="str">
        <f>HYPERLINK("../../3.KEGG_map/SCI_II-vs-NC-Down/rno01522.html","rno01522")</f>
        <v>rno01522</v>
      </c>
    </row>
    <row r="38" spans="1:13" x14ac:dyDescent="0.25">
      <c r="A38" t="s">
        <v>241</v>
      </c>
      <c r="B38" t="s">
        <v>242</v>
      </c>
      <c r="C38" t="s">
        <v>235</v>
      </c>
      <c r="D38" t="s">
        <v>236</v>
      </c>
      <c r="E38">
        <v>1</v>
      </c>
      <c r="F38">
        <v>340</v>
      </c>
      <c r="G38">
        <v>15</v>
      </c>
      <c r="H38">
        <v>2681</v>
      </c>
      <c r="I38">
        <v>0.86995637295849704</v>
      </c>
      <c r="J38">
        <v>0.93627591708537805</v>
      </c>
      <c r="K38">
        <v>0.52568627450980399</v>
      </c>
      <c r="L38" t="s">
        <v>1603</v>
      </c>
      <c r="M38" t="str">
        <f>HYPERLINK("../../3.KEGG_map/SCI_II-vs-NC-Down/rno01523.html","rno01523")</f>
        <v>rno01523</v>
      </c>
    </row>
    <row r="39" spans="1:13" x14ac:dyDescent="0.25">
      <c r="A39" t="s">
        <v>244</v>
      </c>
      <c r="B39" t="s">
        <v>245</v>
      </c>
      <c r="C39" t="s">
        <v>235</v>
      </c>
      <c r="D39" t="s">
        <v>236</v>
      </c>
      <c r="E39">
        <v>9</v>
      </c>
      <c r="F39">
        <v>340</v>
      </c>
      <c r="G39">
        <v>45</v>
      </c>
      <c r="H39">
        <v>2681</v>
      </c>
      <c r="I39">
        <v>0.107476447468161</v>
      </c>
      <c r="J39">
        <v>0.31077526978745301</v>
      </c>
      <c r="K39">
        <v>1.5770588235294101</v>
      </c>
      <c r="L39" t="s">
        <v>1604</v>
      </c>
      <c r="M39" t="str">
        <f>HYPERLINK("../../3.KEGG_map/SCI_II-vs-NC-Down/rno01524.html","rno01524")</f>
        <v>rno01524</v>
      </c>
    </row>
    <row r="40" spans="1:13" x14ac:dyDescent="0.25">
      <c r="A40" t="s">
        <v>247</v>
      </c>
      <c r="B40" t="s">
        <v>248</v>
      </c>
      <c r="C40" t="s">
        <v>249</v>
      </c>
      <c r="D40" t="s">
        <v>250</v>
      </c>
      <c r="E40">
        <v>1</v>
      </c>
      <c r="F40">
        <v>340</v>
      </c>
      <c r="G40">
        <v>25</v>
      </c>
      <c r="H40">
        <v>2681</v>
      </c>
      <c r="I40">
        <v>0.96684794503486404</v>
      </c>
      <c r="J40">
        <v>0.979086526617584</v>
      </c>
      <c r="K40">
        <v>0.315411764705882</v>
      </c>
      <c r="L40" t="s">
        <v>1605</v>
      </c>
      <c r="M40" t="str">
        <f>HYPERLINK("../../3.KEGG_map/SCI_II-vs-NC-Down/rno02010.html","rno02010")</f>
        <v>rno02010</v>
      </c>
    </row>
    <row r="41" spans="1:13" x14ac:dyDescent="0.25">
      <c r="A41" t="s">
        <v>252</v>
      </c>
      <c r="B41" t="s">
        <v>253</v>
      </c>
      <c r="C41" t="s">
        <v>220</v>
      </c>
      <c r="D41" t="s">
        <v>221</v>
      </c>
      <c r="E41">
        <v>4</v>
      </c>
      <c r="F41">
        <v>340</v>
      </c>
      <c r="G41">
        <v>26</v>
      </c>
      <c r="H41">
        <v>2681</v>
      </c>
      <c r="I41">
        <v>0.423549924904085</v>
      </c>
      <c r="J41">
        <v>0.70277964844179197</v>
      </c>
      <c r="K41">
        <v>1.2131221719456999</v>
      </c>
      <c r="L41" t="s">
        <v>1606</v>
      </c>
      <c r="M41" t="str">
        <f>HYPERLINK("../../3.KEGG_map/SCI_II-vs-NC-Down/rno03008.html","rno03008")</f>
        <v>rno03008</v>
      </c>
    </row>
    <row r="42" spans="1:13" x14ac:dyDescent="0.25">
      <c r="A42" t="s">
        <v>255</v>
      </c>
      <c r="B42" t="s">
        <v>256</v>
      </c>
      <c r="C42" t="s">
        <v>220</v>
      </c>
      <c r="D42" t="s">
        <v>221</v>
      </c>
      <c r="E42">
        <v>9</v>
      </c>
      <c r="F42">
        <v>340</v>
      </c>
      <c r="G42">
        <v>58</v>
      </c>
      <c r="H42">
        <v>2681</v>
      </c>
      <c r="I42">
        <v>0.31070335432963297</v>
      </c>
      <c r="J42">
        <v>0.60625044747245505</v>
      </c>
      <c r="K42">
        <v>1.22358012170385</v>
      </c>
      <c r="L42" t="s">
        <v>1607</v>
      </c>
      <c r="M42" t="str">
        <f>HYPERLINK("../../3.KEGG_map/SCI_II-vs-NC-Down/rno03013.html","rno03013")</f>
        <v>rno03013</v>
      </c>
    </row>
    <row r="43" spans="1:13" x14ac:dyDescent="0.25">
      <c r="A43" t="s">
        <v>258</v>
      </c>
      <c r="B43" t="s">
        <v>259</v>
      </c>
      <c r="C43" t="s">
        <v>220</v>
      </c>
      <c r="D43" t="s">
        <v>221</v>
      </c>
      <c r="E43">
        <v>6</v>
      </c>
      <c r="F43">
        <v>340</v>
      </c>
      <c r="G43">
        <v>47</v>
      </c>
      <c r="H43">
        <v>2681</v>
      </c>
      <c r="I43">
        <v>0.559835263853107</v>
      </c>
      <c r="J43">
        <v>0.79976466264729495</v>
      </c>
      <c r="K43">
        <v>1.00663329161452</v>
      </c>
      <c r="L43" t="s">
        <v>1608</v>
      </c>
      <c r="M43" t="str">
        <f>HYPERLINK("../../3.KEGG_map/SCI_II-vs-NC-Down/rno03015.html","rno03015")</f>
        <v>rno03015</v>
      </c>
    </row>
    <row r="44" spans="1:13" x14ac:dyDescent="0.25">
      <c r="A44" t="s">
        <v>261</v>
      </c>
      <c r="B44" t="s">
        <v>262</v>
      </c>
      <c r="C44" t="s">
        <v>220</v>
      </c>
      <c r="D44" t="s">
        <v>263</v>
      </c>
      <c r="E44">
        <v>5</v>
      </c>
      <c r="F44">
        <v>340</v>
      </c>
      <c r="G44">
        <v>53</v>
      </c>
      <c r="H44">
        <v>2681</v>
      </c>
      <c r="I44">
        <v>0.821379287528889</v>
      </c>
      <c r="J44">
        <v>0.91805059358262997</v>
      </c>
      <c r="K44">
        <v>0.743895671476138</v>
      </c>
      <c r="L44" t="s">
        <v>1609</v>
      </c>
      <c r="M44" t="str">
        <f>HYPERLINK("../../3.KEGG_map/SCI_II-vs-NC-Down/rno03018.html","rno03018")</f>
        <v>rno03018</v>
      </c>
    </row>
    <row r="45" spans="1:13" x14ac:dyDescent="0.25">
      <c r="A45" t="s">
        <v>1388</v>
      </c>
      <c r="B45" t="s">
        <v>1389</v>
      </c>
      <c r="C45" t="s">
        <v>220</v>
      </c>
      <c r="D45" t="s">
        <v>267</v>
      </c>
      <c r="E45">
        <v>6</v>
      </c>
      <c r="F45">
        <v>340</v>
      </c>
      <c r="G45">
        <v>21</v>
      </c>
      <c r="H45">
        <v>2681</v>
      </c>
      <c r="I45">
        <v>4.09941642997146E-2</v>
      </c>
      <c r="J45">
        <v>0.172607007577746</v>
      </c>
      <c r="K45">
        <v>2.25294117647059</v>
      </c>
      <c r="L45" t="s">
        <v>1610</v>
      </c>
      <c r="M45" t="str">
        <f>HYPERLINK("../../3.KEGG_map/SCI_II-vs-NC-Down/rno03022.html","rno03022")</f>
        <v>rno03022</v>
      </c>
    </row>
    <row r="46" spans="1:13" x14ac:dyDescent="0.25">
      <c r="A46" t="s">
        <v>269</v>
      </c>
      <c r="B46" t="s">
        <v>270</v>
      </c>
      <c r="C46" t="s">
        <v>220</v>
      </c>
      <c r="D46" t="s">
        <v>271</v>
      </c>
      <c r="E46">
        <v>1</v>
      </c>
      <c r="F46">
        <v>340</v>
      </c>
      <c r="G46">
        <v>6</v>
      </c>
      <c r="H46">
        <v>2681</v>
      </c>
      <c r="I46">
        <v>0.557132127379243</v>
      </c>
      <c r="J46">
        <v>0.79976466264729495</v>
      </c>
      <c r="K46">
        <v>1.31421568627451</v>
      </c>
      <c r="L46" t="s">
        <v>1585</v>
      </c>
      <c r="M46" t="str">
        <f>HYPERLINK("../../3.KEGG_map/SCI_II-vs-NC-Down/rno03030.html","rno03030")</f>
        <v>rno03030</v>
      </c>
    </row>
    <row r="47" spans="1:13" x14ac:dyDescent="0.25">
      <c r="A47" t="s">
        <v>273</v>
      </c>
      <c r="B47" t="s">
        <v>274</v>
      </c>
      <c r="C47" t="s">
        <v>220</v>
      </c>
      <c r="D47" t="s">
        <v>267</v>
      </c>
      <c r="E47">
        <v>7</v>
      </c>
      <c r="F47">
        <v>340</v>
      </c>
      <c r="G47">
        <v>30</v>
      </c>
      <c r="H47">
        <v>2681</v>
      </c>
      <c r="I47">
        <v>7.6062257089058699E-2</v>
      </c>
      <c r="J47">
        <v>0.26610953784646701</v>
      </c>
      <c r="K47">
        <v>1.8399019607843099</v>
      </c>
      <c r="L47" t="s">
        <v>1611</v>
      </c>
      <c r="M47" t="str">
        <f>HYPERLINK("../../3.KEGG_map/SCI_II-vs-NC-Down/rno03040.html","rno03040")</f>
        <v>rno03040</v>
      </c>
    </row>
    <row r="48" spans="1:13" x14ac:dyDescent="0.25">
      <c r="A48" t="s">
        <v>1019</v>
      </c>
      <c r="B48" t="s">
        <v>1020</v>
      </c>
      <c r="C48" t="s">
        <v>220</v>
      </c>
      <c r="D48" t="s">
        <v>263</v>
      </c>
      <c r="E48">
        <v>2</v>
      </c>
      <c r="F48">
        <v>340</v>
      </c>
      <c r="G48">
        <v>10</v>
      </c>
      <c r="H48">
        <v>2681</v>
      </c>
      <c r="I48">
        <v>0.36822529841672402</v>
      </c>
      <c r="J48">
        <v>0.64980935014716001</v>
      </c>
      <c r="K48">
        <v>1.5770588235294101</v>
      </c>
      <c r="L48" t="s">
        <v>1393</v>
      </c>
      <c r="M48" t="str">
        <f>HYPERLINK("../../3.KEGG_map/SCI_II-vs-NC-Down/rno03050.html","rno03050")</f>
        <v>rno03050</v>
      </c>
    </row>
    <row r="49" spans="1:13" x14ac:dyDescent="0.25">
      <c r="A49" t="s">
        <v>279</v>
      </c>
      <c r="B49" t="s">
        <v>280</v>
      </c>
      <c r="C49" t="s">
        <v>281</v>
      </c>
      <c r="D49" t="s">
        <v>282</v>
      </c>
      <c r="E49">
        <v>5</v>
      </c>
      <c r="F49">
        <v>340</v>
      </c>
      <c r="G49">
        <v>54</v>
      </c>
      <c r="H49">
        <v>2681</v>
      </c>
      <c r="I49">
        <v>0.83389595583755605</v>
      </c>
      <c r="J49">
        <v>0.91805059358262997</v>
      </c>
      <c r="K49">
        <v>0.730119825708061</v>
      </c>
      <c r="L49" t="s">
        <v>1612</v>
      </c>
      <c r="M49" t="str">
        <f>HYPERLINK("../../3.KEGG_map/SCI_II-vs-NC-Down/rno03320.html","rno03320")</f>
        <v>rno03320</v>
      </c>
    </row>
    <row r="50" spans="1:13" x14ac:dyDescent="0.25">
      <c r="A50" t="s">
        <v>287</v>
      </c>
      <c r="B50" t="s">
        <v>288</v>
      </c>
      <c r="C50" t="s">
        <v>220</v>
      </c>
      <c r="D50" t="s">
        <v>271</v>
      </c>
      <c r="E50">
        <v>1</v>
      </c>
      <c r="F50">
        <v>340</v>
      </c>
      <c r="G50">
        <v>10</v>
      </c>
      <c r="H50">
        <v>2681</v>
      </c>
      <c r="I50">
        <v>0.74296953871385196</v>
      </c>
      <c r="J50">
        <v>0.91086239748072795</v>
      </c>
      <c r="K50">
        <v>0.78852941176470603</v>
      </c>
      <c r="L50" t="s">
        <v>1613</v>
      </c>
      <c r="M50" t="str">
        <f>HYPERLINK("../../3.KEGG_map/SCI_II-vs-NC-Down/rno03420.html","rno03420")</f>
        <v>rno03420</v>
      </c>
    </row>
    <row r="51" spans="1:13" x14ac:dyDescent="0.25">
      <c r="A51" t="s">
        <v>293</v>
      </c>
      <c r="B51" t="s">
        <v>294</v>
      </c>
      <c r="C51" t="s">
        <v>220</v>
      </c>
      <c r="D51" t="s">
        <v>271</v>
      </c>
      <c r="E51">
        <v>1</v>
      </c>
      <c r="F51">
        <v>340</v>
      </c>
      <c r="G51">
        <v>21</v>
      </c>
      <c r="H51">
        <v>2681</v>
      </c>
      <c r="I51">
        <v>0.94269021755698501</v>
      </c>
      <c r="J51">
        <v>0.97519677678308803</v>
      </c>
      <c r="K51">
        <v>0.37549019607843098</v>
      </c>
      <c r="L51" t="s">
        <v>1614</v>
      </c>
      <c r="M51" t="str">
        <f>HYPERLINK("../../3.KEGG_map/SCI_II-vs-NC-Down/rno03440.html","rno03440")</f>
        <v>rno03440</v>
      </c>
    </row>
    <row r="52" spans="1:13" x14ac:dyDescent="0.25">
      <c r="A52" t="s">
        <v>299</v>
      </c>
      <c r="B52" t="s">
        <v>300</v>
      </c>
      <c r="C52" t="s">
        <v>220</v>
      </c>
      <c r="D52" t="s">
        <v>271</v>
      </c>
      <c r="E52">
        <v>3</v>
      </c>
      <c r="F52">
        <v>340</v>
      </c>
      <c r="G52">
        <v>14</v>
      </c>
      <c r="H52">
        <v>2681</v>
      </c>
      <c r="I52">
        <v>0.25788278414481602</v>
      </c>
      <c r="J52">
        <v>0.54291112451540302</v>
      </c>
      <c r="K52">
        <v>1.6897058823529401</v>
      </c>
      <c r="L52" t="s">
        <v>1615</v>
      </c>
      <c r="M52" t="str">
        <f>HYPERLINK("../../3.KEGG_map/SCI_II-vs-NC-Down/rno03460.html","rno03460")</f>
        <v>rno03460</v>
      </c>
    </row>
    <row r="53" spans="1:13" x14ac:dyDescent="0.25">
      <c r="A53" t="s">
        <v>302</v>
      </c>
      <c r="B53" t="s">
        <v>303</v>
      </c>
      <c r="C53" t="s">
        <v>249</v>
      </c>
      <c r="D53" t="s">
        <v>304</v>
      </c>
      <c r="E53">
        <v>28</v>
      </c>
      <c r="F53">
        <v>340</v>
      </c>
      <c r="G53">
        <v>213</v>
      </c>
      <c r="H53">
        <v>2681</v>
      </c>
      <c r="I53">
        <v>0.44951682641018798</v>
      </c>
      <c r="J53">
        <v>0.73529136439007603</v>
      </c>
      <c r="K53">
        <v>1.03656448494891</v>
      </c>
      <c r="L53" t="s">
        <v>1616</v>
      </c>
      <c r="M53" t="str">
        <f>HYPERLINK("../../3.KEGG_map/SCI_II-vs-NC-Down/rno04010.html","rno04010")</f>
        <v>rno04010</v>
      </c>
    </row>
    <row r="54" spans="1:13" x14ac:dyDescent="0.25">
      <c r="A54" t="s">
        <v>306</v>
      </c>
      <c r="B54" t="s">
        <v>307</v>
      </c>
      <c r="C54" t="s">
        <v>249</v>
      </c>
      <c r="D54" t="s">
        <v>304</v>
      </c>
      <c r="E54">
        <v>15</v>
      </c>
      <c r="F54">
        <v>340</v>
      </c>
      <c r="G54">
        <v>71</v>
      </c>
      <c r="H54">
        <v>2681</v>
      </c>
      <c r="I54">
        <v>2.9328077824082401E-2</v>
      </c>
      <c r="J54">
        <v>0.14364772811795501</v>
      </c>
      <c r="K54">
        <v>1.6659072079535999</v>
      </c>
      <c r="L54" t="s">
        <v>1617</v>
      </c>
      <c r="M54" t="str">
        <f>HYPERLINK("../../3.KEGG_map/SCI_II-vs-NC-Down/rno04012.html","rno04012")</f>
        <v>rno04012</v>
      </c>
    </row>
    <row r="55" spans="1:13" x14ac:dyDescent="0.25">
      <c r="A55" t="s">
        <v>309</v>
      </c>
      <c r="B55" t="s">
        <v>310</v>
      </c>
      <c r="C55" t="s">
        <v>249</v>
      </c>
      <c r="D55" t="s">
        <v>304</v>
      </c>
      <c r="E55">
        <v>23</v>
      </c>
      <c r="F55">
        <v>340</v>
      </c>
      <c r="G55">
        <v>131</v>
      </c>
      <c r="H55">
        <v>2681</v>
      </c>
      <c r="I55">
        <v>6.0921854306767997E-2</v>
      </c>
      <c r="J55">
        <v>0.22494223128652799</v>
      </c>
      <c r="K55">
        <v>1.3844409519533001</v>
      </c>
      <c r="L55" t="s">
        <v>1618</v>
      </c>
      <c r="M55" t="str">
        <f>HYPERLINK("../../3.KEGG_map/SCI_II-vs-NC-Down/rno04014.html","rno04014")</f>
        <v>rno04014</v>
      </c>
    </row>
    <row r="56" spans="1:13" x14ac:dyDescent="0.25">
      <c r="A56" t="s">
        <v>312</v>
      </c>
      <c r="B56" t="s">
        <v>313</v>
      </c>
      <c r="C56" t="s">
        <v>249</v>
      </c>
      <c r="D56" t="s">
        <v>304</v>
      </c>
      <c r="E56">
        <v>27</v>
      </c>
      <c r="F56">
        <v>340</v>
      </c>
      <c r="G56">
        <v>139</v>
      </c>
      <c r="H56">
        <v>2681</v>
      </c>
      <c r="I56">
        <v>1.3236435179852899E-2</v>
      </c>
      <c r="J56">
        <v>9.4623275424856698E-2</v>
      </c>
      <c r="K56">
        <v>1.53167583580195</v>
      </c>
      <c r="L56" t="s">
        <v>1619</v>
      </c>
      <c r="M56" t="str">
        <f>HYPERLINK("../../3.KEGG_map/SCI_II-vs-NC-Down/rno04015.html","rno04015")</f>
        <v>rno04015</v>
      </c>
    </row>
    <row r="57" spans="1:13" x14ac:dyDescent="0.25">
      <c r="A57" t="s">
        <v>315</v>
      </c>
      <c r="B57" t="s">
        <v>316</v>
      </c>
      <c r="C57" t="s">
        <v>249</v>
      </c>
      <c r="D57" t="s">
        <v>304</v>
      </c>
      <c r="E57">
        <v>23</v>
      </c>
      <c r="F57">
        <v>340</v>
      </c>
      <c r="G57">
        <v>116</v>
      </c>
      <c r="H57">
        <v>2681</v>
      </c>
      <c r="I57">
        <v>1.6985777182971801E-2</v>
      </c>
      <c r="J57">
        <v>0.105545242822472</v>
      </c>
      <c r="K57">
        <v>1.5634634888438099</v>
      </c>
      <c r="L57" t="s">
        <v>1620</v>
      </c>
      <c r="M57" t="str">
        <f>HYPERLINK("../../3.KEGG_map/SCI_II-vs-NC-Down/rno04020.html","rno04020")</f>
        <v>rno04020</v>
      </c>
    </row>
    <row r="58" spans="1:13" x14ac:dyDescent="0.25">
      <c r="A58" t="s">
        <v>318</v>
      </c>
      <c r="B58" t="s">
        <v>319</v>
      </c>
      <c r="C58" t="s">
        <v>249</v>
      </c>
      <c r="D58" t="s">
        <v>304</v>
      </c>
      <c r="E58">
        <v>33</v>
      </c>
      <c r="F58">
        <v>340</v>
      </c>
      <c r="G58">
        <v>156</v>
      </c>
      <c r="H58">
        <v>2681</v>
      </c>
      <c r="I58">
        <v>1.5194530727593301E-3</v>
      </c>
      <c r="J58">
        <v>2.60477669615885E-2</v>
      </c>
      <c r="K58">
        <v>1.6680429864253401</v>
      </c>
      <c r="L58" t="s">
        <v>1621</v>
      </c>
      <c r="M58" t="str">
        <f>HYPERLINK("../../3.KEGG_map/SCI_II-vs-NC-Down/rno04022.html","rno04022")</f>
        <v>rno04022</v>
      </c>
    </row>
    <row r="59" spans="1:13" x14ac:dyDescent="0.25">
      <c r="A59" t="s">
        <v>321</v>
      </c>
      <c r="B59" t="s">
        <v>322</v>
      </c>
      <c r="C59" t="s">
        <v>249</v>
      </c>
      <c r="D59" t="s">
        <v>304</v>
      </c>
      <c r="E59">
        <v>28</v>
      </c>
      <c r="F59">
        <v>340</v>
      </c>
      <c r="G59">
        <v>130</v>
      </c>
      <c r="H59">
        <v>2681</v>
      </c>
      <c r="I59">
        <v>2.61295768048549E-3</v>
      </c>
      <c r="J59">
        <v>3.6888814312736301E-2</v>
      </c>
      <c r="K59">
        <v>1.69837104072398</v>
      </c>
      <c r="L59" t="s">
        <v>1622</v>
      </c>
      <c r="M59" t="str">
        <f>HYPERLINK("../../3.KEGG_map/SCI_II-vs-NC-Down/rno04024.html","rno04024")</f>
        <v>rno04024</v>
      </c>
    </row>
    <row r="60" spans="1:13" x14ac:dyDescent="0.25">
      <c r="A60" t="s">
        <v>324</v>
      </c>
      <c r="B60" t="s">
        <v>325</v>
      </c>
      <c r="C60" t="s">
        <v>249</v>
      </c>
      <c r="D60" t="s">
        <v>326</v>
      </c>
      <c r="E60">
        <v>4</v>
      </c>
      <c r="F60">
        <v>340</v>
      </c>
      <c r="G60">
        <v>32</v>
      </c>
      <c r="H60">
        <v>2681</v>
      </c>
      <c r="I60">
        <v>0.59286071477688296</v>
      </c>
      <c r="J60">
        <v>0.823933267646625</v>
      </c>
      <c r="K60">
        <v>0.98566176470588196</v>
      </c>
      <c r="L60" t="s">
        <v>1623</v>
      </c>
      <c r="M60" t="str">
        <f>HYPERLINK("../../3.KEGG_map/SCI_II-vs-NC-Down/rno04060.html","rno04060")</f>
        <v>rno04060</v>
      </c>
    </row>
    <row r="61" spans="1:13" x14ac:dyDescent="0.25">
      <c r="A61" t="s">
        <v>328</v>
      </c>
      <c r="B61" t="s">
        <v>329</v>
      </c>
      <c r="C61" t="s">
        <v>281</v>
      </c>
      <c r="D61" t="s">
        <v>330</v>
      </c>
      <c r="E61">
        <v>24</v>
      </c>
      <c r="F61">
        <v>340</v>
      </c>
      <c r="G61">
        <v>98</v>
      </c>
      <c r="H61">
        <v>2681</v>
      </c>
      <c r="I61">
        <v>8.1888323791754803E-4</v>
      </c>
      <c r="J61">
        <v>1.6377664758351E-2</v>
      </c>
      <c r="K61">
        <v>1.9310924369747899</v>
      </c>
      <c r="L61" t="s">
        <v>1624</v>
      </c>
      <c r="M61" t="str">
        <f>HYPERLINK("../../3.KEGG_map/SCI_II-vs-NC-Down/rno04062.html","rno04062")</f>
        <v>rno04062</v>
      </c>
    </row>
    <row r="62" spans="1:13" x14ac:dyDescent="0.25">
      <c r="A62" t="s">
        <v>332</v>
      </c>
      <c r="B62" t="s">
        <v>333</v>
      </c>
      <c r="C62" t="s">
        <v>249</v>
      </c>
      <c r="D62" t="s">
        <v>304</v>
      </c>
      <c r="E62">
        <v>5</v>
      </c>
      <c r="F62">
        <v>340</v>
      </c>
      <c r="G62">
        <v>30</v>
      </c>
      <c r="H62">
        <v>2681</v>
      </c>
      <c r="I62">
        <v>0.32968210275008197</v>
      </c>
      <c r="J62">
        <v>0.61336205162805901</v>
      </c>
      <c r="K62">
        <v>1.31421568627451</v>
      </c>
      <c r="L62" t="s">
        <v>1625</v>
      </c>
      <c r="M62" t="str">
        <f>HYPERLINK("../../3.KEGG_map/SCI_II-vs-NC-Down/rno04064.html","rno04064")</f>
        <v>rno04064</v>
      </c>
    </row>
    <row r="63" spans="1:13" x14ac:dyDescent="0.25">
      <c r="A63" t="s">
        <v>335</v>
      </c>
      <c r="B63" t="s">
        <v>336</v>
      </c>
      <c r="C63" t="s">
        <v>249</v>
      </c>
      <c r="D63" t="s">
        <v>304</v>
      </c>
      <c r="E63">
        <v>8</v>
      </c>
      <c r="F63">
        <v>340</v>
      </c>
      <c r="G63">
        <v>51</v>
      </c>
      <c r="H63">
        <v>2681</v>
      </c>
      <c r="I63">
        <v>0.31585684167734102</v>
      </c>
      <c r="J63">
        <v>0.60803392606418405</v>
      </c>
      <c r="K63">
        <v>1.2369088811995399</v>
      </c>
      <c r="L63" t="s">
        <v>1626</v>
      </c>
      <c r="M63" t="str">
        <f>HYPERLINK("../../3.KEGG_map/SCI_II-vs-NC-Down/rno04066.html","rno04066")</f>
        <v>rno04066</v>
      </c>
    </row>
    <row r="64" spans="1:13" x14ac:dyDescent="0.25">
      <c r="A64" t="s">
        <v>338</v>
      </c>
      <c r="B64" t="s">
        <v>339</v>
      </c>
      <c r="C64" t="s">
        <v>249</v>
      </c>
      <c r="D64" t="s">
        <v>304</v>
      </c>
      <c r="E64">
        <v>14</v>
      </c>
      <c r="F64">
        <v>340</v>
      </c>
      <c r="G64">
        <v>87</v>
      </c>
      <c r="H64">
        <v>2681</v>
      </c>
      <c r="I64">
        <v>0.20557093679941299</v>
      </c>
      <c r="J64">
        <v>0.46465578947236802</v>
      </c>
      <c r="K64">
        <v>1.2688979039891799</v>
      </c>
      <c r="L64" t="s">
        <v>1627</v>
      </c>
      <c r="M64" t="str">
        <f>HYPERLINK("../../3.KEGG_map/SCI_II-vs-NC-Down/rno04068.html","rno04068")</f>
        <v>rno04068</v>
      </c>
    </row>
    <row r="65" spans="1:13" x14ac:dyDescent="0.25">
      <c r="A65" t="s">
        <v>341</v>
      </c>
      <c r="B65" t="s">
        <v>342</v>
      </c>
      <c r="C65" t="s">
        <v>249</v>
      </c>
      <c r="D65" t="s">
        <v>304</v>
      </c>
      <c r="E65">
        <v>14</v>
      </c>
      <c r="F65">
        <v>340</v>
      </c>
      <c r="G65">
        <v>102</v>
      </c>
      <c r="H65">
        <v>2681</v>
      </c>
      <c r="I65">
        <v>0.41874295383026</v>
      </c>
      <c r="J65">
        <v>0.70277964844179197</v>
      </c>
      <c r="K65">
        <v>1.0822952710496001</v>
      </c>
      <c r="L65" t="s">
        <v>1628</v>
      </c>
      <c r="M65" t="str">
        <f>HYPERLINK("../../3.KEGG_map/SCI_II-vs-NC-Down/rno04070.html","rno04070")</f>
        <v>rno04070</v>
      </c>
    </row>
    <row r="66" spans="1:13" x14ac:dyDescent="0.25">
      <c r="A66" t="s">
        <v>344</v>
      </c>
      <c r="B66" t="s">
        <v>345</v>
      </c>
      <c r="C66" t="s">
        <v>249</v>
      </c>
      <c r="D66" t="s">
        <v>304</v>
      </c>
      <c r="E66">
        <v>16</v>
      </c>
      <c r="F66">
        <v>340</v>
      </c>
      <c r="G66">
        <v>88</v>
      </c>
      <c r="H66">
        <v>2681</v>
      </c>
      <c r="I66">
        <v>8.3190727363808503E-2</v>
      </c>
      <c r="J66">
        <v>0.28122338601452201</v>
      </c>
      <c r="K66">
        <v>1.43368983957219</v>
      </c>
      <c r="L66" t="s">
        <v>1629</v>
      </c>
      <c r="M66" t="str">
        <f>HYPERLINK("../../3.KEGG_map/SCI_II-vs-NC-Down/rno04071.html","rno04071")</f>
        <v>rno04071</v>
      </c>
    </row>
    <row r="67" spans="1:13" x14ac:dyDescent="0.25">
      <c r="A67" t="s">
        <v>347</v>
      </c>
      <c r="B67" t="s">
        <v>348</v>
      </c>
      <c r="C67" t="s">
        <v>249</v>
      </c>
      <c r="D67" t="s">
        <v>304</v>
      </c>
      <c r="E67">
        <v>28</v>
      </c>
      <c r="F67">
        <v>340</v>
      </c>
      <c r="G67">
        <v>89</v>
      </c>
      <c r="H67">
        <v>2681</v>
      </c>
      <c r="I67" s="1">
        <v>1.86646135528854E-6</v>
      </c>
      <c r="J67">
        <v>4.4795072526924897E-4</v>
      </c>
      <c r="K67">
        <v>2.4807666886979498</v>
      </c>
      <c r="L67" t="s">
        <v>1630</v>
      </c>
      <c r="M67" t="str">
        <f>HYPERLINK("../../3.KEGG_map/SCI_II-vs-NC-Down/rno04072.html","rno04072")</f>
        <v>rno04072</v>
      </c>
    </row>
    <row r="68" spans="1:13" x14ac:dyDescent="0.25">
      <c r="A68" t="s">
        <v>350</v>
      </c>
      <c r="B68" t="s">
        <v>351</v>
      </c>
      <c r="C68" t="s">
        <v>249</v>
      </c>
      <c r="D68" t="s">
        <v>326</v>
      </c>
      <c r="E68">
        <v>4</v>
      </c>
      <c r="F68">
        <v>340</v>
      </c>
      <c r="G68">
        <v>14</v>
      </c>
      <c r="H68">
        <v>2681</v>
      </c>
      <c r="I68">
        <v>9.0579671919983507E-2</v>
      </c>
      <c r="J68">
        <v>0.28604106922100098</v>
      </c>
      <c r="K68">
        <v>2.25294117647059</v>
      </c>
      <c r="L68" t="s">
        <v>1631</v>
      </c>
      <c r="M68" t="str">
        <f>HYPERLINK("../../3.KEGG_map/SCI_II-vs-NC-Down/rno04080.html","rno04080")</f>
        <v>rno04080</v>
      </c>
    </row>
    <row r="69" spans="1:13" x14ac:dyDescent="0.25">
      <c r="A69" t="s">
        <v>353</v>
      </c>
      <c r="B69" t="s">
        <v>354</v>
      </c>
      <c r="C69" t="s">
        <v>355</v>
      </c>
      <c r="D69" t="s">
        <v>356</v>
      </c>
      <c r="E69">
        <v>8</v>
      </c>
      <c r="F69">
        <v>340</v>
      </c>
      <c r="G69">
        <v>72</v>
      </c>
      <c r="H69">
        <v>2681</v>
      </c>
      <c r="I69">
        <v>0.71099401028266995</v>
      </c>
      <c r="J69">
        <v>0.89559473856846605</v>
      </c>
      <c r="K69">
        <v>0.87614379084967298</v>
      </c>
      <c r="L69" t="s">
        <v>1632</v>
      </c>
      <c r="M69" t="str">
        <f>HYPERLINK("../../3.KEGG_map/SCI_II-vs-NC-Down/rno04110.html","rno04110")</f>
        <v>rno04110</v>
      </c>
    </row>
    <row r="70" spans="1:13" x14ac:dyDescent="0.25">
      <c r="A70" t="s">
        <v>358</v>
      </c>
      <c r="B70" t="s">
        <v>359</v>
      </c>
      <c r="C70" t="s">
        <v>355</v>
      </c>
      <c r="D70" t="s">
        <v>356</v>
      </c>
      <c r="E70">
        <v>13</v>
      </c>
      <c r="F70">
        <v>340</v>
      </c>
      <c r="G70">
        <v>70</v>
      </c>
      <c r="H70">
        <v>2681</v>
      </c>
      <c r="I70">
        <v>9.7706328251013899E-2</v>
      </c>
      <c r="J70">
        <v>0.300634856156966</v>
      </c>
      <c r="K70">
        <v>1.4644117647058801</v>
      </c>
      <c r="L70" t="s">
        <v>1633</v>
      </c>
      <c r="M70" t="str">
        <f>HYPERLINK("../../3.KEGG_map/SCI_II-vs-NC-Down/rno04114.html","rno04114")</f>
        <v>rno04114</v>
      </c>
    </row>
    <row r="71" spans="1:13" x14ac:dyDescent="0.25">
      <c r="A71" t="s">
        <v>361</v>
      </c>
      <c r="B71" t="s">
        <v>362</v>
      </c>
      <c r="C71" t="s">
        <v>355</v>
      </c>
      <c r="D71" t="s">
        <v>356</v>
      </c>
      <c r="E71">
        <v>1</v>
      </c>
      <c r="F71">
        <v>340</v>
      </c>
      <c r="G71">
        <v>19</v>
      </c>
      <c r="H71">
        <v>2681</v>
      </c>
      <c r="I71">
        <v>0.92467409995148697</v>
      </c>
      <c r="J71">
        <v>0.969090759774484</v>
      </c>
      <c r="K71">
        <v>0.415015479876161</v>
      </c>
      <c r="L71" t="s">
        <v>1634</v>
      </c>
      <c r="M71" t="str">
        <f>HYPERLINK("../../3.KEGG_map/SCI_II-vs-NC-Down/rno04115.html","rno04115")</f>
        <v>rno04115</v>
      </c>
    </row>
    <row r="72" spans="1:13" x14ac:dyDescent="0.25">
      <c r="A72" t="s">
        <v>364</v>
      </c>
      <c r="B72" t="s">
        <v>365</v>
      </c>
      <c r="C72" t="s">
        <v>220</v>
      </c>
      <c r="D72" t="s">
        <v>263</v>
      </c>
      <c r="E72">
        <v>15</v>
      </c>
      <c r="F72">
        <v>340</v>
      </c>
      <c r="G72">
        <v>120</v>
      </c>
      <c r="H72">
        <v>2681</v>
      </c>
      <c r="I72">
        <v>0.56766852717864702</v>
      </c>
      <c r="J72">
        <v>0.80615648830103803</v>
      </c>
      <c r="K72">
        <v>0.98566176470588196</v>
      </c>
      <c r="L72" t="s">
        <v>1635</v>
      </c>
      <c r="M72" t="str">
        <f>HYPERLINK("../../3.KEGG_map/SCI_II-vs-NC-Down/rno04120.html","rno04120")</f>
        <v>rno04120</v>
      </c>
    </row>
    <row r="73" spans="1:13" x14ac:dyDescent="0.25">
      <c r="A73" t="s">
        <v>367</v>
      </c>
      <c r="B73" t="s">
        <v>368</v>
      </c>
      <c r="C73" t="s">
        <v>220</v>
      </c>
      <c r="D73" t="s">
        <v>263</v>
      </c>
      <c r="E73">
        <v>1</v>
      </c>
      <c r="F73">
        <v>340</v>
      </c>
      <c r="G73">
        <v>6</v>
      </c>
      <c r="H73">
        <v>2681</v>
      </c>
      <c r="I73">
        <v>0.557132127379243</v>
      </c>
      <c r="J73">
        <v>0.79976466264729495</v>
      </c>
      <c r="K73">
        <v>1.31421568627451</v>
      </c>
      <c r="L73" t="s">
        <v>1636</v>
      </c>
      <c r="M73" t="str">
        <f>HYPERLINK("../../3.KEGG_map/SCI_II-vs-NC-Down/rno04130.html","rno04130")</f>
        <v>rno04130</v>
      </c>
    </row>
    <row r="74" spans="1:13" x14ac:dyDescent="0.25">
      <c r="A74" t="s">
        <v>374</v>
      </c>
      <c r="B74" t="s">
        <v>375</v>
      </c>
      <c r="C74" t="s">
        <v>355</v>
      </c>
      <c r="D74" t="s">
        <v>372</v>
      </c>
      <c r="E74">
        <v>11</v>
      </c>
      <c r="F74">
        <v>340</v>
      </c>
      <c r="G74">
        <v>77</v>
      </c>
      <c r="H74">
        <v>2681</v>
      </c>
      <c r="I74">
        <v>0.384620826855124</v>
      </c>
      <c r="J74">
        <v>0.66890578583499904</v>
      </c>
      <c r="K74">
        <v>1.1264705882352899</v>
      </c>
      <c r="L74" t="s">
        <v>1637</v>
      </c>
      <c r="M74" t="str">
        <f>HYPERLINK("../../3.KEGG_map/SCI_II-vs-NC-Down/rno04140.html","rno04140")</f>
        <v>rno04140</v>
      </c>
    </row>
    <row r="75" spans="1:13" x14ac:dyDescent="0.25">
      <c r="A75" t="s">
        <v>377</v>
      </c>
      <c r="B75" t="s">
        <v>378</v>
      </c>
      <c r="C75" t="s">
        <v>220</v>
      </c>
      <c r="D75" t="s">
        <v>263</v>
      </c>
      <c r="E75">
        <v>5</v>
      </c>
      <c r="F75">
        <v>340</v>
      </c>
      <c r="G75">
        <v>86</v>
      </c>
      <c r="H75">
        <v>2681</v>
      </c>
      <c r="I75">
        <v>0.98933521645683598</v>
      </c>
      <c r="J75">
        <v>0.99347469434996105</v>
      </c>
      <c r="K75">
        <v>0.458447332421341</v>
      </c>
      <c r="L75" t="s">
        <v>1638</v>
      </c>
      <c r="M75" t="str">
        <f>HYPERLINK("../../3.KEGG_map/SCI_II-vs-NC-Down/rno04141.html","rno04141")</f>
        <v>rno04141</v>
      </c>
    </row>
    <row r="76" spans="1:13" x14ac:dyDescent="0.25">
      <c r="A76" t="s">
        <v>380</v>
      </c>
      <c r="B76" t="s">
        <v>381</v>
      </c>
      <c r="C76" t="s">
        <v>355</v>
      </c>
      <c r="D76" t="s">
        <v>372</v>
      </c>
      <c r="E76">
        <v>3</v>
      </c>
      <c r="F76">
        <v>340</v>
      </c>
      <c r="G76">
        <v>50</v>
      </c>
      <c r="H76">
        <v>2681</v>
      </c>
      <c r="I76">
        <v>0.96253853854538396</v>
      </c>
      <c r="J76">
        <v>0.97885275106310299</v>
      </c>
      <c r="K76">
        <v>0.47311764705882398</v>
      </c>
      <c r="L76" t="s">
        <v>1639</v>
      </c>
      <c r="M76" t="str">
        <f>HYPERLINK("../../3.KEGG_map/SCI_II-vs-NC-Down/rno04142.html","rno04142")</f>
        <v>rno04142</v>
      </c>
    </row>
    <row r="77" spans="1:13" x14ac:dyDescent="0.25">
      <c r="A77" t="s">
        <v>383</v>
      </c>
      <c r="B77" t="s">
        <v>384</v>
      </c>
      <c r="C77" t="s">
        <v>355</v>
      </c>
      <c r="D77" t="s">
        <v>372</v>
      </c>
      <c r="E77">
        <v>30</v>
      </c>
      <c r="F77">
        <v>340</v>
      </c>
      <c r="G77">
        <v>193</v>
      </c>
      <c r="H77">
        <v>2681</v>
      </c>
      <c r="I77">
        <v>0.13070047797239401</v>
      </c>
      <c r="J77">
        <v>0.34095776862363802</v>
      </c>
      <c r="K77">
        <v>1.2256933861627599</v>
      </c>
      <c r="L77" t="s">
        <v>1640</v>
      </c>
      <c r="M77" t="str">
        <f>HYPERLINK("../../3.KEGG_map/SCI_II-vs-NC-Down/rno04144.html","rno04144")</f>
        <v>rno04144</v>
      </c>
    </row>
    <row r="78" spans="1:13" x14ac:dyDescent="0.25">
      <c r="A78" t="s">
        <v>386</v>
      </c>
      <c r="B78" t="s">
        <v>387</v>
      </c>
      <c r="C78" t="s">
        <v>355</v>
      </c>
      <c r="D78" t="s">
        <v>372</v>
      </c>
      <c r="E78">
        <v>4</v>
      </c>
      <c r="F78">
        <v>340</v>
      </c>
      <c r="G78">
        <v>61</v>
      </c>
      <c r="H78">
        <v>2681</v>
      </c>
      <c r="I78">
        <v>0.96105273620078202</v>
      </c>
      <c r="J78">
        <v>0.97885275106310299</v>
      </c>
      <c r="K78">
        <v>0.51706846673095497</v>
      </c>
      <c r="L78" t="s">
        <v>1641</v>
      </c>
      <c r="M78" t="str">
        <f>HYPERLINK("../../3.KEGG_map/SCI_II-vs-NC-Down/rno04145.html","rno04145")</f>
        <v>rno04145</v>
      </c>
    </row>
    <row r="79" spans="1:13" x14ac:dyDescent="0.25">
      <c r="A79" t="s">
        <v>392</v>
      </c>
      <c r="B79" t="s">
        <v>393</v>
      </c>
      <c r="C79" t="s">
        <v>249</v>
      </c>
      <c r="D79" t="s">
        <v>304</v>
      </c>
      <c r="E79">
        <v>15</v>
      </c>
      <c r="F79">
        <v>340</v>
      </c>
      <c r="G79">
        <v>89</v>
      </c>
      <c r="H79">
        <v>2681</v>
      </c>
      <c r="I79">
        <v>0.149104224451932</v>
      </c>
      <c r="J79">
        <v>0.36891766874704901</v>
      </c>
      <c r="K79">
        <v>1.3289821546596201</v>
      </c>
      <c r="L79" t="s">
        <v>1642</v>
      </c>
      <c r="M79" t="str">
        <f>HYPERLINK("../../3.KEGG_map/SCI_II-vs-NC-Down/rno04150.html","rno04150")</f>
        <v>rno04150</v>
      </c>
    </row>
    <row r="80" spans="1:13" x14ac:dyDescent="0.25">
      <c r="A80" t="s">
        <v>395</v>
      </c>
      <c r="B80" t="s">
        <v>396</v>
      </c>
      <c r="C80" t="s">
        <v>249</v>
      </c>
      <c r="D80" t="s">
        <v>304</v>
      </c>
      <c r="E80">
        <v>17</v>
      </c>
      <c r="F80">
        <v>340</v>
      </c>
      <c r="G80">
        <v>161</v>
      </c>
      <c r="H80">
        <v>2681</v>
      </c>
      <c r="I80">
        <v>0.83034357431471695</v>
      </c>
      <c r="J80">
        <v>0.91805059358262997</v>
      </c>
      <c r="K80">
        <v>0.83260869565217399</v>
      </c>
      <c r="L80" t="s">
        <v>1643</v>
      </c>
      <c r="M80" t="str">
        <f>HYPERLINK("../../3.KEGG_map/SCI_II-vs-NC-Down/rno04151.html","rno04151")</f>
        <v>rno04151</v>
      </c>
    </row>
    <row r="81" spans="1:13" x14ac:dyDescent="0.25">
      <c r="A81" t="s">
        <v>398</v>
      </c>
      <c r="B81" t="s">
        <v>399</v>
      </c>
      <c r="C81" t="s">
        <v>249</v>
      </c>
      <c r="D81" t="s">
        <v>304</v>
      </c>
      <c r="E81">
        <v>9</v>
      </c>
      <c r="F81">
        <v>340</v>
      </c>
      <c r="G81">
        <v>63</v>
      </c>
      <c r="H81">
        <v>2681</v>
      </c>
      <c r="I81">
        <v>0.405427866830048</v>
      </c>
      <c r="J81">
        <v>0.69008998609369898</v>
      </c>
      <c r="K81">
        <v>1.1264705882352899</v>
      </c>
      <c r="L81" t="s">
        <v>1644</v>
      </c>
      <c r="M81" t="str">
        <f>HYPERLINK("../../3.KEGG_map/SCI_II-vs-NC-Down/rno04152.html","rno04152")</f>
        <v>rno04152</v>
      </c>
    </row>
    <row r="82" spans="1:13" x14ac:dyDescent="0.25">
      <c r="A82" t="s">
        <v>401</v>
      </c>
      <c r="B82" t="s">
        <v>402</v>
      </c>
      <c r="C82" t="s">
        <v>355</v>
      </c>
      <c r="D82" t="s">
        <v>356</v>
      </c>
      <c r="E82">
        <v>8</v>
      </c>
      <c r="F82">
        <v>340</v>
      </c>
      <c r="G82">
        <v>62</v>
      </c>
      <c r="H82">
        <v>2681</v>
      </c>
      <c r="I82">
        <v>0.53738545476279198</v>
      </c>
      <c r="J82">
        <v>0.79976466264729495</v>
      </c>
      <c r="K82">
        <v>1.01745730550285</v>
      </c>
      <c r="L82" t="s">
        <v>1645</v>
      </c>
      <c r="M82" t="str">
        <f>HYPERLINK("../../3.KEGG_map/SCI_II-vs-NC-Down/rno04210.html","rno04210")</f>
        <v>rno04210</v>
      </c>
    </row>
    <row r="83" spans="1:13" x14ac:dyDescent="0.25">
      <c r="A83" t="s">
        <v>404</v>
      </c>
      <c r="B83" t="s">
        <v>405</v>
      </c>
      <c r="C83" t="s">
        <v>281</v>
      </c>
      <c r="D83" t="s">
        <v>406</v>
      </c>
      <c r="E83">
        <v>17</v>
      </c>
      <c r="F83">
        <v>340</v>
      </c>
      <c r="G83">
        <v>64</v>
      </c>
      <c r="H83">
        <v>2681</v>
      </c>
      <c r="I83">
        <v>1.8445938290247699E-3</v>
      </c>
      <c r="J83">
        <v>2.9513501264396301E-2</v>
      </c>
      <c r="K83">
        <v>2.0945312500000002</v>
      </c>
      <c r="L83" t="s">
        <v>1646</v>
      </c>
      <c r="M83" t="str">
        <f>HYPERLINK("../../3.KEGG_map/SCI_II-vs-NC-Down/rno04211.html","rno04211")</f>
        <v>rno04211</v>
      </c>
    </row>
    <row r="84" spans="1:13" x14ac:dyDescent="0.25">
      <c r="A84" t="s">
        <v>408</v>
      </c>
      <c r="B84" t="s">
        <v>409</v>
      </c>
      <c r="C84" t="s">
        <v>281</v>
      </c>
      <c r="D84" t="s">
        <v>406</v>
      </c>
      <c r="E84">
        <v>13</v>
      </c>
      <c r="F84">
        <v>340</v>
      </c>
      <c r="G84">
        <v>31</v>
      </c>
      <c r="H84">
        <v>2681</v>
      </c>
      <c r="I84" s="1">
        <v>4.2289331794502803E-5</v>
      </c>
      <c r="J84">
        <v>2.0298879261361302E-3</v>
      </c>
      <c r="K84">
        <v>3.3067362428842499</v>
      </c>
      <c r="L84" t="s">
        <v>1647</v>
      </c>
      <c r="M84" t="str">
        <f>HYPERLINK("../../3.KEGG_map/SCI_II-vs-NC-Down/rno04213.html","rno04213")</f>
        <v>rno04213</v>
      </c>
    </row>
    <row r="85" spans="1:13" x14ac:dyDescent="0.25">
      <c r="A85" t="s">
        <v>411</v>
      </c>
      <c r="B85" t="s">
        <v>412</v>
      </c>
      <c r="C85" t="s">
        <v>355</v>
      </c>
      <c r="D85" t="s">
        <v>356</v>
      </c>
      <c r="E85">
        <v>2</v>
      </c>
      <c r="F85">
        <v>340</v>
      </c>
      <c r="G85">
        <v>9</v>
      </c>
      <c r="H85">
        <v>2681</v>
      </c>
      <c r="I85">
        <v>0.31921781118369602</v>
      </c>
      <c r="J85">
        <v>0.60803392606418405</v>
      </c>
      <c r="K85">
        <v>1.7522875816993499</v>
      </c>
      <c r="L85" t="s">
        <v>1433</v>
      </c>
      <c r="M85" t="str">
        <f>HYPERLINK("../../3.KEGG_map/SCI_II-vs-NC-Down/rno04215.html","rno04215")</f>
        <v>rno04215</v>
      </c>
    </row>
    <row r="86" spans="1:13" x14ac:dyDescent="0.25">
      <c r="A86" t="s">
        <v>414</v>
      </c>
      <c r="B86" t="s">
        <v>415</v>
      </c>
      <c r="C86" t="s">
        <v>355</v>
      </c>
      <c r="D86" t="s">
        <v>356</v>
      </c>
      <c r="E86">
        <v>1</v>
      </c>
      <c r="F86">
        <v>340</v>
      </c>
      <c r="G86">
        <v>10</v>
      </c>
      <c r="H86">
        <v>2681</v>
      </c>
      <c r="I86">
        <v>0.74296953871385196</v>
      </c>
      <c r="J86">
        <v>0.91086239748072795</v>
      </c>
      <c r="K86">
        <v>0.78852941176470603</v>
      </c>
      <c r="L86" t="s">
        <v>1434</v>
      </c>
      <c r="M86" t="str">
        <f>HYPERLINK("../../3.KEGG_map/SCI_II-vs-NC-Down/rno04216.html","rno04216")</f>
        <v>rno04216</v>
      </c>
    </row>
    <row r="87" spans="1:13" x14ac:dyDescent="0.25">
      <c r="A87" t="s">
        <v>417</v>
      </c>
      <c r="B87" t="s">
        <v>418</v>
      </c>
      <c r="C87" t="s">
        <v>355</v>
      </c>
      <c r="D87" t="s">
        <v>356</v>
      </c>
      <c r="E87">
        <v>4</v>
      </c>
      <c r="F87">
        <v>340</v>
      </c>
      <c r="G87">
        <v>44</v>
      </c>
      <c r="H87">
        <v>2681</v>
      </c>
      <c r="I87">
        <v>0.82822786864246001</v>
      </c>
      <c r="J87">
        <v>0.91805059358262997</v>
      </c>
      <c r="K87">
        <v>0.71684491978609599</v>
      </c>
      <c r="L87" t="s">
        <v>1648</v>
      </c>
      <c r="M87" t="str">
        <f>HYPERLINK("../../3.KEGG_map/SCI_II-vs-NC-Down/rno04217.html","rno04217")</f>
        <v>rno04217</v>
      </c>
    </row>
    <row r="88" spans="1:13" x14ac:dyDescent="0.25">
      <c r="A88" t="s">
        <v>420</v>
      </c>
      <c r="B88" t="s">
        <v>421</v>
      </c>
      <c r="C88" t="s">
        <v>355</v>
      </c>
      <c r="D88" t="s">
        <v>356</v>
      </c>
      <c r="E88">
        <v>16</v>
      </c>
      <c r="F88">
        <v>340</v>
      </c>
      <c r="G88">
        <v>111</v>
      </c>
      <c r="H88">
        <v>2681</v>
      </c>
      <c r="I88">
        <v>0.329290976402071</v>
      </c>
      <c r="J88">
        <v>0.61336205162805901</v>
      </c>
      <c r="K88">
        <v>1.1366189719130899</v>
      </c>
      <c r="L88" t="s">
        <v>1649</v>
      </c>
      <c r="M88" t="str">
        <f>HYPERLINK("../../3.KEGG_map/SCI_II-vs-NC-Down/rno04218.html","rno04218")</f>
        <v>rno04218</v>
      </c>
    </row>
    <row r="89" spans="1:13" x14ac:dyDescent="0.25">
      <c r="A89" t="s">
        <v>423</v>
      </c>
      <c r="B89" t="s">
        <v>424</v>
      </c>
      <c r="C89" t="s">
        <v>281</v>
      </c>
      <c r="D89" t="s">
        <v>425</v>
      </c>
      <c r="E89">
        <v>8</v>
      </c>
      <c r="F89">
        <v>340</v>
      </c>
      <c r="G89">
        <v>39</v>
      </c>
      <c r="H89">
        <v>2681</v>
      </c>
      <c r="I89">
        <v>0.111627649844598</v>
      </c>
      <c r="J89">
        <v>0.318936142413136</v>
      </c>
      <c r="K89">
        <v>1.6174962292609401</v>
      </c>
      <c r="L89" t="s">
        <v>1650</v>
      </c>
      <c r="M89" t="str">
        <f>HYPERLINK("../../3.KEGG_map/SCI_II-vs-NC-Down/rno04260.html","rno04260")</f>
        <v>rno04260</v>
      </c>
    </row>
    <row r="90" spans="1:13" x14ac:dyDescent="0.25">
      <c r="A90" t="s">
        <v>427</v>
      </c>
      <c r="B90" t="s">
        <v>428</v>
      </c>
      <c r="C90" t="s">
        <v>281</v>
      </c>
      <c r="D90" t="s">
        <v>425</v>
      </c>
      <c r="E90">
        <v>25</v>
      </c>
      <c r="F90">
        <v>340</v>
      </c>
      <c r="G90">
        <v>102</v>
      </c>
      <c r="H90">
        <v>2681</v>
      </c>
      <c r="I90">
        <v>6.3006948397110096E-4</v>
      </c>
      <c r="J90">
        <v>1.3746970559369499E-2</v>
      </c>
      <c r="K90">
        <v>1.9326701268742801</v>
      </c>
      <c r="L90" t="s">
        <v>1651</v>
      </c>
      <c r="M90" t="str">
        <f>HYPERLINK("../../3.KEGG_map/SCI_II-vs-NC-Down/rno04261.html","rno04261")</f>
        <v>rno04261</v>
      </c>
    </row>
    <row r="91" spans="1:13" x14ac:dyDescent="0.25">
      <c r="A91" t="s">
        <v>430</v>
      </c>
      <c r="B91" t="s">
        <v>431</v>
      </c>
      <c r="C91" t="s">
        <v>281</v>
      </c>
      <c r="D91" t="s">
        <v>425</v>
      </c>
      <c r="E91">
        <v>22</v>
      </c>
      <c r="F91">
        <v>340</v>
      </c>
      <c r="G91">
        <v>132</v>
      </c>
      <c r="H91">
        <v>2681</v>
      </c>
      <c r="I91">
        <v>0.103551578654328</v>
      </c>
      <c r="J91">
        <v>0.303077791183398</v>
      </c>
      <c r="K91">
        <v>1.31421568627451</v>
      </c>
      <c r="L91" t="s">
        <v>1652</v>
      </c>
      <c r="M91" t="str">
        <f>HYPERLINK("../../3.KEGG_map/SCI_II-vs-NC-Down/rno04270.html","rno04270")</f>
        <v>rno04270</v>
      </c>
    </row>
    <row r="92" spans="1:13" x14ac:dyDescent="0.25">
      <c r="A92" t="s">
        <v>433</v>
      </c>
      <c r="B92" t="s">
        <v>434</v>
      </c>
      <c r="C92" t="s">
        <v>249</v>
      </c>
      <c r="D92" t="s">
        <v>304</v>
      </c>
      <c r="E92">
        <v>9</v>
      </c>
      <c r="F92">
        <v>340</v>
      </c>
      <c r="G92">
        <v>88</v>
      </c>
      <c r="H92">
        <v>2681</v>
      </c>
      <c r="I92">
        <v>0.80440358157801795</v>
      </c>
      <c r="J92">
        <v>0.91805059358262997</v>
      </c>
      <c r="K92">
        <v>0.80645053475935802</v>
      </c>
      <c r="L92" t="s">
        <v>1653</v>
      </c>
      <c r="M92" t="str">
        <f>HYPERLINK("../../3.KEGG_map/SCI_II-vs-NC-Down/rno04310.html","rno04310")</f>
        <v>rno04310</v>
      </c>
    </row>
    <row r="93" spans="1:13" x14ac:dyDescent="0.25">
      <c r="A93" t="s">
        <v>1441</v>
      </c>
      <c r="B93" t="s">
        <v>1442</v>
      </c>
      <c r="C93" t="s">
        <v>249</v>
      </c>
      <c r="D93" t="s">
        <v>304</v>
      </c>
      <c r="E93">
        <v>2</v>
      </c>
      <c r="F93">
        <v>340</v>
      </c>
      <c r="G93">
        <v>19</v>
      </c>
      <c r="H93">
        <v>2681</v>
      </c>
      <c r="I93">
        <v>0.71520129998876902</v>
      </c>
      <c r="J93">
        <v>0.89559473856846605</v>
      </c>
      <c r="K93">
        <v>0.830030959752322</v>
      </c>
      <c r="L93" t="s">
        <v>1654</v>
      </c>
      <c r="M93" t="str">
        <f>HYPERLINK("../../3.KEGG_map/SCI_II-vs-NC-Down/rno04330.html","rno04330")</f>
        <v>rno04330</v>
      </c>
    </row>
    <row r="94" spans="1:13" x14ac:dyDescent="0.25">
      <c r="A94" t="s">
        <v>1444</v>
      </c>
      <c r="B94" t="s">
        <v>1445</v>
      </c>
      <c r="C94" t="s">
        <v>249</v>
      </c>
      <c r="D94" t="s">
        <v>304</v>
      </c>
      <c r="E94">
        <v>2</v>
      </c>
      <c r="F94">
        <v>340</v>
      </c>
      <c r="G94">
        <v>25</v>
      </c>
      <c r="H94">
        <v>2681</v>
      </c>
      <c r="I94">
        <v>0.84522840804580102</v>
      </c>
      <c r="J94">
        <v>0.92627770744745297</v>
      </c>
      <c r="K94">
        <v>0.630823529411765</v>
      </c>
      <c r="L94" t="s">
        <v>1655</v>
      </c>
      <c r="M94" t="str">
        <f>HYPERLINK("../../3.KEGG_map/SCI_II-vs-NC-Down/rno04340.html","rno04340")</f>
        <v>rno04340</v>
      </c>
    </row>
    <row r="95" spans="1:13" x14ac:dyDescent="0.25">
      <c r="A95" t="s">
        <v>436</v>
      </c>
      <c r="B95" t="s">
        <v>437</v>
      </c>
      <c r="C95" t="s">
        <v>249</v>
      </c>
      <c r="D95" t="s">
        <v>304</v>
      </c>
      <c r="E95">
        <v>6</v>
      </c>
      <c r="F95">
        <v>340</v>
      </c>
      <c r="G95">
        <v>62</v>
      </c>
      <c r="H95">
        <v>2681</v>
      </c>
      <c r="I95">
        <v>0.81749183385094604</v>
      </c>
      <c r="J95">
        <v>0.91805059358262997</v>
      </c>
      <c r="K95">
        <v>0.76309297912713503</v>
      </c>
      <c r="L95" t="s">
        <v>1656</v>
      </c>
      <c r="M95" t="str">
        <f>HYPERLINK("../../3.KEGG_map/SCI_II-vs-NC-Down/rno04350.html","rno04350")</f>
        <v>rno04350</v>
      </c>
    </row>
    <row r="96" spans="1:13" x14ac:dyDescent="0.25">
      <c r="A96" t="s">
        <v>439</v>
      </c>
      <c r="B96" t="s">
        <v>440</v>
      </c>
      <c r="C96" t="s">
        <v>281</v>
      </c>
      <c r="D96" t="s">
        <v>441</v>
      </c>
      <c r="E96">
        <v>14</v>
      </c>
      <c r="F96">
        <v>340</v>
      </c>
      <c r="G96">
        <v>115</v>
      </c>
      <c r="H96">
        <v>2681</v>
      </c>
      <c r="I96">
        <v>0.61036279118478598</v>
      </c>
      <c r="J96">
        <v>0.83173169651466095</v>
      </c>
      <c r="K96">
        <v>0.959948849104859</v>
      </c>
      <c r="L96" t="s">
        <v>1657</v>
      </c>
      <c r="M96" t="str">
        <f>HYPERLINK("../../3.KEGG_map/SCI_II-vs-NC-Down/rno04360.html","rno04360")</f>
        <v>rno04360</v>
      </c>
    </row>
    <row r="97" spans="1:13" x14ac:dyDescent="0.25">
      <c r="A97" t="s">
        <v>443</v>
      </c>
      <c r="B97" t="s">
        <v>444</v>
      </c>
      <c r="C97" t="s">
        <v>249</v>
      </c>
      <c r="D97" t="s">
        <v>304</v>
      </c>
      <c r="E97">
        <v>11</v>
      </c>
      <c r="F97">
        <v>340</v>
      </c>
      <c r="G97">
        <v>60</v>
      </c>
      <c r="H97">
        <v>2681</v>
      </c>
      <c r="I97">
        <v>0.13003787529181299</v>
      </c>
      <c r="J97">
        <v>0.34095776862363802</v>
      </c>
      <c r="K97">
        <v>1.44563725490196</v>
      </c>
      <c r="L97" t="s">
        <v>1658</v>
      </c>
      <c r="M97" t="str">
        <f>HYPERLINK("../../3.KEGG_map/SCI_II-vs-NC-Down/rno04370.html","rno04370")</f>
        <v>rno04370</v>
      </c>
    </row>
    <row r="98" spans="1:13" x14ac:dyDescent="0.25">
      <c r="A98" t="s">
        <v>446</v>
      </c>
      <c r="B98" t="s">
        <v>447</v>
      </c>
      <c r="C98" t="s">
        <v>249</v>
      </c>
      <c r="D98" t="s">
        <v>304</v>
      </c>
      <c r="E98">
        <v>29</v>
      </c>
      <c r="F98">
        <v>340</v>
      </c>
      <c r="G98">
        <v>111</v>
      </c>
      <c r="H98">
        <v>2681</v>
      </c>
      <c r="I98" s="1">
        <v>6.75288934289563E-5</v>
      </c>
      <c r="J98">
        <v>2.3152763461356499E-3</v>
      </c>
      <c r="K98">
        <v>2.06012188659248</v>
      </c>
      <c r="L98" t="s">
        <v>1659</v>
      </c>
      <c r="M98" t="str">
        <f>HYPERLINK("../../3.KEGG_map/SCI_II-vs-NC-Down/rno04371.html","rno04371")</f>
        <v>rno04371</v>
      </c>
    </row>
    <row r="99" spans="1:13" x14ac:dyDescent="0.25">
      <c r="A99" t="s">
        <v>449</v>
      </c>
      <c r="B99" t="s">
        <v>450</v>
      </c>
      <c r="C99" t="s">
        <v>281</v>
      </c>
      <c r="D99" t="s">
        <v>441</v>
      </c>
      <c r="E99">
        <v>9</v>
      </c>
      <c r="F99">
        <v>340</v>
      </c>
      <c r="G99">
        <v>64</v>
      </c>
      <c r="H99">
        <v>2681</v>
      </c>
      <c r="I99">
        <v>0.424596037600249</v>
      </c>
      <c r="J99">
        <v>0.70277964844179197</v>
      </c>
      <c r="K99">
        <v>1.1088694852941201</v>
      </c>
      <c r="L99" t="s">
        <v>1660</v>
      </c>
      <c r="M99" t="str">
        <f>HYPERLINK("../../3.KEGG_map/SCI_II-vs-NC-Down/rno04380.html","rno04380")</f>
        <v>rno04380</v>
      </c>
    </row>
    <row r="100" spans="1:13" x14ac:dyDescent="0.25">
      <c r="A100" t="s">
        <v>452</v>
      </c>
      <c r="B100" t="s">
        <v>453</v>
      </c>
      <c r="C100" t="s">
        <v>249</v>
      </c>
      <c r="D100" t="s">
        <v>304</v>
      </c>
      <c r="E100">
        <v>10</v>
      </c>
      <c r="F100">
        <v>340</v>
      </c>
      <c r="G100">
        <v>84</v>
      </c>
      <c r="H100">
        <v>2681</v>
      </c>
      <c r="I100">
        <v>0.63667729623667302</v>
      </c>
      <c r="J100">
        <v>0.84421298948509105</v>
      </c>
      <c r="K100">
        <v>0.93872549019607898</v>
      </c>
      <c r="L100" t="s">
        <v>1661</v>
      </c>
      <c r="M100" t="str">
        <f>HYPERLINK("../../3.KEGG_map/SCI_II-vs-NC-Down/rno04390.html","rno04390")</f>
        <v>rno04390</v>
      </c>
    </row>
    <row r="101" spans="1:13" x14ac:dyDescent="0.25">
      <c r="A101" t="s">
        <v>455</v>
      </c>
      <c r="B101" t="s">
        <v>456</v>
      </c>
      <c r="C101" t="s">
        <v>249</v>
      </c>
      <c r="D101" t="s">
        <v>304</v>
      </c>
      <c r="E101">
        <v>5</v>
      </c>
      <c r="F101">
        <v>340</v>
      </c>
      <c r="G101">
        <v>26</v>
      </c>
      <c r="H101">
        <v>2681</v>
      </c>
      <c r="I101">
        <v>0.226848014411628</v>
      </c>
      <c r="J101">
        <v>0.49048219332243898</v>
      </c>
      <c r="K101">
        <v>1.51640271493213</v>
      </c>
      <c r="L101" t="s">
        <v>1662</v>
      </c>
      <c r="M101" t="str">
        <f>HYPERLINK("../../3.KEGG_map/SCI_II-vs-NC-Down/rno04392.html","rno04392")</f>
        <v>rno04392</v>
      </c>
    </row>
    <row r="102" spans="1:13" x14ac:dyDescent="0.25">
      <c r="A102" t="s">
        <v>458</v>
      </c>
      <c r="B102" t="s">
        <v>459</v>
      </c>
      <c r="C102" t="s">
        <v>355</v>
      </c>
      <c r="D102" t="s">
        <v>460</v>
      </c>
      <c r="E102">
        <v>26</v>
      </c>
      <c r="F102">
        <v>340</v>
      </c>
      <c r="G102">
        <v>192</v>
      </c>
      <c r="H102">
        <v>2681</v>
      </c>
      <c r="I102">
        <v>0.38923941040162902</v>
      </c>
      <c r="J102">
        <v>0.67206804673662501</v>
      </c>
      <c r="K102">
        <v>1.0678002450980399</v>
      </c>
      <c r="L102" t="s">
        <v>1663</v>
      </c>
      <c r="M102" t="str">
        <f>HYPERLINK("../../3.KEGG_map/SCI_II-vs-NC-Down/rno04510.html","rno04510")</f>
        <v>rno04510</v>
      </c>
    </row>
    <row r="103" spans="1:13" x14ac:dyDescent="0.25">
      <c r="A103" t="s">
        <v>462</v>
      </c>
      <c r="B103" t="s">
        <v>463</v>
      </c>
      <c r="C103" t="s">
        <v>249</v>
      </c>
      <c r="D103" t="s">
        <v>326</v>
      </c>
      <c r="E103">
        <v>2</v>
      </c>
      <c r="F103">
        <v>340</v>
      </c>
      <c r="G103">
        <v>70</v>
      </c>
      <c r="H103">
        <v>2681</v>
      </c>
      <c r="I103">
        <v>0.999242827614097</v>
      </c>
      <c r="J103">
        <v>0.999242827614097</v>
      </c>
      <c r="K103">
        <v>0.22529411764705901</v>
      </c>
      <c r="L103" t="s">
        <v>1664</v>
      </c>
      <c r="M103" t="str">
        <f>HYPERLINK("../../3.KEGG_map/SCI_II-vs-NC-Down/rno04512.html","rno04512")</f>
        <v>rno04512</v>
      </c>
    </row>
    <row r="104" spans="1:13" x14ac:dyDescent="0.25">
      <c r="A104" t="s">
        <v>465</v>
      </c>
      <c r="B104" t="s">
        <v>466</v>
      </c>
      <c r="C104" t="s">
        <v>249</v>
      </c>
      <c r="D104" t="s">
        <v>326</v>
      </c>
      <c r="E104">
        <v>5</v>
      </c>
      <c r="F104">
        <v>340</v>
      </c>
      <c r="G104">
        <v>51</v>
      </c>
      <c r="H104">
        <v>2681</v>
      </c>
      <c r="I104">
        <v>0.79408639170037398</v>
      </c>
      <c r="J104">
        <v>0.91805059358262997</v>
      </c>
      <c r="K104">
        <v>0.77306805074971197</v>
      </c>
      <c r="L104" t="s">
        <v>1665</v>
      </c>
      <c r="M104" t="str">
        <f>HYPERLINK("../../3.KEGG_map/SCI_II-vs-NC-Down/rno04514.html","rno04514")</f>
        <v>rno04514</v>
      </c>
    </row>
    <row r="105" spans="1:13" x14ac:dyDescent="0.25">
      <c r="A105" t="s">
        <v>468</v>
      </c>
      <c r="B105" t="s">
        <v>469</v>
      </c>
      <c r="C105" t="s">
        <v>355</v>
      </c>
      <c r="D105" t="s">
        <v>460</v>
      </c>
      <c r="E105">
        <v>15</v>
      </c>
      <c r="F105">
        <v>340</v>
      </c>
      <c r="G105">
        <v>112</v>
      </c>
      <c r="H105">
        <v>2681</v>
      </c>
      <c r="I105">
        <v>0.452665085103306</v>
      </c>
      <c r="J105">
        <v>0.73529136439007603</v>
      </c>
      <c r="K105">
        <v>1.0560661764705901</v>
      </c>
      <c r="L105" t="s">
        <v>1666</v>
      </c>
      <c r="M105" t="str">
        <f>HYPERLINK("../../3.KEGG_map/SCI_II-vs-NC-Down/rno04520.html","rno04520")</f>
        <v>rno04520</v>
      </c>
    </row>
    <row r="106" spans="1:13" x14ac:dyDescent="0.25">
      <c r="A106" t="s">
        <v>471</v>
      </c>
      <c r="B106" t="s">
        <v>472</v>
      </c>
      <c r="C106" t="s">
        <v>355</v>
      </c>
      <c r="D106" t="s">
        <v>460</v>
      </c>
      <c r="E106">
        <v>11</v>
      </c>
      <c r="F106">
        <v>340</v>
      </c>
      <c r="G106">
        <v>118</v>
      </c>
      <c r="H106">
        <v>2681</v>
      </c>
      <c r="I106">
        <v>0.901020515088509</v>
      </c>
      <c r="J106">
        <v>0.95262080890415002</v>
      </c>
      <c r="K106">
        <v>0.73506979062811595</v>
      </c>
      <c r="L106" t="s">
        <v>1667</v>
      </c>
      <c r="M106" t="str">
        <f>HYPERLINK("../../3.KEGG_map/SCI_II-vs-NC-Down/rno04530.html","rno04530")</f>
        <v>rno04530</v>
      </c>
    </row>
    <row r="107" spans="1:13" x14ac:dyDescent="0.25">
      <c r="A107" t="s">
        <v>474</v>
      </c>
      <c r="B107" t="s">
        <v>475</v>
      </c>
      <c r="C107" t="s">
        <v>355</v>
      </c>
      <c r="D107" t="s">
        <v>460</v>
      </c>
      <c r="E107">
        <v>13</v>
      </c>
      <c r="F107">
        <v>340</v>
      </c>
      <c r="G107">
        <v>65</v>
      </c>
      <c r="H107">
        <v>2681</v>
      </c>
      <c r="I107">
        <v>6.0304164811660801E-2</v>
      </c>
      <c r="J107">
        <v>0.22494223128652799</v>
      </c>
      <c r="K107">
        <v>1.5770588235294101</v>
      </c>
      <c r="L107" t="s">
        <v>1668</v>
      </c>
      <c r="M107" t="str">
        <f>HYPERLINK("../../3.KEGG_map/SCI_II-vs-NC-Down/rno04540.html","rno04540")</f>
        <v>rno04540</v>
      </c>
    </row>
    <row r="108" spans="1:13" x14ac:dyDescent="0.25">
      <c r="A108" t="s">
        <v>477</v>
      </c>
      <c r="B108" t="s">
        <v>478</v>
      </c>
      <c r="C108" t="s">
        <v>355</v>
      </c>
      <c r="D108" t="s">
        <v>460</v>
      </c>
      <c r="E108">
        <v>12</v>
      </c>
      <c r="F108">
        <v>340</v>
      </c>
      <c r="G108">
        <v>60</v>
      </c>
      <c r="H108">
        <v>2681</v>
      </c>
      <c r="I108">
        <v>6.9471515987139104E-2</v>
      </c>
      <c r="J108">
        <v>0.25262369449868799</v>
      </c>
      <c r="K108">
        <v>1.5770588235294101</v>
      </c>
      <c r="L108" t="s">
        <v>1669</v>
      </c>
      <c r="M108" t="str">
        <f>HYPERLINK("../../3.KEGG_map/SCI_II-vs-NC-Down/rno04550.html","rno04550")</f>
        <v>rno04550</v>
      </c>
    </row>
    <row r="109" spans="1:13" x14ac:dyDescent="0.25">
      <c r="A109" t="s">
        <v>480</v>
      </c>
      <c r="B109" t="s">
        <v>481</v>
      </c>
      <c r="C109" t="s">
        <v>281</v>
      </c>
      <c r="D109" t="s">
        <v>330</v>
      </c>
      <c r="E109">
        <v>1</v>
      </c>
      <c r="F109">
        <v>340</v>
      </c>
      <c r="G109">
        <v>12</v>
      </c>
      <c r="H109">
        <v>2681</v>
      </c>
      <c r="I109">
        <v>0.80425186147634198</v>
      </c>
      <c r="J109">
        <v>0.91805059358262997</v>
      </c>
      <c r="K109">
        <v>0.65710784313725501</v>
      </c>
      <c r="L109" t="s">
        <v>1670</v>
      </c>
      <c r="M109" t="str">
        <f>HYPERLINK("../../3.KEGG_map/SCI_II-vs-NC-Down/rno04610.html","rno04610")</f>
        <v>rno04610</v>
      </c>
    </row>
    <row r="110" spans="1:13" x14ac:dyDescent="0.25">
      <c r="A110" t="s">
        <v>483</v>
      </c>
      <c r="B110" t="s">
        <v>484</v>
      </c>
      <c r="C110" t="s">
        <v>281</v>
      </c>
      <c r="D110" t="s">
        <v>330</v>
      </c>
      <c r="E110">
        <v>21</v>
      </c>
      <c r="F110">
        <v>340</v>
      </c>
      <c r="G110">
        <v>122</v>
      </c>
      <c r="H110">
        <v>2681</v>
      </c>
      <c r="I110">
        <v>8.4477082293375194E-2</v>
      </c>
      <c r="J110">
        <v>0.28122338601452201</v>
      </c>
      <c r="K110">
        <v>1.35730472516876</v>
      </c>
      <c r="L110" t="s">
        <v>1671</v>
      </c>
      <c r="M110" t="str">
        <f>HYPERLINK("../../3.KEGG_map/SCI_II-vs-NC-Down/rno04611.html","rno04611")</f>
        <v>rno04611</v>
      </c>
    </row>
    <row r="111" spans="1:13" x14ac:dyDescent="0.25">
      <c r="A111" t="s">
        <v>486</v>
      </c>
      <c r="B111" t="s">
        <v>487</v>
      </c>
      <c r="C111" t="s">
        <v>281</v>
      </c>
      <c r="D111" t="s">
        <v>330</v>
      </c>
      <c r="E111">
        <v>1</v>
      </c>
      <c r="F111">
        <v>340</v>
      </c>
      <c r="G111">
        <v>23</v>
      </c>
      <c r="H111">
        <v>2681</v>
      </c>
      <c r="I111">
        <v>0.95640692352458601</v>
      </c>
      <c r="J111">
        <v>0.97885275106310299</v>
      </c>
      <c r="K111">
        <v>0.34283887468030699</v>
      </c>
      <c r="L111" t="s">
        <v>1463</v>
      </c>
      <c r="M111" t="str">
        <f>HYPERLINK("../../3.KEGG_map/SCI_II-vs-NC-Down/rno04612.html","rno04612")</f>
        <v>rno04612</v>
      </c>
    </row>
    <row r="112" spans="1:13" x14ac:dyDescent="0.25">
      <c r="A112" t="s">
        <v>492</v>
      </c>
      <c r="B112" t="s">
        <v>493</v>
      </c>
      <c r="C112" t="s">
        <v>281</v>
      </c>
      <c r="D112" t="s">
        <v>330</v>
      </c>
      <c r="E112">
        <v>7</v>
      </c>
      <c r="F112">
        <v>340</v>
      </c>
      <c r="G112">
        <v>33</v>
      </c>
      <c r="H112">
        <v>2681</v>
      </c>
      <c r="I112">
        <v>0.115114008444611</v>
      </c>
      <c r="J112">
        <v>0.32124839565938101</v>
      </c>
      <c r="K112">
        <v>1.6726381461675599</v>
      </c>
      <c r="L112" t="s">
        <v>1672</v>
      </c>
      <c r="M112" t="str">
        <f>HYPERLINK("../../3.KEGG_map/SCI_II-vs-NC-Down/rno04620.html","rno04620")</f>
        <v>rno04620</v>
      </c>
    </row>
    <row r="113" spans="1:13" x14ac:dyDescent="0.25">
      <c r="A113" t="s">
        <v>495</v>
      </c>
      <c r="B113" t="s">
        <v>496</v>
      </c>
      <c r="C113" t="s">
        <v>281</v>
      </c>
      <c r="D113" t="s">
        <v>330</v>
      </c>
      <c r="E113">
        <v>10</v>
      </c>
      <c r="F113">
        <v>340</v>
      </c>
      <c r="G113">
        <v>64</v>
      </c>
      <c r="H113">
        <v>2681</v>
      </c>
      <c r="I113">
        <v>0.288289045456597</v>
      </c>
      <c r="J113">
        <v>0.58142328495448103</v>
      </c>
      <c r="K113">
        <v>1.2320772058823499</v>
      </c>
      <c r="L113" t="s">
        <v>1673</v>
      </c>
      <c r="M113" t="str">
        <f>HYPERLINK("../../3.KEGG_map/SCI_II-vs-NC-Down/rno04621.html","rno04621")</f>
        <v>rno04621</v>
      </c>
    </row>
    <row r="114" spans="1:13" x14ac:dyDescent="0.25">
      <c r="A114" t="s">
        <v>498</v>
      </c>
      <c r="B114" t="s">
        <v>499</v>
      </c>
      <c r="C114" t="s">
        <v>281</v>
      </c>
      <c r="D114" t="s">
        <v>330</v>
      </c>
      <c r="E114">
        <v>2</v>
      </c>
      <c r="F114">
        <v>340</v>
      </c>
      <c r="G114">
        <v>23</v>
      </c>
      <c r="H114">
        <v>2681</v>
      </c>
      <c r="I114">
        <v>0.80940482863983598</v>
      </c>
      <c r="J114">
        <v>0.91805059358262997</v>
      </c>
      <c r="K114">
        <v>0.68567774936061399</v>
      </c>
      <c r="L114" t="s">
        <v>1674</v>
      </c>
      <c r="M114" t="str">
        <f>HYPERLINK("../../3.KEGG_map/SCI_II-vs-NC-Down/rno04622.html","rno04622")</f>
        <v>rno04622</v>
      </c>
    </row>
    <row r="115" spans="1:13" x14ac:dyDescent="0.25">
      <c r="A115" t="s">
        <v>501</v>
      </c>
      <c r="B115" t="s">
        <v>502</v>
      </c>
      <c r="C115" t="s">
        <v>281</v>
      </c>
      <c r="D115" t="s">
        <v>330</v>
      </c>
      <c r="E115">
        <v>1</v>
      </c>
      <c r="F115">
        <v>340</v>
      </c>
      <c r="G115">
        <v>11</v>
      </c>
      <c r="H115">
        <v>2681</v>
      </c>
      <c r="I115">
        <v>0.77568775542567903</v>
      </c>
      <c r="J115">
        <v>0.91086239748072795</v>
      </c>
      <c r="K115">
        <v>0.71684491978609599</v>
      </c>
      <c r="L115" t="s">
        <v>1603</v>
      </c>
      <c r="M115" t="str">
        <f>HYPERLINK("../../3.KEGG_map/SCI_II-vs-NC-Down/rno04623.html","rno04623")</f>
        <v>rno04623</v>
      </c>
    </row>
    <row r="116" spans="1:13" x14ac:dyDescent="0.25">
      <c r="A116" t="s">
        <v>504</v>
      </c>
      <c r="B116" t="s">
        <v>505</v>
      </c>
      <c r="C116" t="s">
        <v>281</v>
      </c>
      <c r="D116" t="s">
        <v>330</v>
      </c>
      <c r="E116">
        <v>13</v>
      </c>
      <c r="F116">
        <v>340</v>
      </c>
      <c r="G116">
        <v>69</v>
      </c>
      <c r="H116">
        <v>2681</v>
      </c>
      <c r="I116">
        <v>8.9295975654701404E-2</v>
      </c>
      <c r="J116">
        <v>0.28574712209504399</v>
      </c>
      <c r="K116">
        <v>1.4856351236146601</v>
      </c>
      <c r="L116" t="s">
        <v>1675</v>
      </c>
      <c r="M116" t="str">
        <f>HYPERLINK("../../3.KEGG_map/SCI_II-vs-NC-Down/rno04625.html","rno04625")</f>
        <v>rno04625</v>
      </c>
    </row>
    <row r="117" spans="1:13" x14ac:dyDescent="0.25">
      <c r="A117" t="s">
        <v>507</v>
      </c>
      <c r="B117" t="s">
        <v>508</v>
      </c>
      <c r="C117" t="s">
        <v>249</v>
      </c>
      <c r="D117" t="s">
        <v>304</v>
      </c>
      <c r="E117">
        <v>12</v>
      </c>
      <c r="F117">
        <v>340</v>
      </c>
      <c r="G117">
        <v>52</v>
      </c>
      <c r="H117">
        <v>2681</v>
      </c>
      <c r="I117">
        <v>2.59121040908829E-2</v>
      </c>
      <c r="J117">
        <v>0.13519358656112801</v>
      </c>
      <c r="K117">
        <v>1.81968325791855</v>
      </c>
      <c r="L117" t="s">
        <v>1676</v>
      </c>
      <c r="M117" t="str">
        <f>HYPERLINK("../../3.KEGG_map/SCI_II-vs-NC-Down/rno04630.html","rno04630")</f>
        <v>rno04630</v>
      </c>
    </row>
    <row r="118" spans="1:13" x14ac:dyDescent="0.25">
      <c r="A118" t="s">
        <v>513</v>
      </c>
      <c r="B118" t="s">
        <v>514</v>
      </c>
      <c r="C118" t="s">
        <v>281</v>
      </c>
      <c r="D118" t="s">
        <v>330</v>
      </c>
      <c r="E118">
        <v>6</v>
      </c>
      <c r="F118">
        <v>340</v>
      </c>
      <c r="G118">
        <v>60</v>
      </c>
      <c r="H118">
        <v>2681</v>
      </c>
      <c r="I118">
        <v>0.79184320010970699</v>
      </c>
      <c r="J118">
        <v>0.91805059358262997</v>
      </c>
      <c r="K118">
        <v>0.78852941176470603</v>
      </c>
      <c r="L118" t="s">
        <v>1677</v>
      </c>
      <c r="M118" t="str">
        <f>HYPERLINK("../../3.KEGG_map/SCI_II-vs-NC-Down/rno04650.html","rno04650")</f>
        <v>rno04650</v>
      </c>
    </row>
    <row r="119" spans="1:13" x14ac:dyDescent="0.25">
      <c r="A119" t="s">
        <v>516</v>
      </c>
      <c r="B119" t="s">
        <v>517</v>
      </c>
      <c r="C119" t="s">
        <v>281</v>
      </c>
      <c r="D119" t="s">
        <v>330</v>
      </c>
      <c r="E119">
        <v>4</v>
      </c>
      <c r="F119">
        <v>340</v>
      </c>
      <c r="G119">
        <v>24</v>
      </c>
      <c r="H119">
        <v>2681</v>
      </c>
      <c r="I119">
        <v>0.362800861661492</v>
      </c>
      <c r="J119">
        <v>0.64980935014716001</v>
      </c>
      <c r="K119">
        <v>1.31421568627451</v>
      </c>
      <c r="L119" t="s">
        <v>1678</v>
      </c>
      <c r="M119" t="str">
        <f>HYPERLINK("../../3.KEGG_map/SCI_II-vs-NC-Down/rno04657.html","rno04657")</f>
        <v>rno04657</v>
      </c>
    </row>
    <row r="120" spans="1:13" x14ac:dyDescent="0.25">
      <c r="A120" t="s">
        <v>519</v>
      </c>
      <c r="B120" t="s">
        <v>520</v>
      </c>
      <c r="C120" t="s">
        <v>281</v>
      </c>
      <c r="D120" t="s">
        <v>330</v>
      </c>
      <c r="E120">
        <v>6</v>
      </c>
      <c r="F120">
        <v>340</v>
      </c>
      <c r="G120">
        <v>43</v>
      </c>
      <c r="H120">
        <v>2681</v>
      </c>
      <c r="I120">
        <v>0.46874678658077901</v>
      </c>
      <c r="J120">
        <v>0.75502838106971104</v>
      </c>
      <c r="K120">
        <v>1.1002735978112199</v>
      </c>
      <c r="L120" t="s">
        <v>1679</v>
      </c>
      <c r="M120" t="str">
        <f>HYPERLINK("../../3.KEGG_map/SCI_II-vs-NC-Down/rno04658.html","rno04658")</f>
        <v>rno04658</v>
      </c>
    </row>
    <row r="121" spans="1:13" x14ac:dyDescent="0.25">
      <c r="A121" t="s">
        <v>522</v>
      </c>
      <c r="B121" t="s">
        <v>523</v>
      </c>
      <c r="C121" t="s">
        <v>281</v>
      </c>
      <c r="D121" t="s">
        <v>330</v>
      </c>
      <c r="E121">
        <v>7</v>
      </c>
      <c r="F121">
        <v>340</v>
      </c>
      <c r="G121">
        <v>61</v>
      </c>
      <c r="H121">
        <v>2681</v>
      </c>
      <c r="I121">
        <v>0.67129882211563696</v>
      </c>
      <c r="J121">
        <v>0.86619202853630595</v>
      </c>
      <c r="K121">
        <v>0.904869816779171</v>
      </c>
      <c r="L121" t="s">
        <v>1680</v>
      </c>
      <c r="M121" t="str">
        <f>HYPERLINK("../../3.KEGG_map/SCI_II-vs-NC-Down/rno04659.html","rno04659")</f>
        <v>rno04659</v>
      </c>
    </row>
    <row r="122" spans="1:13" x14ac:dyDescent="0.25">
      <c r="A122" t="s">
        <v>525</v>
      </c>
      <c r="B122" t="s">
        <v>526</v>
      </c>
      <c r="C122" t="s">
        <v>281</v>
      </c>
      <c r="D122" t="s">
        <v>330</v>
      </c>
      <c r="E122">
        <v>16</v>
      </c>
      <c r="F122">
        <v>340</v>
      </c>
      <c r="G122">
        <v>80</v>
      </c>
      <c r="H122">
        <v>2681</v>
      </c>
      <c r="I122">
        <v>3.9738832669034302E-2</v>
      </c>
      <c r="J122">
        <v>0.172607007577746</v>
      </c>
      <c r="K122">
        <v>1.5770588235294101</v>
      </c>
      <c r="L122" t="s">
        <v>1681</v>
      </c>
      <c r="M122" t="str">
        <f>HYPERLINK("../../3.KEGG_map/SCI_II-vs-NC-Down/rno04660.html","rno04660")</f>
        <v>rno04660</v>
      </c>
    </row>
    <row r="123" spans="1:13" x14ac:dyDescent="0.25">
      <c r="A123" t="s">
        <v>528</v>
      </c>
      <c r="B123" t="s">
        <v>529</v>
      </c>
      <c r="C123" t="s">
        <v>281</v>
      </c>
      <c r="D123" t="s">
        <v>330</v>
      </c>
      <c r="E123">
        <v>10</v>
      </c>
      <c r="F123">
        <v>340</v>
      </c>
      <c r="G123">
        <v>58</v>
      </c>
      <c r="H123">
        <v>2681</v>
      </c>
      <c r="I123">
        <v>0.19220565019844099</v>
      </c>
      <c r="J123">
        <v>0.44417928511185101</v>
      </c>
      <c r="K123">
        <v>1.3595334685598399</v>
      </c>
      <c r="L123" t="s">
        <v>1682</v>
      </c>
      <c r="M123" t="str">
        <f>HYPERLINK("../../3.KEGG_map/SCI_II-vs-NC-Down/rno04662.html","rno04662")</f>
        <v>rno04662</v>
      </c>
    </row>
    <row r="124" spans="1:13" x14ac:dyDescent="0.25">
      <c r="A124" t="s">
        <v>531</v>
      </c>
      <c r="B124" t="s">
        <v>532</v>
      </c>
      <c r="C124" t="s">
        <v>281</v>
      </c>
      <c r="D124" t="s">
        <v>330</v>
      </c>
      <c r="E124">
        <v>9</v>
      </c>
      <c r="F124">
        <v>340</v>
      </c>
      <c r="G124">
        <v>40</v>
      </c>
      <c r="H124">
        <v>2681</v>
      </c>
      <c r="I124">
        <v>5.8126782517852298E-2</v>
      </c>
      <c r="J124">
        <v>0.221435361972771</v>
      </c>
      <c r="K124">
        <v>1.77419117647059</v>
      </c>
      <c r="L124" t="s">
        <v>1683</v>
      </c>
      <c r="M124" t="str">
        <f>HYPERLINK("../../3.KEGG_map/SCI_II-vs-NC-Down/rno04664.html","rno04664")</f>
        <v>rno04664</v>
      </c>
    </row>
    <row r="125" spans="1:13" x14ac:dyDescent="0.25">
      <c r="A125" t="s">
        <v>534</v>
      </c>
      <c r="B125" t="s">
        <v>535</v>
      </c>
      <c r="C125" t="s">
        <v>281</v>
      </c>
      <c r="D125" t="s">
        <v>330</v>
      </c>
      <c r="E125">
        <v>10</v>
      </c>
      <c r="F125">
        <v>340</v>
      </c>
      <c r="G125">
        <v>51</v>
      </c>
      <c r="H125">
        <v>2681</v>
      </c>
      <c r="I125">
        <v>0.103003986488812</v>
      </c>
      <c r="J125">
        <v>0.303077791183398</v>
      </c>
      <c r="K125">
        <v>1.5461361014994199</v>
      </c>
      <c r="L125" t="s">
        <v>1684</v>
      </c>
      <c r="M125" t="str">
        <f>HYPERLINK("../../3.KEGG_map/SCI_II-vs-NC-Down/rno04666.html","rno04666")</f>
        <v>rno04666</v>
      </c>
    </row>
    <row r="126" spans="1:13" x14ac:dyDescent="0.25">
      <c r="A126" t="s">
        <v>537</v>
      </c>
      <c r="B126" t="s">
        <v>538</v>
      </c>
      <c r="C126" t="s">
        <v>249</v>
      </c>
      <c r="D126" t="s">
        <v>304</v>
      </c>
      <c r="E126">
        <v>15</v>
      </c>
      <c r="F126">
        <v>340</v>
      </c>
      <c r="G126">
        <v>65</v>
      </c>
      <c r="H126">
        <v>2681</v>
      </c>
      <c r="I126">
        <v>1.3532165415237499E-2</v>
      </c>
      <c r="J126">
        <v>9.4623275424856698E-2</v>
      </c>
      <c r="K126">
        <v>1.81968325791855</v>
      </c>
      <c r="L126" t="s">
        <v>1685</v>
      </c>
      <c r="M126" t="str">
        <f>HYPERLINK("../../3.KEGG_map/SCI_II-vs-NC-Down/rno04668.html","rno04668")</f>
        <v>rno04668</v>
      </c>
    </row>
    <row r="127" spans="1:13" x14ac:dyDescent="0.25">
      <c r="A127" t="s">
        <v>540</v>
      </c>
      <c r="B127" t="s">
        <v>541</v>
      </c>
      <c r="C127" t="s">
        <v>281</v>
      </c>
      <c r="D127" t="s">
        <v>330</v>
      </c>
      <c r="E127">
        <v>10</v>
      </c>
      <c r="F127">
        <v>340</v>
      </c>
      <c r="G127">
        <v>63</v>
      </c>
      <c r="H127">
        <v>2681</v>
      </c>
      <c r="I127">
        <v>0.27133541630285302</v>
      </c>
      <c r="J127">
        <v>0.56138361993693697</v>
      </c>
      <c r="K127">
        <v>1.2516339869280999</v>
      </c>
      <c r="L127" t="s">
        <v>1686</v>
      </c>
      <c r="M127" t="str">
        <f>HYPERLINK("../../3.KEGG_map/SCI_II-vs-NC-Down/rno04670.html","rno04670")</f>
        <v>rno04670</v>
      </c>
    </row>
    <row r="128" spans="1:13" x14ac:dyDescent="0.25">
      <c r="A128" t="s">
        <v>550</v>
      </c>
      <c r="B128" t="s">
        <v>551</v>
      </c>
      <c r="C128" t="s">
        <v>281</v>
      </c>
      <c r="D128" t="s">
        <v>548</v>
      </c>
      <c r="E128">
        <v>19</v>
      </c>
      <c r="F128">
        <v>340</v>
      </c>
      <c r="G128">
        <v>77</v>
      </c>
      <c r="H128">
        <v>2681</v>
      </c>
      <c r="I128">
        <v>2.5875432108581902E-3</v>
      </c>
      <c r="J128">
        <v>3.6888814312736301E-2</v>
      </c>
      <c r="K128">
        <v>1.9457219251336899</v>
      </c>
      <c r="L128" t="s">
        <v>1687</v>
      </c>
      <c r="M128" t="str">
        <f>HYPERLINK("../../3.KEGG_map/SCI_II-vs-NC-Down/rno04713.html","rno04713")</f>
        <v>rno04713</v>
      </c>
    </row>
    <row r="129" spans="1:13" x14ac:dyDescent="0.25">
      <c r="A129" t="s">
        <v>553</v>
      </c>
      <c r="B129" t="s">
        <v>554</v>
      </c>
      <c r="C129" t="s">
        <v>281</v>
      </c>
      <c r="D129" t="s">
        <v>548</v>
      </c>
      <c r="E129">
        <v>13</v>
      </c>
      <c r="F129">
        <v>340</v>
      </c>
      <c r="G129">
        <v>74</v>
      </c>
      <c r="H129">
        <v>2681</v>
      </c>
      <c r="I129">
        <v>0.13600974900380899</v>
      </c>
      <c r="J129">
        <v>0.34725893362674498</v>
      </c>
      <c r="K129">
        <v>1.38525437201908</v>
      </c>
      <c r="L129" t="s">
        <v>1688</v>
      </c>
      <c r="M129" t="str">
        <f>HYPERLINK("../../3.KEGG_map/SCI_II-vs-NC-Down/rno04714.html","rno04714")</f>
        <v>rno04714</v>
      </c>
    </row>
    <row r="130" spans="1:13" x14ac:dyDescent="0.25">
      <c r="A130" t="s">
        <v>556</v>
      </c>
      <c r="B130" t="s">
        <v>557</v>
      </c>
      <c r="C130" t="s">
        <v>281</v>
      </c>
      <c r="D130" t="s">
        <v>558</v>
      </c>
      <c r="E130">
        <v>9</v>
      </c>
      <c r="F130">
        <v>340</v>
      </c>
      <c r="G130">
        <v>77</v>
      </c>
      <c r="H130">
        <v>2681</v>
      </c>
      <c r="I130">
        <v>0.65733699376912502</v>
      </c>
      <c r="J130">
        <v>0.85739607882929403</v>
      </c>
      <c r="K130">
        <v>0.92165775401069505</v>
      </c>
      <c r="L130" t="s">
        <v>1689</v>
      </c>
      <c r="M130" t="str">
        <f>HYPERLINK("../../3.KEGG_map/SCI_II-vs-NC-Down/rno04720.html","rno04720")</f>
        <v>rno04720</v>
      </c>
    </row>
    <row r="131" spans="1:13" x14ac:dyDescent="0.25">
      <c r="A131" t="s">
        <v>560</v>
      </c>
      <c r="B131" t="s">
        <v>561</v>
      </c>
      <c r="C131" t="s">
        <v>281</v>
      </c>
      <c r="D131" t="s">
        <v>558</v>
      </c>
      <c r="E131">
        <v>4</v>
      </c>
      <c r="F131">
        <v>340</v>
      </c>
      <c r="G131">
        <v>27</v>
      </c>
      <c r="H131">
        <v>2681</v>
      </c>
      <c r="I131">
        <v>0.45342967470721401</v>
      </c>
      <c r="J131">
        <v>0.73529136439007603</v>
      </c>
      <c r="K131">
        <v>1.1681917211329</v>
      </c>
      <c r="L131" t="s">
        <v>1690</v>
      </c>
      <c r="M131" t="str">
        <f>HYPERLINK("../../3.KEGG_map/SCI_II-vs-NC-Down/rno04721.html","rno04721")</f>
        <v>rno04721</v>
      </c>
    </row>
    <row r="132" spans="1:13" x14ac:dyDescent="0.25">
      <c r="A132" t="s">
        <v>563</v>
      </c>
      <c r="B132" t="s">
        <v>564</v>
      </c>
      <c r="C132" t="s">
        <v>281</v>
      </c>
      <c r="D132" t="s">
        <v>558</v>
      </c>
      <c r="E132">
        <v>21</v>
      </c>
      <c r="F132">
        <v>340</v>
      </c>
      <c r="G132">
        <v>90</v>
      </c>
      <c r="H132">
        <v>2681</v>
      </c>
      <c r="I132">
        <v>3.2709320584527698E-3</v>
      </c>
      <c r="J132">
        <v>3.9251184701433198E-2</v>
      </c>
      <c r="K132">
        <v>1.8399019607843099</v>
      </c>
      <c r="L132" t="s">
        <v>1691</v>
      </c>
      <c r="M132" t="str">
        <f>HYPERLINK("../../3.KEGG_map/SCI_II-vs-NC-Down/rno04722.html","rno04722")</f>
        <v>rno04722</v>
      </c>
    </row>
    <row r="133" spans="1:13" x14ac:dyDescent="0.25">
      <c r="A133" t="s">
        <v>566</v>
      </c>
      <c r="B133" t="s">
        <v>567</v>
      </c>
      <c r="C133" t="s">
        <v>281</v>
      </c>
      <c r="D133" t="s">
        <v>558</v>
      </c>
      <c r="E133">
        <v>12</v>
      </c>
      <c r="F133">
        <v>340</v>
      </c>
      <c r="G133">
        <v>54</v>
      </c>
      <c r="H133">
        <v>2681</v>
      </c>
      <c r="I133">
        <v>3.4117148631770899E-2</v>
      </c>
      <c r="J133">
        <v>0.157463762915866</v>
      </c>
      <c r="K133">
        <v>1.7522875816993499</v>
      </c>
      <c r="L133" t="s">
        <v>1692</v>
      </c>
      <c r="M133" t="str">
        <f>HYPERLINK("../../3.KEGG_map/SCI_II-vs-NC-Down/rno04723.html","rno04723")</f>
        <v>rno04723</v>
      </c>
    </row>
    <row r="134" spans="1:13" x14ac:dyDescent="0.25">
      <c r="A134" t="s">
        <v>569</v>
      </c>
      <c r="B134" t="s">
        <v>570</v>
      </c>
      <c r="C134" t="s">
        <v>281</v>
      </c>
      <c r="D134" t="s">
        <v>558</v>
      </c>
      <c r="E134">
        <v>17</v>
      </c>
      <c r="F134">
        <v>340</v>
      </c>
      <c r="G134">
        <v>77</v>
      </c>
      <c r="H134">
        <v>2681</v>
      </c>
      <c r="I134">
        <v>1.3799227666124901E-2</v>
      </c>
      <c r="J134">
        <v>9.4623275424856698E-2</v>
      </c>
      <c r="K134">
        <v>1.7409090909090901</v>
      </c>
      <c r="L134" t="s">
        <v>1693</v>
      </c>
      <c r="M134" t="str">
        <f>HYPERLINK("../../3.KEGG_map/SCI_II-vs-NC-Down/rno04724.html","rno04724")</f>
        <v>rno04724</v>
      </c>
    </row>
    <row r="135" spans="1:13" x14ac:dyDescent="0.25">
      <c r="A135" t="s">
        <v>572</v>
      </c>
      <c r="B135" t="s">
        <v>573</v>
      </c>
      <c r="C135" t="s">
        <v>281</v>
      </c>
      <c r="D135" t="s">
        <v>558</v>
      </c>
      <c r="E135">
        <v>16</v>
      </c>
      <c r="F135">
        <v>340</v>
      </c>
      <c r="G135">
        <v>61</v>
      </c>
      <c r="H135">
        <v>2681</v>
      </c>
      <c r="I135">
        <v>2.8748006227432201E-3</v>
      </c>
      <c r="J135">
        <v>3.8330674969909599E-2</v>
      </c>
      <c r="K135">
        <v>2.0682738669238199</v>
      </c>
      <c r="L135" t="s">
        <v>1694</v>
      </c>
      <c r="M135" t="str">
        <f>HYPERLINK("../../3.KEGG_map/SCI_II-vs-NC-Down/rno04725.html","rno04725")</f>
        <v>rno04725</v>
      </c>
    </row>
    <row r="136" spans="1:13" x14ac:dyDescent="0.25">
      <c r="A136" t="s">
        <v>575</v>
      </c>
      <c r="B136" t="s">
        <v>576</v>
      </c>
      <c r="C136" t="s">
        <v>281</v>
      </c>
      <c r="D136" t="s">
        <v>558</v>
      </c>
      <c r="E136">
        <v>9</v>
      </c>
      <c r="F136">
        <v>340</v>
      </c>
      <c r="G136">
        <v>59</v>
      </c>
      <c r="H136">
        <v>2681</v>
      </c>
      <c r="I136">
        <v>0.32934133100381002</v>
      </c>
      <c r="J136">
        <v>0.61336205162805901</v>
      </c>
      <c r="K136">
        <v>1.2028414755732799</v>
      </c>
      <c r="L136" t="s">
        <v>1695</v>
      </c>
      <c r="M136" t="str">
        <f>HYPERLINK("../../3.KEGG_map/SCI_II-vs-NC-Down/rno04726.html","rno04726")</f>
        <v>rno04726</v>
      </c>
    </row>
    <row r="137" spans="1:13" x14ac:dyDescent="0.25">
      <c r="A137" t="s">
        <v>578</v>
      </c>
      <c r="B137" t="s">
        <v>579</v>
      </c>
      <c r="C137" t="s">
        <v>281</v>
      </c>
      <c r="D137" t="s">
        <v>558</v>
      </c>
      <c r="E137">
        <v>13</v>
      </c>
      <c r="F137">
        <v>340</v>
      </c>
      <c r="G137">
        <v>35</v>
      </c>
      <c r="H137">
        <v>2681</v>
      </c>
      <c r="I137">
        <v>1.8748863495712001E-4</v>
      </c>
      <c r="J137">
        <v>5.6246590487135997E-3</v>
      </c>
      <c r="K137">
        <v>2.9288235294117699</v>
      </c>
      <c r="L137" t="s">
        <v>1696</v>
      </c>
      <c r="M137" t="str">
        <f>HYPERLINK("../../3.KEGG_map/SCI_II-vs-NC-Down/rno04727.html","rno04727")</f>
        <v>rno04727</v>
      </c>
    </row>
    <row r="138" spans="1:13" x14ac:dyDescent="0.25">
      <c r="A138" t="s">
        <v>581</v>
      </c>
      <c r="B138" t="s">
        <v>582</v>
      </c>
      <c r="C138" t="s">
        <v>281</v>
      </c>
      <c r="D138" t="s">
        <v>558</v>
      </c>
      <c r="E138">
        <v>13</v>
      </c>
      <c r="F138">
        <v>340</v>
      </c>
      <c r="G138">
        <v>85</v>
      </c>
      <c r="H138">
        <v>2681</v>
      </c>
      <c r="I138">
        <v>0.275665029789814</v>
      </c>
      <c r="J138">
        <v>0.565466727773977</v>
      </c>
      <c r="K138">
        <v>1.20598615916955</v>
      </c>
      <c r="L138" t="s">
        <v>1697</v>
      </c>
      <c r="M138" t="str">
        <f>HYPERLINK("../../3.KEGG_map/SCI_II-vs-NC-Down/rno04728.html","rno04728")</f>
        <v>rno04728</v>
      </c>
    </row>
    <row r="139" spans="1:13" x14ac:dyDescent="0.25">
      <c r="A139" t="s">
        <v>584</v>
      </c>
      <c r="B139" t="s">
        <v>585</v>
      </c>
      <c r="C139" t="s">
        <v>281</v>
      </c>
      <c r="D139" t="s">
        <v>558</v>
      </c>
      <c r="E139">
        <v>2</v>
      </c>
      <c r="F139">
        <v>340</v>
      </c>
      <c r="G139">
        <v>48</v>
      </c>
      <c r="H139">
        <v>2681</v>
      </c>
      <c r="I139">
        <v>0.98863975685485095</v>
      </c>
      <c r="J139">
        <v>0.99347469434996105</v>
      </c>
      <c r="K139">
        <v>0.32855392156862701</v>
      </c>
      <c r="L139" t="s">
        <v>1698</v>
      </c>
      <c r="M139" t="str">
        <f>HYPERLINK("../../3.KEGG_map/SCI_II-vs-NC-Down/rno04730.html","rno04730")</f>
        <v>rno04730</v>
      </c>
    </row>
    <row r="140" spans="1:13" x14ac:dyDescent="0.25">
      <c r="A140" t="s">
        <v>587</v>
      </c>
      <c r="B140" t="s">
        <v>588</v>
      </c>
      <c r="C140" t="s">
        <v>281</v>
      </c>
      <c r="D140" t="s">
        <v>589</v>
      </c>
      <c r="E140">
        <v>4</v>
      </c>
      <c r="F140">
        <v>340</v>
      </c>
      <c r="G140">
        <v>20</v>
      </c>
      <c r="H140">
        <v>2681</v>
      </c>
      <c r="I140">
        <v>0.242335166990122</v>
      </c>
      <c r="J140">
        <v>0.51928964355026097</v>
      </c>
      <c r="K140">
        <v>1.5770588235294101</v>
      </c>
      <c r="L140" t="s">
        <v>1699</v>
      </c>
      <c r="M140" t="str">
        <f>HYPERLINK("../../3.KEGG_map/SCI_II-vs-NC-Down/rno04740.html","rno04740")</f>
        <v>rno04740</v>
      </c>
    </row>
    <row r="141" spans="1:13" x14ac:dyDescent="0.25">
      <c r="A141" t="s">
        <v>591</v>
      </c>
      <c r="B141" t="s">
        <v>592</v>
      </c>
      <c r="C141" t="s">
        <v>281</v>
      </c>
      <c r="D141" t="s">
        <v>589</v>
      </c>
      <c r="E141">
        <v>2</v>
      </c>
      <c r="F141">
        <v>340</v>
      </c>
      <c r="G141">
        <v>8</v>
      </c>
      <c r="H141">
        <v>2681</v>
      </c>
      <c r="I141">
        <v>0.26934710533331102</v>
      </c>
      <c r="J141">
        <v>0.56138361993693697</v>
      </c>
      <c r="K141">
        <v>1.9713235294117599</v>
      </c>
      <c r="L141" t="s">
        <v>1700</v>
      </c>
      <c r="M141" t="str">
        <f>HYPERLINK("../../3.KEGG_map/SCI_II-vs-NC-Down/rno04742.html","rno04742")</f>
        <v>rno04742</v>
      </c>
    </row>
    <row r="142" spans="1:13" x14ac:dyDescent="0.25">
      <c r="A142" t="s">
        <v>594</v>
      </c>
      <c r="B142" t="s">
        <v>595</v>
      </c>
      <c r="C142" t="s">
        <v>281</v>
      </c>
      <c r="D142" t="s">
        <v>589</v>
      </c>
      <c r="E142">
        <v>12</v>
      </c>
      <c r="F142">
        <v>340</v>
      </c>
      <c r="G142">
        <v>52</v>
      </c>
      <c r="H142">
        <v>2681</v>
      </c>
      <c r="I142">
        <v>2.59121040908829E-2</v>
      </c>
      <c r="J142">
        <v>0.13519358656112801</v>
      </c>
      <c r="K142">
        <v>1.81968325791855</v>
      </c>
      <c r="L142" t="s">
        <v>1701</v>
      </c>
      <c r="M142" t="str">
        <f>HYPERLINK("../../3.KEGG_map/SCI_II-vs-NC-Down/rno04750.html","rno04750")</f>
        <v>rno04750</v>
      </c>
    </row>
    <row r="143" spans="1:13" x14ac:dyDescent="0.25">
      <c r="A143" t="s">
        <v>597</v>
      </c>
      <c r="B143" t="s">
        <v>598</v>
      </c>
      <c r="C143" t="s">
        <v>355</v>
      </c>
      <c r="D143" t="s">
        <v>599</v>
      </c>
      <c r="E143">
        <v>20</v>
      </c>
      <c r="F143">
        <v>340</v>
      </c>
      <c r="G143">
        <v>174</v>
      </c>
      <c r="H143">
        <v>2681</v>
      </c>
      <c r="I143">
        <v>0.72172834456673896</v>
      </c>
      <c r="J143">
        <v>0.897486024331697</v>
      </c>
      <c r="K143">
        <v>0.90635564570655802</v>
      </c>
      <c r="L143" t="s">
        <v>1702</v>
      </c>
      <c r="M143" t="str">
        <f>HYPERLINK("../../3.KEGG_map/SCI_II-vs-NC-Down/rno04810.html","rno04810")</f>
        <v>rno04810</v>
      </c>
    </row>
    <row r="144" spans="1:13" x14ac:dyDescent="0.25">
      <c r="A144" t="s">
        <v>601</v>
      </c>
      <c r="B144" t="s">
        <v>602</v>
      </c>
      <c r="C144" t="s">
        <v>281</v>
      </c>
      <c r="D144" t="s">
        <v>282</v>
      </c>
      <c r="E144">
        <v>17</v>
      </c>
      <c r="F144">
        <v>340</v>
      </c>
      <c r="G144">
        <v>100</v>
      </c>
      <c r="H144">
        <v>2681</v>
      </c>
      <c r="I144">
        <v>0.12302753819979299</v>
      </c>
      <c r="J144">
        <v>0.331759653572475</v>
      </c>
      <c r="K144">
        <v>1.3405</v>
      </c>
      <c r="L144" t="s">
        <v>1703</v>
      </c>
      <c r="M144" t="str">
        <f>HYPERLINK("../../3.KEGG_map/SCI_II-vs-NC-Down/rno04910.html","rno04910")</f>
        <v>rno04910</v>
      </c>
    </row>
    <row r="145" spans="1:13" x14ac:dyDescent="0.25">
      <c r="A145" t="s">
        <v>604</v>
      </c>
      <c r="B145" t="s">
        <v>605</v>
      </c>
      <c r="C145" t="s">
        <v>281</v>
      </c>
      <c r="D145" t="s">
        <v>282</v>
      </c>
      <c r="E145">
        <v>12</v>
      </c>
      <c r="F145">
        <v>340</v>
      </c>
      <c r="G145">
        <v>56</v>
      </c>
      <c r="H145">
        <v>2681</v>
      </c>
      <c r="I145">
        <v>4.4026244279055299E-2</v>
      </c>
      <c r="J145">
        <v>0.17908980723683501</v>
      </c>
      <c r="K145">
        <v>1.6897058823529401</v>
      </c>
      <c r="L145" t="s">
        <v>1704</v>
      </c>
      <c r="M145" t="str">
        <f>HYPERLINK("../../3.KEGG_map/SCI_II-vs-NC-Down/rno04911.html","rno04911")</f>
        <v>rno04911</v>
      </c>
    </row>
    <row r="146" spans="1:13" x14ac:dyDescent="0.25">
      <c r="A146" t="s">
        <v>607</v>
      </c>
      <c r="B146" t="s">
        <v>608</v>
      </c>
      <c r="C146" t="s">
        <v>281</v>
      </c>
      <c r="D146" t="s">
        <v>282</v>
      </c>
      <c r="E146">
        <v>18</v>
      </c>
      <c r="F146">
        <v>340</v>
      </c>
      <c r="G146">
        <v>83</v>
      </c>
      <c r="H146">
        <v>2681</v>
      </c>
      <c r="I146">
        <v>1.37530731907531E-2</v>
      </c>
      <c r="J146">
        <v>9.4623275424856698E-2</v>
      </c>
      <c r="K146">
        <v>1.71006378454996</v>
      </c>
      <c r="L146" t="s">
        <v>1705</v>
      </c>
      <c r="M146" t="str">
        <f>HYPERLINK("../../3.KEGG_map/SCI_II-vs-NC-Down/rno04912.html","rno04912")</f>
        <v>rno04912</v>
      </c>
    </row>
    <row r="147" spans="1:13" x14ac:dyDescent="0.25">
      <c r="A147" t="s">
        <v>610</v>
      </c>
      <c r="B147" t="s">
        <v>611</v>
      </c>
      <c r="C147" t="s">
        <v>281</v>
      </c>
      <c r="D147" t="s">
        <v>282</v>
      </c>
      <c r="E147">
        <v>8</v>
      </c>
      <c r="F147">
        <v>340</v>
      </c>
      <c r="G147">
        <v>19</v>
      </c>
      <c r="H147">
        <v>2681</v>
      </c>
      <c r="I147">
        <v>1.31045374100536E-3</v>
      </c>
      <c r="J147">
        <v>2.41929921416374E-2</v>
      </c>
      <c r="K147">
        <v>3.3201238390092902</v>
      </c>
      <c r="L147" t="s">
        <v>1706</v>
      </c>
      <c r="M147" t="str">
        <f>HYPERLINK("../../3.KEGG_map/SCI_II-vs-NC-Down/rno04913.html","rno04913")</f>
        <v>rno04913</v>
      </c>
    </row>
    <row r="148" spans="1:13" x14ac:dyDescent="0.25">
      <c r="A148" t="s">
        <v>613</v>
      </c>
      <c r="B148" t="s">
        <v>614</v>
      </c>
      <c r="C148" t="s">
        <v>281</v>
      </c>
      <c r="D148" t="s">
        <v>282</v>
      </c>
      <c r="E148">
        <v>19</v>
      </c>
      <c r="F148">
        <v>340</v>
      </c>
      <c r="G148">
        <v>59</v>
      </c>
      <c r="H148">
        <v>2681</v>
      </c>
      <c r="I148" s="1">
        <v>6.2912093449867402E-5</v>
      </c>
      <c r="J148">
        <v>2.3152763461356499E-3</v>
      </c>
      <c r="K148">
        <v>2.53933200398804</v>
      </c>
      <c r="L148" t="s">
        <v>1707</v>
      </c>
      <c r="M148" t="str">
        <f>HYPERLINK("../../3.KEGG_map/SCI_II-vs-NC-Down/rno04914.html","rno04914")</f>
        <v>rno04914</v>
      </c>
    </row>
    <row r="149" spans="1:13" x14ac:dyDescent="0.25">
      <c r="A149" t="s">
        <v>616</v>
      </c>
      <c r="B149" t="s">
        <v>617</v>
      </c>
      <c r="C149" t="s">
        <v>281</v>
      </c>
      <c r="D149" t="s">
        <v>282</v>
      </c>
      <c r="E149">
        <v>16</v>
      </c>
      <c r="F149">
        <v>340</v>
      </c>
      <c r="G149">
        <v>67</v>
      </c>
      <c r="H149">
        <v>2681</v>
      </c>
      <c r="I149">
        <v>7.7687584474658697E-3</v>
      </c>
      <c r="J149">
        <v>7.4580081095672393E-2</v>
      </c>
      <c r="K149">
        <v>1.88305531167691</v>
      </c>
      <c r="L149" t="s">
        <v>1708</v>
      </c>
      <c r="M149" t="str">
        <f>HYPERLINK("../../3.KEGG_map/SCI_II-vs-NC-Down/rno04915.html","rno04915")</f>
        <v>rno04915</v>
      </c>
    </row>
    <row r="150" spans="1:13" x14ac:dyDescent="0.25">
      <c r="A150" t="s">
        <v>619</v>
      </c>
      <c r="B150" t="s">
        <v>620</v>
      </c>
      <c r="C150" t="s">
        <v>281</v>
      </c>
      <c r="D150" t="s">
        <v>282</v>
      </c>
      <c r="E150">
        <v>9</v>
      </c>
      <c r="F150">
        <v>340</v>
      </c>
      <c r="G150">
        <v>48</v>
      </c>
      <c r="H150">
        <v>2681</v>
      </c>
      <c r="I150">
        <v>0.14573065953109901</v>
      </c>
      <c r="J150">
        <v>0.36496328376741399</v>
      </c>
      <c r="K150">
        <v>1.47849264705882</v>
      </c>
      <c r="L150" t="s">
        <v>1709</v>
      </c>
      <c r="M150" t="str">
        <f>HYPERLINK("../../3.KEGG_map/SCI_II-vs-NC-Down/rno04916.html","rno04916")</f>
        <v>rno04916</v>
      </c>
    </row>
    <row r="151" spans="1:13" x14ac:dyDescent="0.25">
      <c r="A151" t="s">
        <v>622</v>
      </c>
      <c r="B151" t="s">
        <v>623</v>
      </c>
      <c r="C151" t="s">
        <v>281</v>
      </c>
      <c r="D151" t="s">
        <v>282</v>
      </c>
      <c r="E151">
        <v>10</v>
      </c>
      <c r="F151">
        <v>340</v>
      </c>
      <c r="G151">
        <v>33</v>
      </c>
      <c r="H151">
        <v>2681</v>
      </c>
      <c r="I151">
        <v>5.8826836171023203E-3</v>
      </c>
      <c r="J151">
        <v>6.7230669909740803E-2</v>
      </c>
      <c r="K151">
        <v>2.3894830659536499</v>
      </c>
      <c r="L151" t="s">
        <v>1710</v>
      </c>
      <c r="M151" t="str">
        <f>HYPERLINK("../../3.KEGG_map/SCI_II-vs-NC-Down/rno04917.html","rno04917")</f>
        <v>rno04917</v>
      </c>
    </row>
    <row r="152" spans="1:13" x14ac:dyDescent="0.25">
      <c r="A152" t="s">
        <v>625</v>
      </c>
      <c r="B152" t="s">
        <v>626</v>
      </c>
      <c r="C152" t="s">
        <v>281</v>
      </c>
      <c r="D152" t="s">
        <v>282</v>
      </c>
      <c r="E152">
        <v>11</v>
      </c>
      <c r="F152">
        <v>340</v>
      </c>
      <c r="G152">
        <v>46</v>
      </c>
      <c r="H152">
        <v>2681</v>
      </c>
      <c r="I152">
        <v>2.5191397655210199E-2</v>
      </c>
      <c r="J152">
        <v>0.13519358656112801</v>
      </c>
      <c r="K152">
        <v>1.88561381074169</v>
      </c>
      <c r="L152" t="s">
        <v>1711</v>
      </c>
      <c r="M152" t="str">
        <f>HYPERLINK("../../3.KEGG_map/SCI_II-vs-NC-Down/rno04918.html","rno04918")</f>
        <v>rno04918</v>
      </c>
    </row>
    <row r="153" spans="1:13" x14ac:dyDescent="0.25">
      <c r="A153" t="s">
        <v>628</v>
      </c>
      <c r="B153" t="s">
        <v>629</v>
      </c>
      <c r="C153" t="s">
        <v>281</v>
      </c>
      <c r="D153" t="s">
        <v>282</v>
      </c>
      <c r="E153">
        <v>10</v>
      </c>
      <c r="F153">
        <v>340</v>
      </c>
      <c r="G153">
        <v>88</v>
      </c>
      <c r="H153">
        <v>2681</v>
      </c>
      <c r="I153">
        <v>0.69593281010623598</v>
      </c>
      <c r="J153">
        <v>0.89317579906682698</v>
      </c>
      <c r="K153">
        <v>0.89605614973262004</v>
      </c>
      <c r="L153" t="s">
        <v>1712</v>
      </c>
      <c r="M153" t="str">
        <f>HYPERLINK("../../3.KEGG_map/SCI_II-vs-NC-Down/rno04919.html","rno04919")</f>
        <v>rno04919</v>
      </c>
    </row>
    <row r="154" spans="1:13" x14ac:dyDescent="0.25">
      <c r="A154" t="s">
        <v>631</v>
      </c>
      <c r="B154" t="s">
        <v>632</v>
      </c>
      <c r="C154" t="s">
        <v>281</v>
      </c>
      <c r="D154" t="s">
        <v>282</v>
      </c>
      <c r="E154">
        <v>6</v>
      </c>
      <c r="F154">
        <v>340</v>
      </c>
      <c r="G154">
        <v>30</v>
      </c>
      <c r="H154">
        <v>2681</v>
      </c>
      <c r="I154">
        <v>0.171410203734077</v>
      </c>
      <c r="J154">
        <v>0.41138448896178398</v>
      </c>
      <c r="K154">
        <v>1.5770588235294101</v>
      </c>
      <c r="L154" t="s">
        <v>1713</v>
      </c>
      <c r="M154" t="str">
        <f>HYPERLINK("../../3.KEGG_map/SCI_II-vs-NC-Down/rno04920.html","rno04920")</f>
        <v>rno04920</v>
      </c>
    </row>
    <row r="155" spans="1:13" x14ac:dyDescent="0.25">
      <c r="A155" t="s">
        <v>634</v>
      </c>
      <c r="B155" t="s">
        <v>635</v>
      </c>
      <c r="C155" t="s">
        <v>281</v>
      </c>
      <c r="D155" t="s">
        <v>282</v>
      </c>
      <c r="E155">
        <v>24</v>
      </c>
      <c r="F155">
        <v>340</v>
      </c>
      <c r="G155">
        <v>140</v>
      </c>
      <c r="H155">
        <v>2681</v>
      </c>
      <c r="I155">
        <v>7.09475487292901E-2</v>
      </c>
      <c r="J155">
        <v>0.25414047306014298</v>
      </c>
      <c r="K155">
        <v>1.3517647058823501</v>
      </c>
      <c r="L155" t="s">
        <v>1714</v>
      </c>
      <c r="M155" t="str">
        <f>HYPERLINK("../../3.KEGG_map/SCI_II-vs-NC-Down/rno04921.html","rno04921")</f>
        <v>rno04921</v>
      </c>
    </row>
    <row r="156" spans="1:13" x14ac:dyDescent="0.25">
      <c r="A156" t="s">
        <v>637</v>
      </c>
      <c r="B156" t="s">
        <v>638</v>
      </c>
      <c r="C156" t="s">
        <v>281</v>
      </c>
      <c r="D156" t="s">
        <v>282</v>
      </c>
      <c r="E156">
        <v>8</v>
      </c>
      <c r="F156">
        <v>340</v>
      </c>
      <c r="G156">
        <v>88</v>
      </c>
      <c r="H156">
        <v>2681</v>
      </c>
      <c r="I156">
        <v>0.88754544775356603</v>
      </c>
      <c r="J156">
        <v>0.94671514427046999</v>
      </c>
      <c r="K156">
        <v>0.71684491978609599</v>
      </c>
      <c r="L156" t="s">
        <v>1715</v>
      </c>
      <c r="M156" t="str">
        <f>HYPERLINK("../../3.KEGG_map/SCI_II-vs-NC-Down/rno04922.html","rno04922")</f>
        <v>rno04922</v>
      </c>
    </row>
    <row r="157" spans="1:13" x14ac:dyDescent="0.25">
      <c r="A157" t="s">
        <v>640</v>
      </c>
      <c r="B157" t="s">
        <v>641</v>
      </c>
      <c r="C157" t="s">
        <v>281</v>
      </c>
      <c r="D157" t="s">
        <v>282</v>
      </c>
      <c r="E157">
        <v>15</v>
      </c>
      <c r="F157">
        <v>340</v>
      </c>
      <c r="G157">
        <v>35</v>
      </c>
      <c r="H157">
        <v>2681</v>
      </c>
      <c r="I157" s="1">
        <v>7.7332367705521597E-6</v>
      </c>
      <c r="J157">
        <v>6.1865894164417205E-4</v>
      </c>
      <c r="K157">
        <v>3.3794117647058801</v>
      </c>
      <c r="L157" t="s">
        <v>1716</v>
      </c>
      <c r="M157" t="str">
        <f>HYPERLINK("../../3.KEGG_map/SCI_II-vs-NC-Down/rno04923.html","rno04923")</f>
        <v>rno04923</v>
      </c>
    </row>
    <row r="158" spans="1:13" x14ac:dyDescent="0.25">
      <c r="A158" t="s">
        <v>643</v>
      </c>
      <c r="B158" t="s">
        <v>644</v>
      </c>
      <c r="C158" t="s">
        <v>281</v>
      </c>
      <c r="D158" t="s">
        <v>282</v>
      </c>
      <c r="E158">
        <v>8</v>
      </c>
      <c r="F158">
        <v>340</v>
      </c>
      <c r="G158">
        <v>65</v>
      </c>
      <c r="H158">
        <v>2681</v>
      </c>
      <c r="I158">
        <v>0.59391856376194296</v>
      </c>
      <c r="J158">
        <v>0.823933267646625</v>
      </c>
      <c r="K158">
        <v>0.97049773755656099</v>
      </c>
      <c r="L158" t="s">
        <v>1717</v>
      </c>
      <c r="M158" t="str">
        <f>HYPERLINK("../../3.KEGG_map/SCI_II-vs-NC-Down/rno04924.html","rno04924")</f>
        <v>rno04924</v>
      </c>
    </row>
    <row r="159" spans="1:13" x14ac:dyDescent="0.25">
      <c r="A159" t="s">
        <v>646</v>
      </c>
      <c r="B159" t="s">
        <v>647</v>
      </c>
      <c r="C159" t="s">
        <v>281</v>
      </c>
      <c r="D159" t="s">
        <v>282</v>
      </c>
      <c r="E159">
        <v>13</v>
      </c>
      <c r="F159">
        <v>340</v>
      </c>
      <c r="G159">
        <v>62</v>
      </c>
      <c r="H159">
        <v>2681</v>
      </c>
      <c r="I159">
        <v>4.3265868384585598E-2</v>
      </c>
      <c r="J159">
        <v>0.17903117952242301</v>
      </c>
      <c r="K159">
        <v>1.6533681214421301</v>
      </c>
      <c r="L159" t="s">
        <v>1718</v>
      </c>
      <c r="M159" t="str">
        <f>HYPERLINK("../../3.KEGG_map/SCI_II-vs-NC-Down/rno04925.html","rno04925")</f>
        <v>rno04925</v>
      </c>
    </row>
    <row r="160" spans="1:13" x14ac:dyDescent="0.25">
      <c r="A160" t="s">
        <v>649</v>
      </c>
      <c r="B160" t="s">
        <v>650</v>
      </c>
      <c r="C160" t="s">
        <v>281</v>
      </c>
      <c r="D160" t="s">
        <v>282</v>
      </c>
      <c r="E160">
        <v>22</v>
      </c>
      <c r="F160">
        <v>340</v>
      </c>
      <c r="G160">
        <v>104</v>
      </c>
      <c r="H160">
        <v>2681</v>
      </c>
      <c r="I160">
        <v>9.1768967769765199E-3</v>
      </c>
      <c r="J160">
        <v>8.4709816402860197E-2</v>
      </c>
      <c r="K160">
        <v>1.6680429864253401</v>
      </c>
      <c r="L160" t="s">
        <v>1719</v>
      </c>
      <c r="M160" t="str">
        <f>HYPERLINK("../../3.KEGG_map/SCI_II-vs-NC-Down/rno04926.html","rno04926")</f>
        <v>rno04926</v>
      </c>
    </row>
    <row r="161" spans="1:13" x14ac:dyDescent="0.25">
      <c r="A161" t="s">
        <v>652</v>
      </c>
      <c r="B161" t="s">
        <v>653</v>
      </c>
      <c r="C161" t="s">
        <v>281</v>
      </c>
      <c r="D161" t="s">
        <v>282</v>
      </c>
      <c r="E161">
        <v>11</v>
      </c>
      <c r="F161">
        <v>340</v>
      </c>
      <c r="G161">
        <v>49</v>
      </c>
      <c r="H161">
        <v>2681</v>
      </c>
      <c r="I161">
        <v>3.8884377653263302E-2</v>
      </c>
      <c r="J161">
        <v>0.172607007577746</v>
      </c>
      <c r="K161">
        <v>1.77016806722689</v>
      </c>
      <c r="L161" t="s">
        <v>1720</v>
      </c>
      <c r="M161" t="str">
        <f>HYPERLINK("../../3.KEGG_map/SCI_II-vs-NC-Down/rno04927.html","rno04927")</f>
        <v>rno04927</v>
      </c>
    </row>
    <row r="162" spans="1:13" x14ac:dyDescent="0.25">
      <c r="A162" t="s">
        <v>655</v>
      </c>
      <c r="B162" t="s">
        <v>656</v>
      </c>
      <c r="C162" t="s">
        <v>235</v>
      </c>
      <c r="D162" t="s">
        <v>657</v>
      </c>
      <c r="E162">
        <v>3</v>
      </c>
      <c r="F162">
        <v>340</v>
      </c>
      <c r="G162">
        <v>18</v>
      </c>
      <c r="H162">
        <v>2681</v>
      </c>
      <c r="I162">
        <v>0.40443033239479098</v>
      </c>
      <c r="J162">
        <v>0.69008998609369898</v>
      </c>
      <c r="K162">
        <v>1.31421568627451</v>
      </c>
      <c r="L162" t="s">
        <v>1721</v>
      </c>
      <c r="M162" t="str">
        <f>HYPERLINK("../../3.KEGG_map/SCI_II-vs-NC-Down/rno04930.html","rno04930")</f>
        <v>rno04930</v>
      </c>
    </row>
    <row r="163" spans="1:13" x14ac:dyDescent="0.25">
      <c r="A163" t="s">
        <v>659</v>
      </c>
      <c r="B163" t="s">
        <v>660</v>
      </c>
      <c r="C163" t="s">
        <v>235</v>
      </c>
      <c r="D163" t="s">
        <v>657</v>
      </c>
      <c r="E163">
        <v>7</v>
      </c>
      <c r="F163">
        <v>340</v>
      </c>
      <c r="G163">
        <v>51</v>
      </c>
      <c r="H163">
        <v>2681</v>
      </c>
      <c r="I163">
        <v>0.47388907901564498</v>
      </c>
      <c r="J163">
        <v>0.75822252642503196</v>
      </c>
      <c r="K163">
        <v>1.0822952710496001</v>
      </c>
      <c r="L163" t="s">
        <v>1722</v>
      </c>
      <c r="M163" t="str">
        <f>HYPERLINK("../../3.KEGG_map/SCI_II-vs-NC-Down/rno04931.html","rno04931")</f>
        <v>rno04931</v>
      </c>
    </row>
    <row r="164" spans="1:13" x14ac:dyDescent="0.25">
      <c r="A164" t="s">
        <v>662</v>
      </c>
      <c r="B164" t="s">
        <v>663</v>
      </c>
      <c r="C164" t="s">
        <v>235</v>
      </c>
      <c r="D164" t="s">
        <v>657</v>
      </c>
      <c r="E164">
        <v>10</v>
      </c>
      <c r="F164">
        <v>340</v>
      </c>
      <c r="G164">
        <v>59</v>
      </c>
      <c r="H164">
        <v>2681</v>
      </c>
      <c r="I164">
        <v>0.20715903947309799</v>
      </c>
      <c r="J164">
        <v>0.46465578947236802</v>
      </c>
      <c r="K164">
        <v>1.3364905284147599</v>
      </c>
      <c r="L164" t="s">
        <v>1723</v>
      </c>
      <c r="M164" t="str">
        <f>HYPERLINK("../../3.KEGG_map/SCI_II-vs-NC-Down/rno04932.html","rno04932")</f>
        <v>rno04932</v>
      </c>
    </row>
    <row r="165" spans="1:13" x14ac:dyDescent="0.25">
      <c r="A165" t="s">
        <v>665</v>
      </c>
      <c r="B165" t="s">
        <v>666</v>
      </c>
      <c r="C165" t="s">
        <v>235</v>
      </c>
      <c r="D165" t="s">
        <v>657</v>
      </c>
      <c r="E165">
        <v>13</v>
      </c>
      <c r="F165">
        <v>340</v>
      </c>
      <c r="G165">
        <v>94</v>
      </c>
      <c r="H165">
        <v>2681</v>
      </c>
      <c r="I165">
        <v>0.41371800116586299</v>
      </c>
      <c r="J165">
        <v>0.69924169211131704</v>
      </c>
      <c r="K165">
        <v>1.0905193992490601</v>
      </c>
      <c r="L165" t="s">
        <v>1724</v>
      </c>
      <c r="M165" t="str">
        <f>HYPERLINK("../../3.KEGG_map/SCI_II-vs-NC-Down/rno04933.html","rno04933")</f>
        <v>rno04933</v>
      </c>
    </row>
    <row r="166" spans="1:13" x14ac:dyDescent="0.25">
      <c r="A166" t="s">
        <v>668</v>
      </c>
      <c r="B166" t="s">
        <v>669</v>
      </c>
      <c r="C166" t="s">
        <v>235</v>
      </c>
      <c r="D166" t="s">
        <v>657</v>
      </c>
      <c r="E166">
        <v>14</v>
      </c>
      <c r="F166">
        <v>340</v>
      </c>
      <c r="G166">
        <v>79</v>
      </c>
      <c r="H166">
        <v>2681</v>
      </c>
      <c r="I166">
        <v>0.118506565119278</v>
      </c>
      <c r="J166">
        <v>0.324365571143516</v>
      </c>
      <c r="K166">
        <v>1.39739389426657</v>
      </c>
      <c r="L166" t="s">
        <v>1725</v>
      </c>
      <c r="M166" t="str">
        <f>HYPERLINK("../../3.KEGG_map/SCI_II-vs-NC-Down/rno04934.html","rno04934")</f>
        <v>rno04934</v>
      </c>
    </row>
    <row r="167" spans="1:13" x14ac:dyDescent="0.25">
      <c r="A167" t="s">
        <v>671</v>
      </c>
      <c r="B167" t="s">
        <v>672</v>
      </c>
      <c r="C167" t="s">
        <v>235</v>
      </c>
      <c r="D167" t="s">
        <v>657</v>
      </c>
      <c r="E167">
        <v>1</v>
      </c>
      <c r="F167">
        <v>340</v>
      </c>
      <c r="G167">
        <v>15</v>
      </c>
      <c r="H167">
        <v>2681</v>
      </c>
      <c r="I167">
        <v>0.86995637295849704</v>
      </c>
      <c r="J167">
        <v>0.93627591708537805</v>
      </c>
      <c r="K167">
        <v>0.52568627450980399</v>
      </c>
      <c r="L167" t="s">
        <v>1463</v>
      </c>
      <c r="M167" t="str">
        <f>HYPERLINK("../../3.KEGG_map/SCI_II-vs-NC-Down/rno04940.html","rno04940")</f>
        <v>rno04940</v>
      </c>
    </row>
    <row r="168" spans="1:13" x14ac:dyDescent="0.25">
      <c r="A168" t="s">
        <v>674</v>
      </c>
      <c r="B168" t="s">
        <v>675</v>
      </c>
      <c r="C168" t="s">
        <v>281</v>
      </c>
      <c r="D168" t="s">
        <v>676</v>
      </c>
      <c r="E168">
        <v>4</v>
      </c>
      <c r="F168">
        <v>340</v>
      </c>
      <c r="G168">
        <v>23</v>
      </c>
      <c r="H168">
        <v>2681</v>
      </c>
      <c r="I168">
        <v>0.33226273118168098</v>
      </c>
      <c r="J168">
        <v>0.61340811910464199</v>
      </c>
      <c r="K168">
        <v>1.37135549872123</v>
      </c>
      <c r="L168" t="s">
        <v>1726</v>
      </c>
      <c r="M168" t="str">
        <f>HYPERLINK("../../3.KEGG_map/SCI_II-vs-NC-Down/rno04960.html","rno04960")</f>
        <v>rno04960</v>
      </c>
    </row>
    <row r="169" spans="1:13" x14ac:dyDescent="0.25">
      <c r="A169" t="s">
        <v>678</v>
      </c>
      <c r="B169" t="s">
        <v>679</v>
      </c>
      <c r="C169" t="s">
        <v>281</v>
      </c>
      <c r="D169" t="s">
        <v>676</v>
      </c>
      <c r="E169">
        <v>7</v>
      </c>
      <c r="F169">
        <v>340</v>
      </c>
      <c r="G169">
        <v>39</v>
      </c>
      <c r="H169">
        <v>2681</v>
      </c>
      <c r="I169">
        <v>0.21774573653923801</v>
      </c>
      <c r="J169">
        <v>0.479602808040275</v>
      </c>
      <c r="K169">
        <v>1.4153092006033201</v>
      </c>
      <c r="L169" t="s">
        <v>1727</v>
      </c>
      <c r="M169" t="str">
        <f>HYPERLINK("../../3.KEGG_map/SCI_II-vs-NC-Down/rno04961.html","rno04961")</f>
        <v>rno04961</v>
      </c>
    </row>
    <row r="170" spans="1:13" x14ac:dyDescent="0.25">
      <c r="A170" t="s">
        <v>681</v>
      </c>
      <c r="B170" t="s">
        <v>682</v>
      </c>
      <c r="C170" t="s">
        <v>281</v>
      </c>
      <c r="D170" t="s">
        <v>676</v>
      </c>
      <c r="E170">
        <v>1</v>
      </c>
      <c r="F170">
        <v>340</v>
      </c>
      <c r="G170">
        <v>13</v>
      </c>
      <c r="H170">
        <v>2681</v>
      </c>
      <c r="I170">
        <v>0.829187930078082</v>
      </c>
      <c r="J170">
        <v>0.91805059358262997</v>
      </c>
      <c r="K170">
        <v>0.60656108597285097</v>
      </c>
      <c r="L170" t="s">
        <v>1518</v>
      </c>
      <c r="M170" t="str">
        <f>HYPERLINK("../../3.KEGG_map/SCI_II-vs-NC-Down/rno04962.html","rno04962")</f>
        <v>rno04962</v>
      </c>
    </row>
    <row r="171" spans="1:13" x14ac:dyDescent="0.25">
      <c r="A171" t="s">
        <v>684</v>
      </c>
      <c r="B171" t="s">
        <v>685</v>
      </c>
      <c r="C171" t="s">
        <v>281</v>
      </c>
      <c r="D171" t="s">
        <v>676</v>
      </c>
      <c r="E171">
        <v>2</v>
      </c>
      <c r="F171">
        <v>340</v>
      </c>
      <c r="G171">
        <v>10</v>
      </c>
      <c r="H171">
        <v>2681</v>
      </c>
      <c r="I171">
        <v>0.36822529841672402</v>
      </c>
      <c r="J171">
        <v>0.64980935014716001</v>
      </c>
      <c r="K171">
        <v>1.5770588235294101</v>
      </c>
      <c r="L171" t="s">
        <v>1728</v>
      </c>
      <c r="M171" t="str">
        <f>HYPERLINK("../../3.KEGG_map/SCI_II-vs-NC-Down/rno04964.html","rno04964")</f>
        <v>rno04964</v>
      </c>
    </row>
    <row r="172" spans="1:13" x14ac:dyDescent="0.25">
      <c r="A172" t="s">
        <v>690</v>
      </c>
      <c r="B172" t="s">
        <v>691</v>
      </c>
      <c r="C172" t="s">
        <v>281</v>
      </c>
      <c r="D172" t="s">
        <v>692</v>
      </c>
      <c r="E172">
        <v>17</v>
      </c>
      <c r="F172">
        <v>340</v>
      </c>
      <c r="G172">
        <v>67</v>
      </c>
      <c r="H172">
        <v>2681</v>
      </c>
      <c r="I172">
        <v>3.1431048690062501E-3</v>
      </c>
      <c r="J172">
        <v>3.9251184701433198E-2</v>
      </c>
      <c r="K172">
        <v>2.0007462686567199</v>
      </c>
      <c r="L172" t="s">
        <v>1729</v>
      </c>
      <c r="M172" t="str">
        <f>HYPERLINK("../../3.KEGG_map/SCI_II-vs-NC-Down/rno04970.html","rno04970")</f>
        <v>rno04970</v>
      </c>
    </row>
    <row r="173" spans="1:13" x14ac:dyDescent="0.25">
      <c r="A173" t="s">
        <v>694</v>
      </c>
      <c r="B173" t="s">
        <v>695</v>
      </c>
      <c r="C173" t="s">
        <v>281</v>
      </c>
      <c r="D173" t="s">
        <v>692</v>
      </c>
      <c r="E173">
        <v>11</v>
      </c>
      <c r="F173">
        <v>340</v>
      </c>
      <c r="G173">
        <v>49</v>
      </c>
      <c r="H173">
        <v>2681</v>
      </c>
      <c r="I173">
        <v>3.8884377653263302E-2</v>
      </c>
      <c r="J173">
        <v>0.172607007577746</v>
      </c>
      <c r="K173">
        <v>1.77016806722689</v>
      </c>
      <c r="L173" t="s">
        <v>1730</v>
      </c>
      <c r="M173" t="str">
        <f>HYPERLINK("../../3.KEGG_map/SCI_II-vs-NC-Down/rno04971.html","rno04971")</f>
        <v>rno04971</v>
      </c>
    </row>
    <row r="174" spans="1:13" x14ac:dyDescent="0.25">
      <c r="A174" t="s">
        <v>697</v>
      </c>
      <c r="B174" t="s">
        <v>698</v>
      </c>
      <c r="C174" t="s">
        <v>281</v>
      </c>
      <c r="D174" t="s">
        <v>692</v>
      </c>
      <c r="E174">
        <v>14</v>
      </c>
      <c r="F174">
        <v>340</v>
      </c>
      <c r="G174">
        <v>55</v>
      </c>
      <c r="H174">
        <v>2681</v>
      </c>
      <c r="I174">
        <v>6.9233646173037103E-3</v>
      </c>
      <c r="J174">
        <v>7.4187417688555898E-2</v>
      </c>
      <c r="K174">
        <v>2.0071657754010701</v>
      </c>
      <c r="L174" t="s">
        <v>1731</v>
      </c>
      <c r="M174" t="str">
        <f>HYPERLINK("../../3.KEGG_map/SCI_II-vs-NC-Down/rno04972.html","rno04972")</f>
        <v>rno04972</v>
      </c>
    </row>
    <row r="175" spans="1:13" x14ac:dyDescent="0.25">
      <c r="A175" t="s">
        <v>700</v>
      </c>
      <c r="B175" t="s">
        <v>701</v>
      </c>
      <c r="C175" t="s">
        <v>281</v>
      </c>
      <c r="D175" t="s">
        <v>692</v>
      </c>
      <c r="E175">
        <v>6</v>
      </c>
      <c r="F175">
        <v>340</v>
      </c>
      <c r="G175">
        <v>17</v>
      </c>
      <c r="H175">
        <v>2681</v>
      </c>
      <c r="I175">
        <v>1.44820623691649E-2</v>
      </c>
      <c r="J175">
        <v>9.6547082461099595E-2</v>
      </c>
      <c r="K175">
        <v>2.7830449826989598</v>
      </c>
      <c r="L175" t="s">
        <v>1732</v>
      </c>
      <c r="M175" t="str">
        <f>HYPERLINK("../../3.KEGG_map/SCI_II-vs-NC-Down/rno04973.html","rno04973")</f>
        <v>rno04973</v>
      </c>
    </row>
    <row r="176" spans="1:13" x14ac:dyDescent="0.25">
      <c r="A176" t="s">
        <v>703</v>
      </c>
      <c r="B176" t="s">
        <v>704</v>
      </c>
      <c r="C176" t="s">
        <v>281</v>
      </c>
      <c r="D176" t="s">
        <v>692</v>
      </c>
      <c r="E176">
        <v>7</v>
      </c>
      <c r="F176">
        <v>340</v>
      </c>
      <c r="G176">
        <v>58</v>
      </c>
      <c r="H176">
        <v>2681</v>
      </c>
      <c r="I176">
        <v>0.61686767491504002</v>
      </c>
      <c r="J176">
        <v>0.83173169651466095</v>
      </c>
      <c r="K176">
        <v>0.95167342799188603</v>
      </c>
      <c r="L176" t="s">
        <v>1733</v>
      </c>
      <c r="M176" t="str">
        <f>HYPERLINK("../../3.KEGG_map/SCI_II-vs-NC-Down/rno04974.html","rno04974")</f>
        <v>rno04974</v>
      </c>
    </row>
    <row r="177" spans="1:13" x14ac:dyDescent="0.25">
      <c r="A177" t="s">
        <v>709</v>
      </c>
      <c r="B177" t="s">
        <v>710</v>
      </c>
      <c r="C177" t="s">
        <v>281</v>
      </c>
      <c r="D177" t="s">
        <v>692</v>
      </c>
      <c r="E177">
        <v>9</v>
      </c>
      <c r="F177">
        <v>340</v>
      </c>
      <c r="G177">
        <v>19</v>
      </c>
      <c r="H177">
        <v>2681</v>
      </c>
      <c r="I177">
        <v>2.2016898351631301E-4</v>
      </c>
      <c r="J177">
        <v>5.8711728937683502E-3</v>
      </c>
      <c r="K177">
        <v>3.7351393188854498</v>
      </c>
      <c r="L177" t="s">
        <v>1734</v>
      </c>
      <c r="M177" t="str">
        <f>HYPERLINK("../../3.KEGG_map/SCI_II-vs-NC-Down/rno04976.html","rno04976")</f>
        <v>rno04976</v>
      </c>
    </row>
    <row r="178" spans="1:13" x14ac:dyDescent="0.25">
      <c r="A178" t="s">
        <v>715</v>
      </c>
      <c r="B178" t="s">
        <v>716</v>
      </c>
      <c r="C178" t="s">
        <v>281</v>
      </c>
      <c r="D178" t="s">
        <v>692</v>
      </c>
      <c r="E178">
        <v>4</v>
      </c>
      <c r="F178">
        <v>340</v>
      </c>
      <c r="G178">
        <v>11</v>
      </c>
      <c r="H178">
        <v>2681</v>
      </c>
      <c r="I178">
        <v>4.04995772908298E-2</v>
      </c>
      <c r="J178">
        <v>0.172607007577746</v>
      </c>
      <c r="K178">
        <v>2.8673796791443902</v>
      </c>
      <c r="L178" t="s">
        <v>1735</v>
      </c>
      <c r="M178" t="str">
        <f>HYPERLINK("../../3.KEGG_map/SCI_II-vs-NC-Down/rno04978.html","rno04978")</f>
        <v>rno04978</v>
      </c>
    </row>
    <row r="179" spans="1:13" x14ac:dyDescent="0.25">
      <c r="A179" t="s">
        <v>721</v>
      </c>
      <c r="B179" t="s">
        <v>722</v>
      </c>
      <c r="C179" t="s">
        <v>235</v>
      </c>
      <c r="D179" t="s">
        <v>723</v>
      </c>
      <c r="E179">
        <v>13</v>
      </c>
      <c r="F179">
        <v>340</v>
      </c>
      <c r="G179">
        <v>92</v>
      </c>
      <c r="H179">
        <v>2681</v>
      </c>
      <c r="I179">
        <v>0.38221327573537001</v>
      </c>
      <c r="J179">
        <v>0.66890578583499904</v>
      </c>
      <c r="K179">
        <v>1.114226342711</v>
      </c>
      <c r="L179" t="s">
        <v>1736</v>
      </c>
      <c r="M179" t="str">
        <f>HYPERLINK("../../3.KEGG_map/SCI_II-vs-NC-Down/rno05010.html","rno05010")</f>
        <v>rno05010</v>
      </c>
    </row>
    <row r="180" spans="1:13" x14ac:dyDescent="0.25">
      <c r="A180" t="s">
        <v>725</v>
      </c>
      <c r="B180" t="s">
        <v>726</v>
      </c>
      <c r="C180" t="s">
        <v>235</v>
      </c>
      <c r="D180" t="s">
        <v>723</v>
      </c>
      <c r="E180">
        <v>6</v>
      </c>
      <c r="F180">
        <v>340</v>
      </c>
      <c r="G180">
        <v>20</v>
      </c>
      <c r="H180">
        <v>2681</v>
      </c>
      <c r="I180">
        <v>3.2649161949182902E-2</v>
      </c>
      <c r="J180">
        <v>0.15364311505497899</v>
      </c>
      <c r="K180">
        <v>2.36558823529412</v>
      </c>
      <c r="L180" t="s">
        <v>1737</v>
      </c>
      <c r="M180" t="str">
        <f>HYPERLINK("../../3.KEGG_map/SCI_II-vs-NC-Down/rno05012.html","rno05012")</f>
        <v>rno05012</v>
      </c>
    </row>
    <row r="181" spans="1:13" x14ac:dyDescent="0.25">
      <c r="A181" t="s">
        <v>728</v>
      </c>
      <c r="B181" t="s">
        <v>729</v>
      </c>
      <c r="C181" t="s">
        <v>235</v>
      </c>
      <c r="D181" t="s">
        <v>723</v>
      </c>
      <c r="E181">
        <v>3</v>
      </c>
      <c r="F181">
        <v>340</v>
      </c>
      <c r="G181">
        <v>30</v>
      </c>
      <c r="H181">
        <v>2681</v>
      </c>
      <c r="I181">
        <v>0.75298876536540604</v>
      </c>
      <c r="J181">
        <v>0.91086239748072795</v>
      </c>
      <c r="K181">
        <v>0.78852941176470603</v>
      </c>
      <c r="L181" t="s">
        <v>1738</v>
      </c>
      <c r="M181" t="str">
        <f>HYPERLINK("../../3.KEGG_map/SCI_II-vs-NC-Down/rno05014.html","rno05014")</f>
        <v>rno05014</v>
      </c>
    </row>
    <row r="182" spans="1:13" x14ac:dyDescent="0.25">
      <c r="A182" t="s">
        <v>731</v>
      </c>
      <c r="B182" t="s">
        <v>732</v>
      </c>
      <c r="C182" t="s">
        <v>235</v>
      </c>
      <c r="D182" t="s">
        <v>723</v>
      </c>
      <c r="E182">
        <v>8</v>
      </c>
      <c r="F182">
        <v>340</v>
      </c>
      <c r="G182">
        <v>61</v>
      </c>
      <c r="H182">
        <v>2681</v>
      </c>
      <c r="I182">
        <v>0.51788691898295003</v>
      </c>
      <c r="J182">
        <v>0.78171610412520798</v>
      </c>
      <c r="K182">
        <v>1.0341369334619099</v>
      </c>
      <c r="L182" t="s">
        <v>1739</v>
      </c>
      <c r="M182" t="str">
        <f>HYPERLINK("../../3.KEGG_map/SCI_II-vs-NC-Down/rno05016.html","rno05016")</f>
        <v>rno05016</v>
      </c>
    </row>
    <row r="183" spans="1:13" x14ac:dyDescent="0.25">
      <c r="A183" t="s">
        <v>737</v>
      </c>
      <c r="B183" t="s">
        <v>738</v>
      </c>
      <c r="C183" t="s">
        <v>235</v>
      </c>
      <c r="D183" t="s">
        <v>739</v>
      </c>
      <c r="E183">
        <v>5</v>
      </c>
      <c r="F183">
        <v>340</v>
      </c>
      <c r="G183">
        <v>15</v>
      </c>
      <c r="H183">
        <v>2681</v>
      </c>
      <c r="I183">
        <v>3.2443879173690397E-2</v>
      </c>
      <c r="J183">
        <v>0.15364311505497899</v>
      </c>
      <c r="K183">
        <v>2.62843137254902</v>
      </c>
      <c r="L183" t="s">
        <v>1740</v>
      </c>
      <c r="M183" t="str">
        <f>HYPERLINK("../../3.KEGG_map/SCI_II-vs-NC-Down/rno05030.html","rno05030")</f>
        <v>rno05030</v>
      </c>
    </row>
    <row r="184" spans="1:13" x14ac:dyDescent="0.25">
      <c r="A184" t="s">
        <v>741</v>
      </c>
      <c r="B184" t="s">
        <v>742</v>
      </c>
      <c r="C184" t="s">
        <v>235</v>
      </c>
      <c r="D184" t="s">
        <v>739</v>
      </c>
      <c r="E184">
        <v>7</v>
      </c>
      <c r="F184">
        <v>340</v>
      </c>
      <c r="G184">
        <v>45</v>
      </c>
      <c r="H184">
        <v>2681</v>
      </c>
      <c r="I184">
        <v>0.342575262598103</v>
      </c>
      <c r="J184">
        <v>0.62761880170644901</v>
      </c>
      <c r="K184">
        <v>1.2266013071895401</v>
      </c>
      <c r="L184" t="s">
        <v>1741</v>
      </c>
      <c r="M184" t="str">
        <f>HYPERLINK("../../3.KEGG_map/SCI_II-vs-NC-Down/rno05031.html","rno05031")</f>
        <v>rno05031</v>
      </c>
    </row>
    <row r="185" spans="1:13" x14ac:dyDescent="0.25">
      <c r="A185" t="s">
        <v>744</v>
      </c>
      <c r="B185" t="s">
        <v>745</v>
      </c>
      <c r="C185" t="s">
        <v>235</v>
      </c>
      <c r="D185" t="s">
        <v>739</v>
      </c>
      <c r="E185">
        <v>16</v>
      </c>
      <c r="F185">
        <v>340</v>
      </c>
      <c r="G185">
        <v>39</v>
      </c>
      <c r="H185">
        <v>2681</v>
      </c>
      <c r="I185" s="1">
        <v>7.5763903758522798E-6</v>
      </c>
      <c r="J185">
        <v>6.1865894164417205E-4</v>
      </c>
      <c r="K185">
        <v>3.2349924585218699</v>
      </c>
      <c r="L185" t="s">
        <v>1742</v>
      </c>
      <c r="M185" t="str">
        <f>HYPERLINK("../../3.KEGG_map/SCI_II-vs-NC-Down/rno05032.html","rno05032")</f>
        <v>rno05032</v>
      </c>
    </row>
    <row r="186" spans="1:13" x14ac:dyDescent="0.25">
      <c r="A186" t="s">
        <v>750</v>
      </c>
      <c r="B186" t="s">
        <v>751</v>
      </c>
      <c r="C186" t="s">
        <v>235</v>
      </c>
      <c r="D186" t="s">
        <v>739</v>
      </c>
      <c r="E186">
        <v>6</v>
      </c>
      <c r="F186">
        <v>340</v>
      </c>
      <c r="G186">
        <v>36</v>
      </c>
      <c r="H186">
        <v>2681</v>
      </c>
      <c r="I186">
        <v>0.302063754407072</v>
      </c>
      <c r="J186">
        <v>0.59422377916145297</v>
      </c>
      <c r="K186">
        <v>1.31421568627451</v>
      </c>
      <c r="L186" t="s">
        <v>1743</v>
      </c>
      <c r="M186" t="str">
        <f>HYPERLINK("../../3.KEGG_map/SCI_II-vs-NC-Down/rno05034.html","rno05034")</f>
        <v>rno05034</v>
      </c>
    </row>
    <row r="187" spans="1:13" x14ac:dyDescent="0.25">
      <c r="A187" t="s">
        <v>753</v>
      </c>
      <c r="B187" t="s">
        <v>754</v>
      </c>
      <c r="C187" t="s">
        <v>235</v>
      </c>
      <c r="D187" t="s">
        <v>755</v>
      </c>
      <c r="E187">
        <v>19</v>
      </c>
      <c r="F187">
        <v>340</v>
      </c>
      <c r="G187">
        <v>89</v>
      </c>
      <c r="H187">
        <v>2681</v>
      </c>
      <c r="I187">
        <v>1.3617260147287299E-2</v>
      </c>
      <c r="J187">
        <v>9.4623275424856698E-2</v>
      </c>
      <c r="K187">
        <v>1.6833773959021801</v>
      </c>
      <c r="L187" t="s">
        <v>1744</v>
      </c>
      <c r="M187" t="str">
        <f>HYPERLINK("../../3.KEGG_map/SCI_II-vs-NC-Down/rno05100.html","rno05100")</f>
        <v>rno05100</v>
      </c>
    </row>
    <row r="188" spans="1:13" x14ac:dyDescent="0.25">
      <c r="A188" t="s">
        <v>757</v>
      </c>
      <c r="B188" t="s">
        <v>758</v>
      </c>
      <c r="C188" t="s">
        <v>235</v>
      </c>
      <c r="D188" t="s">
        <v>755</v>
      </c>
      <c r="E188">
        <v>5</v>
      </c>
      <c r="F188">
        <v>340</v>
      </c>
      <c r="G188">
        <v>42</v>
      </c>
      <c r="H188">
        <v>2681</v>
      </c>
      <c r="I188">
        <v>0.63120846950679599</v>
      </c>
      <c r="J188">
        <v>0.84161129267572798</v>
      </c>
      <c r="K188">
        <v>0.93872549019607898</v>
      </c>
      <c r="L188" t="s">
        <v>1745</v>
      </c>
      <c r="M188" t="str">
        <f>HYPERLINK("../../3.KEGG_map/SCI_II-vs-NC-Down/rno05132.html","rno05132")</f>
        <v>rno05132</v>
      </c>
    </row>
    <row r="189" spans="1:13" x14ac:dyDescent="0.25">
      <c r="A189" t="s">
        <v>760</v>
      </c>
      <c r="B189" t="s">
        <v>761</v>
      </c>
      <c r="C189" t="s">
        <v>235</v>
      </c>
      <c r="D189" t="s">
        <v>755</v>
      </c>
      <c r="E189">
        <v>4</v>
      </c>
      <c r="F189">
        <v>340</v>
      </c>
      <c r="G189">
        <v>17</v>
      </c>
      <c r="H189">
        <v>2681</v>
      </c>
      <c r="I189">
        <v>0.15965569374253999</v>
      </c>
      <c r="J189">
        <v>0.38704410604252198</v>
      </c>
      <c r="K189">
        <v>1.85536332179931</v>
      </c>
      <c r="L189" t="s">
        <v>1746</v>
      </c>
      <c r="M189" t="str">
        <f>HYPERLINK("../../3.KEGG_map/SCI_II-vs-NC-Down/rno05133.html","rno05133")</f>
        <v>rno05133</v>
      </c>
    </row>
    <row r="190" spans="1:13" x14ac:dyDescent="0.25">
      <c r="A190" t="s">
        <v>763</v>
      </c>
      <c r="B190" t="s">
        <v>764</v>
      </c>
      <c r="C190" t="s">
        <v>235</v>
      </c>
      <c r="D190" t="s">
        <v>755</v>
      </c>
      <c r="E190">
        <v>2</v>
      </c>
      <c r="F190">
        <v>340</v>
      </c>
      <c r="G190">
        <v>13</v>
      </c>
      <c r="H190">
        <v>2681</v>
      </c>
      <c r="I190">
        <v>0.50501903825546302</v>
      </c>
      <c r="J190">
        <v>0.767117526463995</v>
      </c>
      <c r="K190">
        <v>1.2131221719456999</v>
      </c>
      <c r="L190" t="s">
        <v>1747</v>
      </c>
      <c r="M190" t="str">
        <f>HYPERLINK("../../3.KEGG_map/SCI_II-vs-NC-Down/rno05134.html","rno05134")</f>
        <v>rno05134</v>
      </c>
    </row>
    <row r="191" spans="1:13" x14ac:dyDescent="0.25">
      <c r="A191" t="s">
        <v>766</v>
      </c>
      <c r="B191" t="s">
        <v>767</v>
      </c>
      <c r="C191" t="s">
        <v>235</v>
      </c>
      <c r="D191" t="s">
        <v>768</v>
      </c>
      <c r="E191">
        <v>2</v>
      </c>
      <c r="F191">
        <v>340</v>
      </c>
      <c r="G191">
        <v>13</v>
      </c>
      <c r="H191">
        <v>2681</v>
      </c>
      <c r="I191">
        <v>0.50501903825546302</v>
      </c>
      <c r="J191">
        <v>0.767117526463995</v>
      </c>
      <c r="K191">
        <v>1.2131221719456999</v>
      </c>
      <c r="L191" t="s">
        <v>1674</v>
      </c>
      <c r="M191" t="str">
        <f>HYPERLINK("../../3.KEGG_map/SCI_II-vs-NC-Down/rno05140.html","rno05140")</f>
        <v>rno05140</v>
      </c>
    </row>
    <row r="192" spans="1:13" x14ac:dyDescent="0.25">
      <c r="A192" t="s">
        <v>770</v>
      </c>
      <c r="B192" t="s">
        <v>771</v>
      </c>
      <c r="C192" t="s">
        <v>235</v>
      </c>
      <c r="D192" t="s">
        <v>768</v>
      </c>
      <c r="E192">
        <v>13</v>
      </c>
      <c r="F192">
        <v>340</v>
      </c>
      <c r="G192">
        <v>52</v>
      </c>
      <c r="H192">
        <v>2681</v>
      </c>
      <c r="I192">
        <v>1.06916421362319E-2</v>
      </c>
      <c r="J192">
        <v>9.1642646881987894E-2</v>
      </c>
      <c r="K192">
        <v>1.9713235294117599</v>
      </c>
      <c r="L192" t="s">
        <v>1748</v>
      </c>
      <c r="M192" t="str">
        <f>HYPERLINK("../../3.KEGG_map/SCI_II-vs-NC-Down/rno05142.html","rno05142")</f>
        <v>rno05142</v>
      </c>
    </row>
    <row r="193" spans="1:13" x14ac:dyDescent="0.25">
      <c r="A193" t="s">
        <v>773</v>
      </c>
      <c r="B193" t="s">
        <v>774</v>
      </c>
      <c r="C193" t="s">
        <v>235</v>
      </c>
      <c r="D193" t="s">
        <v>768</v>
      </c>
      <c r="E193">
        <v>2</v>
      </c>
      <c r="F193">
        <v>340</v>
      </c>
      <c r="G193">
        <v>17</v>
      </c>
      <c r="H193">
        <v>2681</v>
      </c>
      <c r="I193">
        <v>0.65494013742357204</v>
      </c>
      <c r="J193">
        <v>0.85739607882929403</v>
      </c>
      <c r="K193">
        <v>0.92768166089965398</v>
      </c>
      <c r="L193" t="s">
        <v>1749</v>
      </c>
      <c r="M193" t="str">
        <f>HYPERLINK("../../3.KEGG_map/SCI_II-vs-NC-Down/rno05143.html","rno05143")</f>
        <v>rno05143</v>
      </c>
    </row>
    <row r="194" spans="1:13" x14ac:dyDescent="0.25">
      <c r="A194" t="s">
        <v>776</v>
      </c>
      <c r="B194" t="s">
        <v>777</v>
      </c>
      <c r="C194" t="s">
        <v>235</v>
      </c>
      <c r="D194" t="s">
        <v>768</v>
      </c>
      <c r="E194">
        <v>1</v>
      </c>
      <c r="F194">
        <v>340</v>
      </c>
      <c r="G194">
        <v>6</v>
      </c>
      <c r="H194">
        <v>2681</v>
      </c>
      <c r="I194">
        <v>0.557132127379243</v>
      </c>
      <c r="J194">
        <v>0.79976466264729495</v>
      </c>
      <c r="K194">
        <v>1.31421568627451</v>
      </c>
      <c r="L194" t="s">
        <v>1750</v>
      </c>
      <c r="M194" t="str">
        <f>HYPERLINK("../../3.KEGG_map/SCI_II-vs-NC-Down/rno05144.html","rno05144")</f>
        <v>rno05144</v>
      </c>
    </row>
    <row r="195" spans="1:13" x14ac:dyDescent="0.25">
      <c r="A195" t="s">
        <v>779</v>
      </c>
      <c r="B195" t="s">
        <v>780</v>
      </c>
      <c r="C195" t="s">
        <v>235</v>
      </c>
      <c r="D195" t="s">
        <v>768</v>
      </c>
      <c r="E195">
        <v>7</v>
      </c>
      <c r="F195">
        <v>340</v>
      </c>
      <c r="G195">
        <v>34</v>
      </c>
      <c r="H195">
        <v>2681</v>
      </c>
      <c r="I195">
        <v>0.130088991729086</v>
      </c>
      <c r="J195">
        <v>0.34095776862363802</v>
      </c>
      <c r="K195">
        <v>1.6234429065743901</v>
      </c>
      <c r="L195" t="s">
        <v>1751</v>
      </c>
      <c r="M195" t="str">
        <f>HYPERLINK("../../3.KEGG_map/SCI_II-vs-NC-Down/rno05145.html","rno05145")</f>
        <v>rno05145</v>
      </c>
    </row>
    <row r="196" spans="1:13" x14ac:dyDescent="0.25">
      <c r="A196" t="s">
        <v>782</v>
      </c>
      <c r="B196" t="s">
        <v>783</v>
      </c>
      <c r="C196" t="s">
        <v>235</v>
      </c>
      <c r="D196" t="s">
        <v>768</v>
      </c>
      <c r="E196">
        <v>12</v>
      </c>
      <c r="F196">
        <v>340</v>
      </c>
      <c r="G196">
        <v>79</v>
      </c>
      <c r="H196">
        <v>2681</v>
      </c>
      <c r="I196">
        <v>0.29531508820321201</v>
      </c>
      <c r="J196">
        <v>0.58574893527909699</v>
      </c>
      <c r="K196">
        <v>1.19776619508563</v>
      </c>
      <c r="L196" t="s">
        <v>1752</v>
      </c>
      <c r="M196" t="str">
        <f>HYPERLINK("../../3.KEGG_map/SCI_II-vs-NC-Down/rno05146.html","rno05146")</f>
        <v>rno05146</v>
      </c>
    </row>
    <row r="197" spans="1:13" x14ac:dyDescent="0.25">
      <c r="A197" t="s">
        <v>788</v>
      </c>
      <c r="B197" t="s">
        <v>789</v>
      </c>
      <c r="C197" t="s">
        <v>235</v>
      </c>
      <c r="D197" t="s">
        <v>755</v>
      </c>
      <c r="E197">
        <v>10</v>
      </c>
      <c r="F197">
        <v>340</v>
      </c>
      <c r="G197">
        <v>81</v>
      </c>
      <c r="H197">
        <v>2681</v>
      </c>
      <c r="I197">
        <v>0.58851796704383297</v>
      </c>
      <c r="J197">
        <v>0.823933267646625</v>
      </c>
      <c r="K197">
        <v>0.97349310094408104</v>
      </c>
      <c r="L197" t="s">
        <v>1753</v>
      </c>
      <c r="M197" t="str">
        <f>HYPERLINK("../../3.KEGG_map/SCI_II-vs-NC-Down/rno05152.html","rno05152")</f>
        <v>rno05152</v>
      </c>
    </row>
    <row r="198" spans="1:13" x14ac:dyDescent="0.25">
      <c r="A198" t="s">
        <v>791</v>
      </c>
      <c r="B198" t="s">
        <v>792</v>
      </c>
      <c r="C198" t="s">
        <v>235</v>
      </c>
      <c r="D198" t="s">
        <v>793</v>
      </c>
      <c r="E198">
        <v>11</v>
      </c>
      <c r="F198">
        <v>340</v>
      </c>
      <c r="G198">
        <v>59</v>
      </c>
      <c r="H198">
        <v>2681</v>
      </c>
      <c r="I198">
        <v>0.118934042752623</v>
      </c>
      <c r="J198">
        <v>0.324365571143516</v>
      </c>
      <c r="K198">
        <v>1.4701395812562299</v>
      </c>
      <c r="L198" t="s">
        <v>1754</v>
      </c>
      <c r="M198" t="str">
        <f>HYPERLINK("../../3.KEGG_map/SCI_II-vs-NC-Down/rno05160.html","rno05160")</f>
        <v>rno05160</v>
      </c>
    </row>
    <row r="199" spans="1:13" x14ac:dyDescent="0.25">
      <c r="A199" t="s">
        <v>795</v>
      </c>
      <c r="B199" t="s">
        <v>796</v>
      </c>
      <c r="C199" t="s">
        <v>235</v>
      </c>
      <c r="D199" t="s">
        <v>793</v>
      </c>
      <c r="E199">
        <v>12</v>
      </c>
      <c r="F199">
        <v>340</v>
      </c>
      <c r="G199">
        <v>79</v>
      </c>
      <c r="H199">
        <v>2681</v>
      </c>
      <c r="I199">
        <v>0.29531508820321201</v>
      </c>
      <c r="J199">
        <v>0.58574893527909699</v>
      </c>
      <c r="K199">
        <v>1.19776619508563</v>
      </c>
      <c r="L199" t="s">
        <v>1755</v>
      </c>
      <c r="M199" t="str">
        <f>HYPERLINK("../../3.KEGG_map/SCI_II-vs-NC-Down/rno05161.html","rno05161")</f>
        <v>rno05161</v>
      </c>
    </row>
    <row r="200" spans="1:13" x14ac:dyDescent="0.25">
      <c r="A200" t="s">
        <v>798</v>
      </c>
      <c r="B200" t="s">
        <v>799</v>
      </c>
      <c r="C200" t="s">
        <v>235</v>
      </c>
      <c r="D200" t="s">
        <v>793</v>
      </c>
      <c r="E200">
        <v>8</v>
      </c>
      <c r="F200">
        <v>340</v>
      </c>
      <c r="G200">
        <v>28</v>
      </c>
      <c r="H200">
        <v>2681</v>
      </c>
      <c r="I200">
        <v>1.9275628409001901E-2</v>
      </c>
      <c r="J200">
        <v>0.11283294678440101</v>
      </c>
      <c r="K200">
        <v>2.25294117647059</v>
      </c>
      <c r="L200" t="s">
        <v>1756</v>
      </c>
      <c r="M200" t="str">
        <f>HYPERLINK("../../3.KEGG_map/SCI_II-vs-NC-Down/rno05162.html","rno05162")</f>
        <v>rno05162</v>
      </c>
    </row>
    <row r="201" spans="1:13" x14ac:dyDescent="0.25">
      <c r="A201" t="s">
        <v>801</v>
      </c>
      <c r="B201" t="s">
        <v>802</v>
      </c>
      <c r="C201" t="s">
        <v>235</v>
      </c>
      <c r="D201" t="s">
        <v>793</v>
      </c>
      <c r="E201">
        <v>8</v>
      </c>
      <c r="F201">
        <v>340</v>
      </c>
      <c r="G201">
        <v>67</v>
      </c>
      <c r="H201">
        <v>2681</v>
      </c>
      <c r="I201">
        <v>0.62966852223791403</v>
      </c>
      <c r="J201">
        <v>0.84161129267572798</v>
      </c>
      <c r="K201">
        <v>0.94152765583845499</v>
      </c>
      <c r="L201" t="s">
        <v>1757</v>
      </c>
      <c r="M201" t="str">
        <f>HYPERLINK("../../3.KEGG_map/SCI_II-vs-NC-Down/rno05164.html","rno05164")</f>
        <v>rno05164</v>
      </c>
    </row>
    <row r="202" spans="1:13" x14ac:dyDescent="0.25">
      <c r="A202" t="s">
        <v>804</v>
      </c>
      <c r="B202" t="s">
        <v>805</v>
      </c>
      <c r="C202" t="s">
        <v>235</v>
      </c>
      <c r="D202" t="s">
        <v>793</v>
      </c>
      <c r="E202">
        <v>23</v>
      </c>
      <c r="F202">
        <v>340</v>
      </c>
      <c r="G202">
        <v>188</v>
      </c>
      <c r="H202">
        <v>2681</v>
      </c>
      <c r="I202">
        <v>0.61121377197735205</v>
      </c>
      <c r="J202">
        <v>0.83173169651466095</v>
      </c>
      <c r="K202">
        <v>0.96469023779724605</v>
      </c>
      <c r="L202" t="s">
        <v>1758</v>
      </c>
      <c r="M202" t="str">
        <f>HYPERLINK("../../3.KEGG_map/SCI_II-vs-NC-Down/rno05165.html","rno05165")</f>
        <v>rno05165</v>
      </c>
    </row>
    <row r="203" spans="1:13" x14ac:dyDescent="0.25">
      <c r="A203" t="s">
        <v>807</v>
      </c>
      <c r="B203" t="s">
        <v>808</v>
      </c>
      <c r="C203" t="s">
        <v>235</v>
      </c>
      <c r="D203" t="s">
        <v>793</v>
      </c>
      <c r="E203">
        <v>25</v>
      </c>
      <c r="F203">
        <v>340</v>
      </c>
      <c r="G203">
        <v>143</v>
      </c>
      <c r="H203">
        <v>2681</v>
      </c>
      <c r="I203">
        <v>5.4436686224317798E-2</v>
      </c>
      <c r="J203">
        <v>0.210722656352198</v>
      </c>
      <c r="K203">
        <v>1.3785479226655699</v>
      </c>
      <c r="L203" t="s">
        <v>1759</v>
      </c>
      <c r="M203" t="str">
        <f>HYPERLINK("../../3.KEGG_map/SCI_II-vs-NC-Down/rno05166.html","rno05166")</f>
        <v>rno05166</v>
      </c>
    </row>
    <row r="204" spans="1:13" x14ac:dyDescent="0.25">
      <c r="A204" t="s">
        <v>810</v>
      </c>
      <c r="B204" t="s">
        <v>811</v>
      </c>
      <c r="C204" t="s">
        <v>235</v>
      </c>
      <c r="D204" t="s">
        <v>793</v>
      </c>
      <c r="E204">
        <v>11</v>
      </c>
      <c r="F204">
        <v>340</v>
      </c>
      <c r="G204">
        <v>98</v>
      </c>
      <c r="H204">
        <v>2681</v>
      </c>
      <c r="I204">
        <v>0.71647579085477298</v>
      </c>
      <c r="J204">
        <v>0.89559473856846605</v>
      </c>
      <c r="K204">
        <v>0.88508403361344501</v>
      </c>
      <c r="L204" t="s">
        <v>1760</v>
      </c>
      <c r="M204" t="str">
        <f>HYPERLINK("../../3.KEGG_map/SCI_II-vs-NC-Down/rno05167.html","rno05167")</f>
        <v>rno05167</v>
      </c>
    </row>
    <row r="205" spans="1:13" x14ac:dyDescent="0.25">
      <c r="A205" t="s">
        <v>813</v>
      </c>
      <c r="B205" t="s">
        <v>814</v>
      </c>
      <c r="C205" t="s">
        <v>235</v>
      </c>
      <c r="D205" t="s">
        <v>793</v>
      </c>
      <c r="E205">
        <v>8</v>
      </c>
      <c r="F205">
        <v>340</v>
      </c>
      <c r="G205">
        <v>64</v>
      </c>
      <c r="H205">
        <v>2681</v>
      </c>
      <c r="I205">
        <v>0.57543403546833805</v>
      </c>
      <c r="J205">
        <v>0.81237746183765402</v>
      </c>
      <c r="K205">
        <v>0.98566176470588196</v>
      </c>
      <c r="L205" t="s">
        <v>1761</v>
      </c>
      <c r="M205" t="str">
        <f>HYPERLINK("../../3.KEGG_map/SCI_II-vs-NC-Down/rno05168.html","rno05168")</f>
        <v>rno05168</v>
      </c>
    </row>
    <row r="206" spans="1:13" x14ac:dyDescent="0.25">
      <c r="A206" t="s">
        <v>816</v>
      </c>
      <c r="B206" t="s">
        <v>817</v>
      </c>
      <c r="C206" t="s">
        <v>235</v>
      </c>
      <c r="D206" t="s">
        <v>793</v>
      </c>
      <c r="E206">
        <v>9</v>
      </c>
      <c r="F206">
        <v>340</v>
      </c>
      <c r="G206">
        <v>93</v>
      </c>
      <c r="H206">
        <v>2681</v>
      </c>
      <c r="I206">
        <v>0.85328243538517901</v>
      </c>
      <c r="J206">
        <v>0.93085356587474</v>
      </c>
      <c r="K206">
        <v>0.76309297912713503</v>
      </c>
      <c r="L206" t="s">
        <v>1762</v>
      </c>
      <c r="M206" t="str">
        <f>HYPERLINK("../../3.KEGG_map/SCI_II-vs-NC-Down/rno05169.html","rno05169")</f>
        <v>rno05169</v>
      </c>
    </row>
    <row r="207" spans="1:13" x14ac:dyDescent="0.25">
      <c r="A207" t="s">
        <v>819</v>
      </c>
      <c r="B207" t="s">
        <v>820</v>
      </c>
      <c r="C207" t="s">
        <v>235</v>
      </c>
      <c r="D207" t="s">
        <v>821</v>
      </c>
      <c r="E207">
        <v>42</v>
      </c>
      <c r="F207">
        <v>340</v>
      </c>
      <c r="G207">
        <v>258</v>
      </c>
      <c r="H207">
        <v>2681</v>
      </c>
      <c r="I207">
        <v>4.5144819165927101E-2</v>
      </c>
      <c r="J207">
        <v>0.18057927666370799</v>
      </c>
      <c r="K207">
        <v>1.2836525307797499</v>
      </c>
      <c r="L207" t="s">
        <v>1763</v>
      </c>
      <c r="M207" t="str">
        <f>HYPERLINK("../../3.KEGG_map/SCI_II-vs-NC-Down/rno05200.html","rno05200")</f>
        <v>rno05200</v>
      </c>
    </row>
    <row r="208" spans="1:13" x14ac:dyDescent="0.25">
      <c r="A208" t="s">
        <v>823</v>
      </c>
      <c r="B208" t="s">
        <v>824</v>
      </c>
      <c r="C208" t="s">
        <v>235</v>
      </c>
      <c r="D208" t="s">
        <v>821</v>
      </c>
      <c r="E208">
        <v>15</v>
      </c>
      <c r="F208">
        <v>340</v>
      </c>
      <c r="G208">
        <v>93</v>
      </c>
      <c r="H208">
        <v>2681</v>
      </c>
      <c r="I208">
        <v>0.192477690215135</v>
      </c>
      <c r="J208">
        <v>0.44417928511185101</v>
      </c>
      <c r="K208">
        <v>1.27182163187856</v>
      </c>
      <c r="L208" t="s">
        <v>1764</v>
      </c>
      <c r="M208" t="str">
        <f>HYPERLINK("../../3.KEGG_map/SCI_II-vs-NC-Down/rno05202.html","rno05202")</f>
        <v>rno05202</v>
      </c>
    </row>
    <row r="209" spans="1:13" x14ac:dyDescent="0.25">
      <c r="A209" t="s">
        <v>826</v>
      </c>
      <c r="B209" t="s">
        <v>827</v>
      </c>
      <c r="C209" t="s">
        <v>235</v>
      </c>
      <c r="D209" t="s">
        <v>821</v>
      </c>
      <c r="E209">
        <v>9</v>
      </c>
      <c r="F209">
        <v>340</v>
      </c>
      <c r="G209">
        <v>84</v>
      </c>
      <c r="H209">
        <v>2681</v>
      </c>
      <c r="I209">
        <v>0.75729590697137195</v>
      </c>
      <c r="J209">
        <v>0.91086239748072795</v>
      </c>
      <c r="K209">
        <v>0.84485294117647103</v>
      </c>
      <c r="L209" t="s">
        <v>1765</v>
      </c>
      <c r="M209" t="str">
        <f>HYPERLINK("../../3.KEGG_map/SCI_II-vs-NC-Down/rno05203.html","rno05203")</f>
        <v>rno05203</v>
      </c>
    </row>
    <row r="210" spans="1:13" x14ac:dyDescent="0.25">
      <c r="A210" t="s">
        <v>832</v>
      </c>
      <c r="B210" t="s">
        <v>833</v>
      </c>
      <c r="C210" t="s">
        <v>235</v>
      </c>
      <c r="D210" t="s">
        <v>821</v>
      </c>
      <c r="E210">
        <v>27</v>
      </c>
      <c r="F210">
        <v>340</v>
      </c>
      <c r="G210">
        <v>166</v>
      </c>
      <c r="H210">
        <v>2681</v>
      </c>
      <c r="I210">
        <v>9.7445382481332596E-2</v>
      </c>
      <c r="J210">
        <v>0.300634856156966</v>
      </c>
      <c r="K210">
        <v>1.28254783841247</v>
      </c>
      <c r="L210" t="s">
        <v>1766</v>
      </c>
      <c r="M210" t="str">
        <f>HYPERLINK("../../3.KEGG_map/SCI_II-vs-NC-Down/rno05205.html","rno05205")</f>
        <v>rno05205</v>
      </c>
    </row>
    <row r="211" spans="1:13" x14ac:dyDescent="0.25">
      <c r="A211" t="s">
        <v>835</v>
      </c>
      <c r="B211" t="s">
        <v>836</v>
      </c>
      <c r="C211" t="s">
        <v>235</v>
      </c>
      <c r="D211" t="s">
        <v>821</v>
      </c>
      <c r="E211">
        <v>17</v>
      </c>
      <c r="F211">
        <v>340</v>
      </c>
      <c r="G211">
        <v>82</v>
      </c>
      <c r="H211">
        <v>2681</v>
      </c>
      <c r="I211">
        <v>2.51116990768229E-2</v>
      </c>
      <c r="J211">
        <v>0.13519358656112801</v>
      </c>
      <c r="K211">
        <v>1.6347560975609801</v>
      </c>
      <c r="L211" t="s">
        <v>1767</v>
      </c>
      <c r="M211" t="str">
        <f>HYPERLINK("../../3.KEGG_map/SCI_II-vs-NC-Down/rno05206.html","rno05206")</f>
        <v>rno05206</v>
      </c>
    </row>
    <row r="212" spans="1:13" x14ac:dyDescent="0.25">
      <c r="A212" t="s">
        <v>838</v>
      </c>
      <c r="B212" t="s">
        <v>839</v>
      </c>
      <c r="C212" t="s">
        <v>235</v>
      </c>
      <c r="D212" t="s">
        <v>840</v>
      </c>
      <c r="E212">
        <v>14</v>
      </c>
      <c r="F212">
        <v>340</v>
      </c>
      <c r="G212">
        <v>61</v>
      </c>
      <c r="H212">
        <v>2681</v>
      </c>
      <c r="I212">
        <v>1.75908738037454E-2</v>
      </c>
      <c r="J212">
        <v>0.105545242822472</v>
      </c>
      <c r="K212">
        <v>1.80973963355834</v>
      </c>
      <c r="L212" t="s">
        <v>1768</v>
      </c>
      <c r="M212" t="str">
        <f>HYPERLINK("../../3.KEGG_map/SCI_II-vs-NC-Down/rno05210.html","rno05210")</f>
        <v>rno05210</v>
      </c>
    </row>
    <row r="213" spans="1:13" x14ac:dyDescent="0.25">
      <c r="A213" t="s">
        <v>842</v>
      </c>
      <c r="B213" t="s">
        <v>843</v>
      </c>
      <c r="C213" t="s">
        <v>235</v>
      </c>
      <c r="D213" t="s">
        <v>840</v>
      </c>
      <c r="E213">
        <v>10</v>
      </c>
      <c r="F213">
        <v>340</v>
      </c>
      <c r="G213">
        <v>52</v>
      </c>
      <c r="H213">
        <v>2681</v>
      </c>
      <c r="I213">
        <v>0.11394102877324599</v>
      </c>
      <c r="J213">
        <v>0.32124839565938101</v>
      </c>
      <c r="K213">
        <v>1.51640271493213</v>
      </c>
      <c r="L213" t="s">
        <v>1769</v>
      </c>
      <c r="M213" t="str">
        <f>HYPERLINK("../../3.KEGG_map/SCI_II-vs-NC-Down/rno05211.html","rno05211")</f>
        <v>rno05211</v>
      </c>
    </row>
    <row r="214" spans="1:13" x14ac:dyDescent="0.25">
      <c r="A214" t="s">
        <v>845</v>
      </c>
      <c r="B214" t="s">
        <v>846</v>
      </c>
      <c r="C214" t="s">
        <v>235</v>
      </c>
      <c r="D214" t="s">
        <v>840</v>
      </c>
      <c r="E214">
        <v>14</v>
      </c>
      <c r="F214">
        <v>340</v>
      </c>
      <c r="G214">
        <v>61</v>
      </c>
      <c r="H214">
        <v>2681</v>
      </c>
      <c r="I214">
        <v>1.75908738037454E-2</v>
      </c>
      <c r="J214">
        <v>0.105545242822472</v>
      </c>
      <c r="K214">
        <v>1.80973963355834</v>
      </c>
      <c r="L214" t="s">
        <v>1770</v>
      </c>
      <c r="M214" t="str">
        <f>HYPERLINK("../../3.KEGG_map/SCI_II-vs-NC-Down/rno05212.html","rno05212")</f>
        <v>rno05212</v>
      </c>
    </row>
    <row r="215" spans="1:13" x14ac:dyDescent="0.25">
      <c r="A215" t="s">
        <v>848</v>
      </c>
      <c r="B215" t="s">
        <v>849</v>
      </c>
      <c r="C215" t="s">
        <v>235</v>
      </c>
      <c r="D215" t="s">
        <v>840</v>
      </c>
      <c r="E215">
        <v>9</v>
      </c>
      <c r="F215">
        <v>340</v>
      </c>
      <c r="G215">
        <v>43</v>
      </c>
      <c r="H215">
        <v>2681</v>
      </c>
      <c r="I215">
        <v>8.5538779912750496E-2</v>
      </c>
      <c r="J215">
        <v>0.28122338601452201</v>
      </c>
      <c r="K215">
        <v>1.65041039671683</v>
      </c>
      <c r="L215" t="s">
        <v>1771</v>
      </c>
      <c r="M215" t="str">
        <f>HYPERLINK("../../3.KEGG_map/SCI_II-vs-NC-Down/rno05213.html","rno05213")</f>
        <v>rno05213</v>
      </c>
    </row>
    <row r="216" spans="1:13" x14ac:dyDescent="0.25">
      <c r="A216" t="s">
        <v>851</v>
      </c>
      <c r="B216" t="s">
        <v>852</v>
      </c>
      <c r="C216" t="s">
        <v>235</v>
      </c>
      <c r="D216" t="s">
        <v>840</v>
      </c>
      <c r="E216">
        <v>11</v>
      </c>
      <c r="F216">
        <v>340</v>
      </c>
      <c r="G216">
        <v>47</v>
      </c>
      <c r="H216">
        <v>2681</v>
      </c>
      <c r="I216">
        <v>2.9290733841709399E-2</v>
      </c>
      <c r="J216">
        <v>0.14364772811795501</v>
      </c>
      <c r="K216">
        <v>1.84549436795995</v>
      </c>
      <c r="L216" t="s">
        <v>1772</v>
      </c>
      <c r="M216" t="str">
        <f>HYPERLINK("../../3.KEGG_map/SCI_II-vs-NC-Down/rno05214.html","rno05214")</f>
        <v>rno05214</v>
      </c>
    </row>
    <row r="217" spans="1:13" x14ac:dyDescent="0.25">
      <c r="A217" t="s">
        <v>854</v>
      </c>
      <c r="B217" t="s">
        <v>855</v>
      </c>
      <c r="C217" t="s">
        <v>235</v>
      </c>
      <c r="D217" t="s">
        <v>840</v>
      </c>
      <c r="E217">
        <v>12</v>
      </c>
      <c r="F217">
        <v>340</v>
      </c>
      <c r="G217">
        <v>62</v>
      </c>
      <c r="H217">
        <v>2681</v>
      </c>
      <c r="I217">
        <v>8.5188056433474504E-2</v>
      </c>
      <c r="J217">
        <v>0.28122338601452201</v>
      </c>
      <c r="K217">
        <v>1.5261859582542701</v>
      </c>
      <c r="L217" t="s">
        <v>1773</v>
      </c>
      <c r="M217" t="str">
        <f>HYPERLINK("../../3.KEGG_map/SCI_II-vs-NC-Down/rno05215.html","rno05215")</f>
        <v>rno05215</v>
      </c>
    </row>
    <row r="218" spans="1:13" x14ac:dyDescent="0.25">
      <c r="A218" t="s">
        <v>857</v>
      </c>
      <c r="B218" t="s">
        <v>858</v>
      </c>
      <c r="C218" t="s">
        <v>235</v>
      </c>
      <c r="D218" t="s">
        <v>840</v>
      </c>
      <c r="E218">
        <v>1</v>
      </c>
      <c r="F218">
        <v>340</v>
      </c>
      <c r="G218">
        <v>20</v>
      </c>
      <c r="H218">
        <v>2681</v>
      </c>
      <c r="I218">
        <v>0.93429498876309303</v>
      </c>
      <c r="J218">
        <v>0.97491651001366197</v>
      </c>
      <c r="K218">
        <v>0.39426470588235302</v>
      </c>
      <c r="L218" t="s">
        <v>1774</v>
      </c>
      <c r="M218" t="str">
        <f>HYPERLINK("../../3.KEGG_map/SCI_II-vs-NC-Down/rno05216.html","rno05216")</f>
        <v>rno05216</v>
      </c>
    </row>
    <row r="219" spans="1:13" x14ac:dyDescent="0.25">
      <c r="A219" t="s">
        <v>860</v>
      </c>
      <c r="B219" t="s">
        <v>861</v>
      </c>
      <c r="C219" t="s">
        <v>235</v>
      </c>
      <c r="D219" t="s">
        <v>840</v>
      </c>
      <c r="E219">
        <v>2</v>
      </c>
      <c r="F219">
        <v>340</v>
      </c>
      <c r="G219">
        <v>9</v>
      </c>
      <c r="H219">
        <v>2681</v>
      </c>
      <c r="I219">
        <v>0.31921781118369602</v>
      </c>
      <c r="J219">
        <v>0.60803392606418405</v>
      </c>
      <c r="K219">
        <v>1.7522875816993499</v>
      </c>
      <c r="L219" t="s">
        <v>1655</v>
      </c>
      <c r="M219" t="str">
        <f>HYPERLINK("../../3.KEGG_map/SCI_II-vs-NC-Down/rno05217.html","rno05217")</f>
        <v>rno05217</v>
      </c>
    </row>
    <row r="220" spans="1:13" x14ac:dyDescent="0.25">
      <c r="A220" t="s">
        <v>863</v>
      </c>
      <c r="B220" t="s">
        <v>864</v>
      </c>
      <c r="C220" t="s">
        <v>235</v>
      </c>
      <c r="D220" t="s">
        <v>840</v>
      </c>
      <c r="E220">
        <v>8</v>
      </c>
      <c r="F220">
        <v>340</v>
      </c>
      <c r="G220">
        <v>38</v>
      </c>
      <c r="H220">
        <v>2681</v>
      </c>
      <c r="I220">
        <v>9.9075820209587204E-2</v>
      </c>
      <c r="J220">
        <v>0.30098983354811298</v>
      </c>
      <c r="K220">
        <v>1.66006191950464</v>
      </c>
      <c r="L220" t="s">
        <v>1775</v>
      </c>
      <c r="M220" t="str">
        <f>HYPERLINK("../../3.KEGG_map/SCI_II-vs-NC-Down/rno05218.html","rno05218")</f>
        <v>rno05218</v>
      </c>
    </row>
    <row r="221" spans="1:13" x14ac:dyDescent="0.25">
      <c r="A221" t="s">
        <v>866</v>
      </c>
      <c r="B221" t="s">
        <v>867</v>
      </c>
      <c r="C221" t="s">
        <v>235</v>
      </c>
      <c r="D221" t="s">
        <v>840</v>
      </c>
      <c r="E221">
        <v>5</v>
      </c>
      <c r="F221">
        <v>340</v>
      </c>
      <c r="G221">
        <v>27</v>
      </c>
      <c r="H221">
        <v>2681</v>
      </c>
      <c r="I221">
        <v>0.251741363536097</v>
      </c>
      <c r="J221">
        <v>0.53467192255454299</v>
      </c>
      <c r="K221">
        <v>1.46023965141612</v>
      </c>
      <c r="L221" t="s">
        <v>1776</v>
      </c>
      <c r="M221" t="str">
        <f>HYPERLINK("../../3.KEGG_map/SCI_II-vs-NC-Down/rno05219.html","rno05219")</f>
        <v>rno05219</v>
      </c>
    </row>
    <row r="222" spans="1:13" x14ac:dyDescent="0.25">
      <c r="A222" t="s">
        <v>869</v>
      </c>
      <c r="B222" t="s">
        <v>870</v>
      </c>
      <c r="C222" t="s">
        <v>235</v>
      </c>
      <c r="D222" t="s">
        <v>840</v>
      </c>
      <c r="E222">
        <v>11</v>
      </c>
      <c r="F222">
        <v>340</v>
      </c>
      <c r="G222">
        <v>51</v>
      </c>
      <c r="H222">
        <v>2681</v>
      </c>
      <c r="I222">
        <v>5.0477652108875899E-2</v>
      </c>
      <c r="J222">
        <v>0.198600598461151</v>
      </c>
      <c r="K222">
        <v>1.7007497116493699</v>
      </c>
      <c r="L222" t="s">
        <v>1777</v>
      </c>
      <c r="M222" t="str">
        <f>HYPERLINK("../../3.KEGG_map/SCI_II-vs-NC-Down/rno05220.html","rno05220")</f>
        <v>rno05220</v>
      </c>
    </row>
    <row r="223" spans="1:13" x14ac:dyDescent="0.25">
      <c r="A223" t="s">
        <v>872</v>
      </c>
      <c r="B223" t="s">
        <v>873</v>
      </c>
      <c r="C223" t="s">
        <v>235</v>
      </c>
      <c r="D223" t="s">
        <v>840</v>
      </c>
      <c r="E223">
        <v>8</v>
      </c>
      <c r="F223">
        <v>340</v>
      </c>
      <c r="G223">
        <v>36</v>
      </c>
      <c r="H223">
        <v>2681</v>
      </c>
      <c r="I223">
        <v>7.6506492130859194E-2</v>
      </c>
      <c r="J223">
        <v>0.26610953784646701</v>
      </c>
      <c r="K223">
        <v>1.7522875816993499</v>
      </c>
      <c r="L223" t="s">
        <v>1778</v>
      </c>
      <c r="M223" t="str">
        <f>HYPERLINK("../../3.KEGG_map/SCI_II-vs-NC-Down/rno05221.html","rno05221")</f>
        <v>rno05221</v>
      </c>
    </row>
    <row r="224" spans="1:13" x14ac:dyDescent="0.25">
      <c r="A224" t="s">
        <v>875</v>
      </c>
      <c r="B224" t="s">
        <v>876</v>
      </c>
      <c r="C224" t="s">
        <v>235</v>
      </c>
      <c r="D224" t="s">
        <v>840</v>
      </c>
      <c r="E224">
        <v>11</v>
      </c>
      <c r="F224">
        <v>340</v>
      </c>
      <c r="G224">
        <v>62</v>
      </c>
      <c r="H224">
        <v>2681</v>
      </c>
      <c r="I224">
        <v>0.153876583392176</v>
      </c>
      <c r="J224">
        <v>0.37684061238900302</v>
      </c>
      <c r="K224">
        <v>1.39900379506641</v>
      </c>
      <c r="L224" t="s">
        <v>1779</v>
      </c>
      <c r="M224" t="str">
        <f>HYPERLINK("../../3.KEGG_map/SCI_II-vs-NC-Down/rno05222.html","rno05222")</f>
        <v>rno05222</v>
      </c>
    </row>
    <row r="225" spans="1:13" x14ac:dyDescent="0.25">
      <c r="A225" t="s">
        <v>878</v>
      </c>
      <c r="B225" t="s">
        <v>879</v>
      </c>
      <c r="C225" t="s">
        <v>235</v>
      </c>
      <c r="D225" t="s">
        <v>840</v>
      </c>
      <c r="E225">
        <v>11</v>
      </c>
      <c r="F225">
        <v>340</v>
      </c>
      <c r="G225">
        <v>47</v>
      </c>
      <c r="H225">
        <v>2681</v>
      </c>
      <c r="I225">
        <v>2.9290733841709399E-2</v>
      </c>
      <c r="J225">
        <v>0.14364772811795501</v>
      </c>
      <c r="K225">
        <v>1.84549436795995</v>
      </c>
      <c r="L225" t="s">
        <v>1780</v>
      </c>
      <c r="M225" t="str">
        <f>HYPERLINK("../../3.KEGG_map/SCI_II-vs-NC-Down/rno05223.html","rno05223")</f>
        <v>rno05223</v>
      </c>
    </row>
    <row r="226" spans="1:13" x14ac:dyDescent="0.25">
      <c r="A226" t="s">
        <v>881</v>
      </c>
      <c r="B226" t="s">
        <v>882</v>
      </c>
      <c r="C226" t="s">
        <v>235</v>
      </c>
      <c r="D226" t="s">
        <v>840</v>
      </c>
      <c r="E226">
        <v>13</v>
      </c>
      <c r="F226">
        <v>340</v>
      </c>
      <c r="G226">
        <v>57</v>
      </c>
      <c r="H226">
        <v>2681</v>
      </c>
      <c r="I226">
        <v>2.28870564889453E-2</v>
      </c>
      <c r="J226">
        <v>0.13078317993683</v>
      </c>
      <c r="K226">
        <v>1.7984004127966999</v>
      </c>
      <c r="L226" t="s">
        <v>1781</v>
      </c>
      <c r="M226" t="str">
        <f>HYPERLINK("../../3.KEGG_map/SCI_II-vs-NC-Down/rno05224.html","rno05224")</f>
        <v>rno05224</v>
      </c>
    </row>
    <row r="227" spans="1:13" x14ac:dyDescent="0.25">
      <c r="A227" t="s">
        <v>884</v>
      </c>
      <c r="B227" t="s">
        <v>885</v>
      </c>
      <c r="C227" t="s">
        <v>235</v>
      </c>
      <c r="D227" t="s">
        <v>840</v>
      </c>
      <c r="E227">
        <v>18</v>
      </c>
      <c r="F227">
        <v>340</v>
      </c>
      <c r="G227">
        <v>102</v>
      </c>
      <c r="H227">
        <v>2681</v>
      </c>
      <c r="I227">
        <v>8.7037036726696798E-2</v>
      </c>
      <c r="J227">
        <v>0.28228228127577298</v>
      </c>
      <c r="K227">
        <v>1.3915224913494799</v>
      </c>
      <c r="L227" t="s">
        <v>1782</v>
      </c>
      <c r="M227" t="str">
        <f>HYPERLINK("../../3.KEGG_map/SCI_II-vs-NC-Down/rno05225.html","rno05225")</f>
        <v>rno05225</v>
      </c>
    </row>
    <row r="228" spans="1:13" x14ac:dyDescent="0.25">
      <c r="A228" t="s">
        <v>887</v>
      </c>
      <c r="B228" t="s">
        <v>888</v>
      </c>
      <c r="C228" t="s">
        <v>235</v>
      </c>
      <c r="D228" t="s">
        <v>840</v>
      </c>
      <c r="E228">
        <v>17</v>
      </c>
      <c r="F228">
        <v>340</v>
      </c>
      <c r="G228">
        <v>76</v>
      </c>
      <c r="H228">
        <v>2681</v>
      </c>
      <c r="I228">
        <v>1.21174143044621E-2</v>
      </c>
      <c r="J228">
        <v>9.4623275424856698E-2</v>
      </c>
      <c r="K228">
        <v>1.7638157894736799</v>
      </c>
      <c r="L228" t="s">
        <v>1783</v>
      </c>
      <c r="M228" t="str">
        <f>HYPERLINK("../../3.KEGG_map/SCI_II-vs-NC-Down/rno05226.html","rno05226")</f>
        <v>rno05226</v>
      </c>
    </row>
    <row r="229" spans="1:13" x14ac:dyDescent="0.25">
      <c r="A229" t="s">
        <v>890</v>
      </c>
      <c r="B229" t="s">
        <v>891</v>
      </c>
      <c r="C229" t="s">
        <v>235</v>
      </c>
      <c r="D229" t="s">
        <v>821</v>
      </c>
      <c r="E229">
        <v>10</v>
      </c>
      <c r="F229">
        <v>340</v>
      </c>
      <c r="G229">
        <v>34</v>
      </c>
      <c r="H229">
        <v>2681</v>
      </c>
      <c r="I229">
        <v>7.4187417688555898E-3</v>
      </c>
      <c r="J229">
        <v>7.4187417688555898E-2</v>
      </c>
      <c r="K229">
        <v>2.31920415224914</v>
      </c>
      <c r="L229" t="s">
        <v>1784</v>
      </c>
      <c r="M229" t="str">
        <f>HYPERLINK("../../3.KEGG_map/SCI_II-vs-NC-Down/rno05230.html","rno05230")</f>
        <v>rno05230</v>
      </c>
    </row>
    <row r="230" spans="1:13" x14ac:dyDescent="0.25">
      <c r="A230" t="s">
        <v>893</v>
      </c>
      <c r="B230" t="s">
        <v>894</v>
      </c>
      <c r="C230" t="s">
        <v>235</v>
      </c>
      <c r="D230" t="s">
        <v>821</v>
      </c>
      <c r="E230">
        <v>15</v>
      </c>
      <c r="F230">
        <v>340</v>
      </c>
      <c r="G230">
        <v>61</v>
      </c>
      <c r="H230">
        <v>2681</v>
      </c>
      <c r="I230">
        <v>7.4073286803007701E-3</v>
      </c>
      <c r="J230">
        <v>7.4187417688555898E-2</v>
      </c>
      <c r="K230">
        <v>1.9390067502410799</v>
      </c>
      <c r="L230" t="s">
        <v>1785</v>
      </c>
      <c r="M230" t="str">
        <f>HYPERLINK("../../3.KEGG_map/SCI_II-vs-NC-Down/rno05231.html","rno05231")</f>
        <v>rno05231</v>
      </c>
    </row>
    <row r="231" spans="1:13" x14ac:dyDescent="0.25">
      <c r="A231" t="s">
        <v>900</v>
      </c>
      <c r="B231" t="s">
        <v>901</v>
      </c>
      <c r="C231" t="s">
        <v>235</v>
      </c>
      <c r="D231" t="s">
        <v>898</v>
      </c>
      <c r="E231">
        <v>1</v>
      </c>
      <c r="F231">
        <v>340</v>
      </c>
      <c r="G231">
        <v>11</v>
      </c>
      <c r="H231">
        <v>2681</v>
      </c>
      <c r="I231">
        <v>0.77568775542567903</v>
      </c>
      <c r="J231">
        <v>0.91086239748072795</v>
      </c>
      <c r="K231">
        <v>0.71684491978609599</v>
      </c>
      <c r="L231" t="s">
        <v>1463</v>
      </c>
      <c r="M231" t="str">
        <f>HYPERLINK("../../3.KEGG_map/SCI_II-vs-NC-Down/rno05320.html","rno05320")</f>
        <v>rno05320</v>
      </c>
    </row>
    <row r="232" spans="1:13" x14ac:dyDescent="0.25">
      <c r="A232" t="s">
        <v>903</v>
      </c>
      <c r="B232" t="s">
        <v>904</v>
      </c>
      <c r="C232" t="s">
        <v>235</v>
      </c>
      <c r="D232" t="s">
        <v>898</v>
      </c>
      <c r="E232">
        <v>2</v>
      </c>
      <c r="F232">
        <v>340</v>
      </c>
      <c r="G232">
        <v>14</v>
      </c>
      <c r="H232">
        <v>2681</v>
      </c>
      <c r="I232">
        <v>0.54620841394057096</v>
      </c>
      <c r="J232">
        <v>0.79976466264729495</v>
      </c>
      <c r="K232">
        <v>1.1264705882352899</v>
      </c>
      <c r="L232" t="s">
        <v>1786</v>
      </c>
      <c r="M232" t="str">
        <f>HYPERLINK("../../3.KEGG_map/SCI_II-vs-NC-Down/rno05321.html","rno05321")</f>
        <v>rno05321</v>
      </c>
    </row>
    <row r="233" spans="1:13" x14ac:dyDescent="0.25">
      <c r="A233" t="s">
        <v>906</v>
      </c>
      <c r="B233" t="s">
        <v>907</v>
      </c>
      <c r="C233" t="s">
        <v>235</v>
      </c>
      <c r="D233" t="s">
        <v>898</v>
      </c>
      <c r="E233">
        <v>2</v>
      </c>
      <c r="F233">
        <v>340</v>
      </c>
      <c r="G233">
        <v>10</v>
      </c>
      <c r="H233">
        <v>2681</v>
      </c>
      <c r="I233">
        <v>0.36822529841672402</v>
      </c>
      <c r="J233">
        <v>0.64980935014716001</v>
      </c>
      <c r="K233">
        <v>1.5770588235294101</v>
      </c>
      <c r="L233" t="s">
        <v>1787</v>
      </c>
      <c r="M233" t="str">
        <f>HYPERLINK("../../3.KEGG_map/SCI_II-vs-NC-Down/rno05322.html","rno05322")</f>
        <v>rno05322</v>
      </c>
    </row>
    <row r="234" spans="1:13" x14ac:dyDescent="0.25">
      <c r="A234" t="s">
        <v>909</v>
      </c>
      <c r="B234" t="s">
        <v>910</v>
      </c>
      <c r="C234" t="s">
        <v>235</v>
      </c>
      <c r="D234" t="s">
        <v>898</v>
      </c>
      <c r="E234">
        <v>1</v>
      </c>
      <c r="F234">
        <v>340</v>
      </c>
      <c r="G234">
        <v>17</v>
      </c>
      <c r="H234">
        <v>2681</v>
      </c>
      <c r="I234">
        <v>0.90101614059343704</v>
      </c>
      <c r="J234">
        <v>0.95262080890415002</v>
      </c>
      <c r="K234">
        <v>0.46384083044982699</v>
      </c>
      <c r="L234" t="s">
        <v>1343</v>
      </c>
      <c r="M234" t="str">
        <f>HYPERLINK("../../3.KEGG_map/SCI_II-vs-NC-Down/rno05323.html","rno05323")</f>
        <v>rno05323</v>
      </c>
    </row>
    <row r="235" spans="1:13" x14ac:dyDescent="0.25">
      <c r="A235" t="s">
        <v>912</v>
      </c>
      <c r="B235" t="s">
        <v>913</v>
      </c>
      <c r="C235" t="s">
        <v>235</v>
      </c>
      <c r="D235" t="s">
        <v>898</v>
      </c>
      <c r="E235">
        <v>1</v>
      </c>
      <c r="F235">
        <v>340</v>
      </c>
      <c r="G235">
        <v>11</v>
      </c>
      <c r="H235">
        <v>2681</v>
      </c>
      <c r="I235">
        <v>0.77568775542567903</v>
      </c>
      <c r="J235">
        <v>0.91086239748072795</v>
      </c>
      <c r="K235">
        <v>0.71684491978609599</v>
      </c>
      <c r="L235" t="s">
        <v>1463</v>
      </c>
      <c r="M235" t="str">
        <f>HYPERLINK("../../3.KEGG_map/SCI_II-vs-NC-Down/rno05330.html","rno05330")</f>
        <v>rno05330</v>
      </c>
    </row>
    <row r="236" spans="1:13" x14ac:dyDescent="0.25">
      <c r="A236" t="s">
        <v>915</v>
      </c>
      <c r="B236" t="s">
        <v>916</v>
      </c>
      <c r="C236" t="s">
        <v>235</v>
      </c>
      <c r="D236" t="s">
        <v>898</v>
      </c>
      <c r="E236">
        <v>1</v>
      </c>
      <c r="F236">
        <v>340</v>
      </c>
      <c r="G236">
        <v>11</v>
      </c>
      <c r="H236">
        <v>2681</v>
      </c>
      <c r="I236">
        <v>0.77568775542567903</v>
      </c>
      <c r="J236">
        <v>0.91086239748072795</v>
      </c>
      <c r="K236">
        <v>0.71684491978609599</v>
      </c>
      <c r="L236" t="s">
        <v>1463</v>
      </c>
      <c r="M236" t="str">
        <f>HYPERLINK("../../3.KEGG_map/SCI_II-vs-NC-Down/rno05332.html","rno05332")</f>
        <v>rno05332</v>
      </c>
    </row>
    <row r="237" spans="1:13" x14ac:dyDescent="0.25">
      <c r="A237" t="s">
        <v>921</v>
      </c>
      <c r="B237" t="s">
        <v>922</v>
      </c>
      <c r="C237" t="s">
        <v>235</v>
      </c>
      <c r="D237" t="s">
        <v>923</v>
      </c>
      <c r="E237">
        <v>8</v>
      </c>
      <c r="F237">
        <v>340</v>
      </c>
      <c r="G237">
        <v>60</v>
      </c>
      <c r="H237">
        <v>2681</v>
      </c>
      <c r="I237">
        <v>0.49812126466296303</v>
      </c>
      <c r="J237">
        <v>0.767117526463995</v>
      </c>
      <c r="K237">
        <v>1.05137254901961</v>
      </c>
      <c r="L237" t="s">
        <v>1788</v>
      </c>
      <c r="M237" t="str">
        <f>HYPERLINK("../../3.KEGG_map/SCI_II-vs-NC-Down/rno05410.html","rno05410")</f>
        <v>rno05410</v>
      </c>
    </row>
    <row r="238" spans="1:13" x14ac:dyDescent="0.25">
      <c r="A238" t="s">
        <v>925</v>
      </c>
      <c r="B238" t="s">
        <v>926</v>
      </c>
      <c r="C238" t="s">
        <v>235</v>
      </c>
      <c r="D238" t="s">
        <v>923</v>
      </c>
      <c r="E238">
        <v>6</v>
      </c>
      <c r="F238">
        <v>340</v>
      </c>
      <c r="G238">
        <v>59</v>
      </c>
      <c r="H238">
        <v>2681</v>
      </c>
      <c r="I238">
        <v>0.778028297848121</v>
      </c>
      <c r="J238">
        <v>0.91086239748072795</v>
      </c>
      <c r="K238">
        <v>0.80189431704885294</v>
      </c>
      <c r="L238" t="s">
        <v>1789</v>
      </c>
      <c r="M238" t="str">
        <f>HYPERLINK("../../3.KEGG_map/SCI_II-vs-NC-Down/rno05412.html","rno05412")</f>
        <v>rno05412</v>
      </c>
    </row>
    <row r="239" spans="1:13" x14ac:dyDescent="0.25">
      <c r="A239" t="s">
        <v>928</v>
      </c>
      <c r="B239" t="s">
        <v>929</v>
      </c>
      <c r="C239" t="s">
        <v>235</v>
      </c>
      <c r="D239" t="s">
        <v>923</v>
      </c>
      <c r="E239">
        <v>16</v>
      </c>
      <c r="F239">
        <v>340</v>
      </c>
      <c r="G239">
        <v>69</v>
      </c>
      <c r="H239">
        <v>2681</v>
      </c>
      <c r="I239">
        <v>1.0417014223007301E-2</v>
      </c>
      <c r="J239">
        <v>9.1642646881987894E-2</v>
      </c>
      <c r="K239">
        <v>1.82847399829497</v>
      </c>
      <c r="L239" t="s">
        <v>1790</v>
      </c>
      <c r="M239" t="str">
        <f>HYPERLINK("../../3.KEGG_map/SCI_II-vs-NC-Down/rno05414.html","rno05414")</f>
        <v>rno05414</v>
      </c>
    </row>
    <row r="240" spans="1:13" x14ac:dyDescent="0.25">
      <c r="A240" t="s">
        <v>931</v>
      </c>
      <c r="B240" t="s">
        <v>932</v>
      </c>
      <c r="C240" t="s">
        <v>235</v>
      </c>
      <c r="D240" t="s">
        <v>923</v>
      </c>
      <c r="E240">
        <v>1</v>
      </c>
      <c r="F240">
        <v>340</v>
      </c>
      <c r="G240">
        <v>22</v>
      </c>
      <c r="H240">
        <v>2681</v>
      </c>
      <c r="I240">
        <v>0.95001552809481404</v>
      </c>
      <c r="J240">
        <v>0.97855676713628903</v>
      </c>
      <c r="K240">
        <v>0.358422459893048</v>
      </c>
      <c r="L240" t="s">
        <v>1463</v>
      </c>
      <c r="M240" t="str">
        <f>HYPERLINK("../../3.KEGG_map/SCI_II-vs-NC-Down/rno05416.html","rno05416")</f>
        <v>rno05416</v>
      </c>
    </row>
    <row r="241" spans="1:13" x14ac:dyDescent="0.25">
      <c r="A241" t="s">
        <v>934</v>
      </c>
      <c r="B241" t="s">
        <v>935</v>
      </c>
      <c r="C241" t="s">
        <v>235</v>
      </c>
      <c r="D241" t="s">
        <v>923</v>
      </c>
      <c r="E241">
        <v>13</v>
      </c>
      <c r="F241">
        <v>340</v>
      </c>
      <c r="G241">
        <v>81</v>
      </c>
      <c r="H241">
        <v>2681</v>
      </c>
      <c r="I241">
        <v>0.21981795368512599</v>
      </c>
      <c r="J241">
        <v>0.479602808040275</v>
      </c>
      <c r="K241">
        <v>1.2655410312273101</v>
      </c>
      <c r="L241" t="s">
        <v>1791</v>
      </c>
      <c r="M241" t="str">
        <f>HYPERLINK("../../3.KEGG_map/SCI_II-vs-NC-Down/rno05418.html","rno05418")</f>
        <v>rno05418</v>
      </c>
    </row>
  </sheetData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3EEE-60C1-4524-8461-205451F95DBF}">
  <dimension ref="A1:M239"/>
  <sheetViews>
    <sheetView workbookViewId="0"/>
  </sheetViews>
  <sheetFormatPr defaultRowHeight="13.8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18</v>
      </c>
      <c r="B2" t="s">
        <v>19</v>
      </c>
      <c r="C2" t="s">
        <v>15</v>
      </c>
      <c r="D2" t="s">
        <v>16</v>
      </c>
      <c r="E2">
        <v>1</v>
      </c>
      <c r="F2">
        <v>228</v>
      </c>
      <c r="G2">
        <v>16</v>
      </c>
      <c r="H2">
        <v>2681</v>
      </c>
      <c r="I2">
        <v>0.75978637136180904</v>
      </c>
      <c r="J2">
        <v>0.85701021982990799</v>
      </c>
      <c r="K2">
        <v>0.73492324561403499</v>
      </c>
      <c r="L2" t="s">
        <v>1792</v>
      </c>
      <c r="M2" t="str">
        <f>HYPERLINK("../../3.KEGG_map/SCI_III-vs-NC-Down/rno00020.html","rno00020")</f>
        <v>rno00020</v>
      </c>
    </row>
    <row r="3" spans="1:13" x14ac:dyDescent="0.25">
      <c r="A3" t="s">
        <v>40</v>
      </c>
      <c r="B3" t="s">
        <v>41</v>
      </c>
      <c r="C3" t="s">
        <v>15</v>
      </c>
      <c r="D3" t="s">
        <v>38</v>
      </c>
      <c r="E3">
        <v>1</v>
      </c>
      <c r="F3">
        <v>228</v>
      </c>
      <c r="G3">
        <v>9</v>
      </c>
      <c r="H3">
        <v>2681</v>
      </c>
      <c r="I3">
        <v>0.55118912548810395</v>
      </c>
      <c r="J3">
        <v>0.74961721066382203</v>
      </c>
      <c r="K3">
        <v>1.30653021442495</v>
      </c>
      <c r="L3" t="s">
        <v>1340</v>
      </c>
      <c r="M3" t="str">
        <f>HYPERLINK("../../3.KEGG_map/SCI_III-vs-NC-Down/rno00062.html","rno00062")</f>
        <v>rno00062</v>
      </c>
    </row>
    <row r="4" spans="1:13" x14ac:dyDescent="0.25">
      <c r="A4" t="s">
        <v>43</v>
      </c>
      <c r="B4" t="s">
        <v>44</v>
      </c>
      <c r="C4" t="s">
        <v>15</v>
      </c>
      <c r="D4" t="s">
        <v>38</v>
      </c>
      <c r="E4">
        <v>2</v>
      </c>
      <c r="F4">
        <v>228</v>
      </c>
      <c r="G4">
        <v>13</v>
      </c>
      <c r="H4">
        <v>2681</v>
      </c>
      <c r="I4">
        <v>0.304560714169331</v>
      </c>
      <c r="J4">
        <v>0.570751574585046</v>
      </c>
      <c r="K4">
        <v>1.8090418353576201</v>
      </c>
      <c r="L4" t="s">
        <v>1341</v>
      </c>
      <c r="M4" t="str">
        <f>HYPERLINK("../../3.KEGG_map/SCI_III-vs-NC-Down/rno00071.html","rno00071")</f>
        <v>rno00071</v>
      </c>
    </row>
    <row r="5" spans="1:13" x14ac:dyDescent="0.25">
      <c r="A5" t="s">
        <v>55</v>
      </c>
      <c r="B5" t="s">
        <v>56</v>
      </c>
      <c r="C5" t="s">
        <v>15</v>
      </c>
      <c r="D5" t="s">
        <v>57</v>
      </c>
      <c r="E5">
        <v>1</v>
      </c>
      <c r="F5">
        <v>228</v>
      </c>
      <c r="G5">
        <v>5</v>
      </c>
      <c r="H5">
        <v>2681</v>
      </c>
      <c r="I5">
        <v>0.35900752764303101</v>
      </c>
      <c r="J5">
        <v>0.61915790999305398</v>
      </c>
      <c r="K5">
        <v>2.3517543859649099</v>
      </c>
      <c r="L5" t="s">
        <v>1342</v>
      </c>
      <c r="M5" t="str">
        <f>HYPERLINK("../../3.KEGG_map/SCI_III-vs-NC-Down/rno00130.html","rno00130")</f>
        <v>rno00130</v>
      </c>
    </row>
    <row r="6" spans="1:13" x14ac:dyDescent="0.25">
      <c r="A6" t="s">
        <v>70</v>
      </c>
      <c r="B6" t="s">
        <v>71</v>
      </c>
      <c r="C6" t="s">
        <v>15</v>
      </c>
      <c r="D6" t="s">
        <v>72</v>
      </c>
      <c r="E6">
        <v>9</v>
      </c>
      <c r="F6">
        <v>228</v>
      </c>
      <c r="G6">
        <v>57</v>
      </c>
      <c r="H6">
        <v>2681</v>
      </c>
      <c r="I6">
        <v>4.8491783121711103E-2</v>
      </c>
      <c r="J6">
        <v>0.27952240048418597</v>
      </c>
      <c r="K6">
        <v>1.85664819944598</v>
      </c>
      <c r="L6" t="s">
        <v>1793</v>
      </c>
      <c r="M6" t="str">
        <f>HYPERLINK("../../3.KEGG_map/SCI_III-vs-NC-Down/rno00230.html","rno00230")</f>
        <v>rno00230</v>
      </c>
    </row>
    <row r="7" spans="1:13" x14ac:dyDescent="0.25">
      <c r="A7" t="s">
        <v>74</v>
      </c>
      <c r="B7" t="s">
        <v>75</v>
      </c>
      <c r="C7" t="s">
        <v>15</v>
      </c>
      <c r="D7" t="s">
        <v>72</v>
      </c>
      <c r="E7">
        <v>1</v>
      </c>
      <c r="F7">
        <v>228</v>
      </c>
      <c r="G7">
        <v>19</v>
      </c>
      <c r="H7">
        <v>2681</v>
      </c>
      <c r="I7">
        <v>0.81633482283471503</v>
      </c>
      <c r="J7">
        <v>0.891227925847074</v>
      </c>
      <c r="K7">
        <v>0.61888273314866105</v>
      </c>
      <c r="L7" t="s">
        <v>1585</v>
      </c>
      <c r="M7" t="str">
        <f>HYPERLINK("../../3.KEGG_map/SCI_III-vs-NC-Down/rno00240.html","rno00240")</f>
        <v>rno00240</v>
      </c>
    </row>
    <row r="8" spans="1:13" x14ac:dyDescent="0.25">
      <c r="A8" t="s">
        <v>80</v>
      </c>
      <c r="B8" t="s">
        <v>81</v>
      </c>
      <c r="C8" t="s">
        <v>15</v>
      </c>
      <c r="D8" t="s">
        <v>68</v>
      </c>
      <c r="E8">
        <v>1</v>
      </c>
      <c r="F8">
        <v>228</v>
      </c>
      <c r="G8">
        <v>8</v>
      </c>
      <c r="H8">
        <v>2681</v>
      </c>
      <c r="I8">
        <v>0.50933682307963302</v>
      </c>
      <c r="J8">
        <v>0.71572473513523704</v>
      </c>
      <c r="K8">
        <v>1.46984649122807</v>
      </c>
      <c r="L8" t="s">
        <v>1347</v>
      </c>
      <c r="M8" t="str">
        <f>HYPERLINK("../../3.KEGG_map/SCI_III-vs-NC-Down/rno00270.html","rno00270")</f>
        <v>rno00270</v>
      </c>
    </row>
    <row r="9" spans="1:13" x14ac:dyDescent="0.25">
      <c r="A9" t="s">
        <v>83</v>
      </c>
      <c r="B9" t="s">
        <v>84</v>
      </c>
      <c r="C9" t="s">
        <v>15</v>
      </c>
      <c r="D9" t="s">
        <v>68</v>
      </c>
      <c r="E9">
        <v>5</v>
      </c>
      <c r="F9">
        <v>228</v>
      </c>
      <c r="G9">
        <v>35</v>
      </c>
      <c r="H9">
        <v>2681</v>
      </c>
      <c r="I9">
        <v>0.17171196384773299</v>
      </c>
      <c r="J9">
        <v>0.44421138473652699</v>
      </c>
      <c r="K9">
        <v>1.6798245614035101</v>
      </c>
      <c r="L9" t="s">
        <v>1794</v>
      </c>
      <c r="M9" t="str">
        <f>HYPERLINK("../../3.KEGG_map/SCI_III-vs-NC-Down/rno00280.html","rno00280")</f>
        <v>rno00280</v>
      </c>
    </row>
    <row r="10" spans="1:13" x14ac:dyDescent="0.25">
      <c r="A10" t="s">
        <v>86</v>
      </c>
      <c r="B10" t="s">
        <v>87</v>
      </c>
      <c r="C10" t="s">
        <v>15</v>
      </c>
      <c r="D10" t="s">
        <v>68</v>
      </c>
      <c r="E10">
        <v>11</v>
      </c>
      <c r="F10">
        <v>228</v>
      </c>
      <c r="G10">
        <v>83</v>
      </c>
      <c r="H10">
        <v>2681</v>
      </c>
      <c r="I10">
        <v>8.9831565092738999E-2</v>
      </c>
      <c r="J10">
        <v>0.36237139817071001</v>
      </c>
      <c r="K10">
        <v>1.55839146057916</v>
      </c>
      <c r="L10" t="s">
        <v>1795</v>
      </c>
      <c r="M10" t="str">
        <f>HYPERLINK("../../3.KEGG_map/SCI_III-vs-NC-Down/rno00310.html","rno00310")</f>
        <v>rno00310</v>
      </c>
    </row>
    <row r="11" spans="1:13" x14ac:dyDescent="0.25">
      <c r="A11" t="s">
        <v>101</v>
      </c>
      <c r="B11" t="s">
        <v>102</v>
      </c>
      <c r="C11" t="s">
        <v>15</v>
      </c>
      <c r="D11" t="s">
        <v>68</v>
      </c>
      <c r="E11">
        <v>1</v>
      </c>
      <c r="F11">
        <v>228</v>
      </c>
      <c r="G11">
        <v>7</v>
      </c>
      <c r="H11">
        <v>2681</v>
      </c>
      <c r="I11">
        <v>0.46360043536996698</v>
      </c>
      <c r="J11">
        <v>0.67950790212197398</v>
      </c>
      <c r="K11">
        <v>1.6798245614035101</v>
      </c>
      <c r="L11" t="s">
        <v>1350</v>
      </c>
      <c r="M11" t="str">
        <f>HYPERLINK("../../3.KEGG_map/SCI_III-vs-NC-Down/rno00380.html","rno00380")</f>
        <v>rno00380</v>
      </c>
    </row>
    <row r="12" spans="1:13" x14ac:dyDescent="0.25">
      <c r="A12" t="s">
        <v>104</v>
      </c>
      <c r="B12" t="s">
        <v>105</v>
      </c>
      <c r="C12" t="s">
        <v>15</v>
      </c>
      <c r="D12" t="s">
        <v>106</v>
      </c>
      <c r="E12">
        <v>2</v>
      </c>
      <c r="F12">
        <v>228</v>
      </c>
      <c r="G12">
        <v>11</v>
      </c>
      <c r="H12">
        <v>2681</v>
      </c>
      <c r="I12">
        <v>0.239065706366099</v>
      </c>
      <c r="J12">
        <v>0.52742722736119096</v>
      </c>
      <c r="K12">
        <v>2.1379585326953698</v>
      </c>
      <c r="L12" t="s">
        <v>1796</v>
      </c>
      <c r="M12" t="str">
        <f>HYPERLINK("../../3.KEGG_map/SCI_III-vs-NC-Down/rno00410.html","rno00410")</f>
        <v>rno00410</v>
      </c>
    </row>
    <row r="13" spans="1:13" x14ac:dyDescent="0.25">
      <c r="A13" t="s">
        <v>117</v>
      </c>
      <c r="B13" t="s">
        <v>118</v>
      </c>
      <c r="C13" t="s">
        <v>15</v>
      </c>
      <c r="D13" t="s">
        <v>106</v>
      </c>
      <c r="E13">
        <v>1</v>
      </c>
      <c r="F13">
        <v>228</v>
      </c>
      <c r="G13">
        <v>15</v>
      </c>
      <c r="H13">
        <v>2681</v>
      </c>
      <c r="I13">
        <v>0.73732176622255197</v>
      </c>
      <c r="J13">
        <v>0.847741934110954</v>
      </c>
      <c r="K13">
        <v>0.78391812865497101</v>
      </c>
      <c r="L13" t="s">
        <v>1792</v>
      </c>
      <c r="M13" t="str">
        <f>HYPERLINK("../../3.KEGG_map/SCI_III-vs-NC-Down/rno00480.html","rno00480")</f>
        <v>rno00480</v>
      </c>
    </row>
    <row r="14" spans="1:13" x14ac:dyDescent="0.25">
      <c r="A14" t="s">
        <v>968</v>
      </c>
      <c r="B14" t="s">
        <v>969</v>
      </c>
      <c r="C14" t="s">
        <v>15</v>
      </c>
      <c r="D14" t="s">
        <v>125</v>
      </c>
      <c r="E14">
        <v>2</v>
      </c>
      <c r="F14">
        <v>228</v>
      </c>
      <c r="G14">
        <v>21</v>
      </c>
      <c r="H14">
        <v>2681</v>
      </c>
      <c r="I14">
        <v>0.54428658288252796</v>
      </c>
      <c r="J14">
        <v>0.74878732211584798</v>
      </c>
      <c r="K14">
        <v>1.1198830409356699</v>
      </c>
      <c r="L14" t="s">
        <v>1354</v>
      </c>
      <c r="M14" t="str">
        <f>HYPERLINK("../../3.KEGG_map/SCI_III-vs-NC-Down/rno00510.html","rno00510")</f>
        <v>rno00510</v>
      </c>
    </row>
    <row r="15" spans="1:13" x14ac:dyDescent="0.25">
      <c r="A15" t="s">
        <v>133</v>
      </c>
      <c r="B15" t="s">
        <v>134</v>
      </c>
      <c r="C15" t="s">
        <v>15</v>
      </c>
      <c r="D15" t="s">
        <v>16</v>
      </c>
      <c r="E15">
        <v>1</v>
      </c>
      <c r="F15">
        <v>228</v>
      </c>
      <c r="G15">
        <v>22</v>
      </c>
      <c r="H15">
        <v>2681</v>
      </c>
      <c r="I15">
        <v>0.85961570893189398</v>
      </c>
      <c r="J15">
        <v>0.90144768047319201</v>
      </c>
      <c r="K15">
        <v>0.53448963317384401</v>
      </c>
      <c r="L15" t="s">
        <v>1797</v>
      </c>
      <c r="M15" t="str">
        <f>HYPERLINK("../../3.KEGG_map/SCI_III-vs-NC-Down/rno00520.html","rno00520")</f>
        <v>rno00520</v>
      </c>
    </row>
    <row r="16" spans="1:13" x14ac:dyDescent="0.25">
      <c r="A16" t="s">
        <v>974</v>
      </c>
      <c r="B16" t="s">
        <v>975</v>
      </c>
      <c r="C16" t="s">
        <v>15</v>
      </c>
      <c r="D16" t="s">
        <v>125</v>
      </c>
      <c r="E16">
        <v>2</v>
      </c>
      <c r="F16">
        <v>228</v>
      </c>
      <c r="G16">
        <v>5</v>
      </c>
      <c r="H16">
        <v>2681</v>
      </c>
      <c r="I16">
        <v>6.0628018256774198E-2</v>
      </c>
      <c r="J16">
        <v>0.30061392385650598</v>
      </c>
      <c r="K16">
        <v>4.7035087719298199</v>
      </c>
      <c r="L16" t="s">
        <v>1359</v>
      </c>
      <c r="M16" t="str">
        <f>HYPERLINK("../../3.KEGG_map/SCI_III-vs-NC-Down/rno00531.html","rno00531")</f>
        <v>rno00531</v>
      </c>
    </row>
    <row r="17" spans="1:13" x14ac:dyDescent="0.25">
      <c r="A17" t="s">
        <v>145</v>
      </c>
      <c r="B17" t="s">
        <v>146</v>
      </c>
      <c r="C17" t="s">
        <v>15</v>
      </c>
      <c r="D17" t="s">
        <v>38</v>
      </c>
      <c r="E17">
        <v>4</v>
      </c>
      <c r="F17">
        <v>228</v>
      </c>
      <c r="G17">
        <v>24</v>
      </c>
      <c r="H17">
        <v>2681</v>
      </c>
      <c r="I17">
        <v>0.141342214111739</v>
      </c>
      <c r="J17">
        <v>0.39921687997922201</v>
      </c>
      <c r="K17">
        <v>1.95979532163743</v>
      </c>
      <c r="L17" t="s">
        <v>1798</v>
      </c>
      <c r="M17" t="str">
        <f>HYPERLINK("../../3.KEGG_map/SCI_III-vs-NC-Down/rno00561.html","rno00561")</f>
        <v>rno00561</v>
      </c>
    </row>
    <row r="18" spans="1:13" x14ac:dyDescent="0.25">
      <c r="A18" t="s">
        <v>148</v>
      </c>
      <c r="B18" t="s">
        <v>149</v>
      </c>
      <c r="C18" t="s">
        <v>15</v>
      </c>
      <c r="D18" t="s">
        <v>16</v>
      </c>
      <c r="E18">
        <v>7</v>
      </c>
      <c r="F18">
        <v>228</v>
      </c>
      <c r="G18">
        <v>77</v>
      </c>
      <c r="H18">
        <v>2681</v>
      </c>
      <c r="I18">
        <v>0.485984018548692</v>
      </c>
      <c r="J18">
        <v>0.696772267557763</v>
      </c>
      <c r="K18">
        <v>1.06897926634769</v>
      </c>
      <c r="L18" t="s">
        <v>1799</v>
      </c>
      <c r="M18" t="str">
        <f>HYPERLINK("../../3.KEGG_map/SCI_III-vs-NC-Down/rno00562.html","rno00562")</f>
        <v>rno00562</v>
      </c>
    </row>
    <row r="19" spans="1:13" x14ac:dyDescent="0.25">
      <c r="A19" t="s">
        <v>1362</v>
      </c>
      <c r="B19" t="s">
        <v>1363</v>
      </c>
      <c r="C19" t="s">
        <v>15</v>
      </c>
      <c r="D19" t="s">
        <v>125</v>
      </c>
      <c r="E19">
        <v>2</v>
      </c>
      <c r="F19">
        <v>228</v>
      </c>
      <c r="G19">
        <v>7</v>
      </c>
      <c r="H19">
        <v>2681</v>
      </c>
      <c r="I19">
        <v>0.11374604013109001</v>
      </c>
      <c r="J19">
        <v>0.38128954297464002</v>
      </c>
      <c r="K19">
        <v>3.3596491228070202</v>
      </c>
      <c r="L19" t="s">
        <v>1364</v>
      </c>
      <c r="M19" t="str">
        <f>HYPERLINK("../../3.KEGG_map/SCI_III-vs-NC-Down/rno00563.html","rno00563")</f>
        <v>rno00563</v>
      </c>
    </row>
    <row r="20" spans="1:13" x14ac:dyDescent="0.25">
      <c r="A20" t="s">
        <v>151</v>
      </c>
      <c r="B20" t="s">
        <v>152</v>
      </c>
      <c r="C20" t="s">
        <v>15</v>
      </c>
      <c r="D20" t="s">
        <v>38</v>
      </c>
      <c r="E20">
        <v>6</v>
      </c>
      <c r="F20">
        <v>228</v>
      </c>
      <c r="G20">
        <v>42</v>
      </c>
      <c r="H20">
        <v>2681</v>
      </c>
      <c r="I20">
        <v>0.14151812387686699</v>
      </c>
      <c r="J20">
        <v>0.39921687997922201</v>
      </c>
      <c r="K20">
        <v>1.6798245614035101</v>
      </c>
      <c r="L20" t="s">
        <v>1800</v>
      </c>
      <c r="M20" t="str">
        <f>HYPERLINK("../../3.KEGG_map/SCI_III-vs-NC-Down/rno00564.html","rno00564")</f>
        <v>rno00564</v>
      </c>
    </row>
    <row r="21" spans="1:13" x14ac:dyDescent="0.25">
      <c r="A21" t="s">
        <v>154</v>
      </c>
      <c r="B21" t="s">
        <v>155</v>
      </c>
      <c r="C21" t="s">
        <v>15</v>
      </c>
      <c r="D21" t="s">
        <v>38</v>
      </c>
      <c r="E21">
        <v>2</v>
      </c>
      <c r="F21">
        <v>228</v>
      </c>
      <c r="G21">
        <v>28</v>
      </c>
      <c r="H21">
        <v>2681</v>
      </c>
      <c r="I21">
        <v>0.70244089444080005</v>
      </c>
      <c r="J21">
        <v>0.82754334727712597</v>
      </c>
      <c r="K21">
        <v>0.83991228070175405</v>
      </c>
      <c r="L21" t="s">
        <v>1801</v>
      </c>
      <c r="M21" t="str">
        <f>HYPERLINK("../../3.KEGG_map/SCI_III-vs-NC-Down/rno00565.html","rno00565")</f>
        <v>rno00565</v>
      </c>
    </row>
    <row r="22" spans="1:13" x14ac:dyDescent="0.25">
      <c r="A22" t="s">
        <v>157</v>
      </c>
      <c r="B22" t="s">
        <v>158</v>
      </c>
      <c r="C22" t="s">
        <v>15</v>
      </c>
      <c r="D22" t="s">
        <v>38</v>
      </c>
      <c r="E22">
        <v>1</v>
      </c>
      <c r="F22">
        <v>228</v>
      </c>
      <c r="G22">
        <v>10</v>
      </c>
      <c r="H22">
        <v>2681</v>
      </c>
      <c r="I22">
        <v>0.58948586178627504</v>
      </c>
      <c r="J22">
        <v>0.77943130613962996</v>
      </c>
      <c r="K22">
        <v>1.1758771929824601</v>
      </c>
      <c r="L22" t="s">
        <v>1367</v>
      </c>
      <c r="M22" t="str">
        <f>HYPERLINK("../../3.KEGG_map/SCI_III-vs-NC-Down/rno00590.html","rno00590")</f>
        <v>rno00590</v>
      </c>
    </row>
    <row r="23" spans="1:13" x14ac:dyDescent="0.25">
      <c r="A23" t="s">
        <v>160</v>
      </c>
      <c r="B23" t="s">
        <v>161</v>
      </c>
      <c r="C23" t="s">
        <v>15</v>
      </c>
      <c r="D23" t="s">
        <v>38</v>
      </c>
      <c r="E23">
        <v>1</v>
      </c>
      <c r="F23">
        <v>228</v>
      </c>
      <c r="G23">
        <v>6</v>
      </c>
      <c r="H23">
        <v>2681</v>
      </c>
      <c r="I23">
        <v>0.41362123605012702</v>
      </c>
      <c r="J23">
        <v>0.65193280913861096</v>
      </c>
      <c r="K23">
        <v>1.95979532163743</v>
      </c>
      <c r="L23" t="s">
        <v>1367</v>
      </c>
      <c r="M23" t="str">
        <f>HYPERLINK("../../3.KEGG_map/SCI_III-vs-NC-Down/rno00591.html","rno00591")</f>
        <v>rno00591</v>
      </c>
    </row>
    <row r="24" spans="1:13" x14ac:dyDescent="0.25">
      <c r="A24" t="s">
        <v>163</v>
      </c>
      <c r="B24" t="s">
        <v>164</v>
      </c>
      <c r="C24" t="s">
        <v>15</v>
      </c>
      <c r="D24" t="s">
        <v>38</v>
      </c>
      <c r="E24">
        <v>1</v>
      </c>
      <c r="F24">
        <v>228</v>
      </c>
      <c r="G24">
        <v>10</v>
      </c>
      <c r="H24">
        <v>2681</v>
      </c>
      <c r="I24">
        <v>0.58948586178627504</v>
      </c>
      <c r="J24">
        <v>0.77943130613962996</v>
      </c>
      <c r="K24">
        <v>1.1758771929824601</v>
      </c>
      <c r="L24" t="s">
        <v>1367</v>
      </c>
      <c r="M24" t="str">
        <f>HYPERLINK("../../3.KEGG_map/SCI_III-vs-NC-Down/rno00592.html","rno00592")</f>
        <v>rno00592</v>
      </c>
    </row>
    <row r="25" spans="1:13" x14ac:dyDescent="0.25">
      <c r="A25" t="s">
        <v>166</v>
      </c>
      <c r="B25" t="s">
        <v>167</v>
      </c>
      <c r="C25" t="s">
        <v>15</v>
      </c>
      <c r="D25" t="s">
        <v>38</v>
      </c>
      <c r="E25">
        <v>1</v>
      </c>
      <c r="F25">
        <v>228</v>
      </c>
      <c r="G25">
        <v>26</v>
      </c>
      <c r="H25">
        <v>2681</v>
      </c>
      <c r="I25">
        <v>0.90193974827088597</v>
      </c>
      <c r="J25">
        <v>0.92661289102486399</v>
      </c>
      <c r="K25">
        <v>0.45226045883940602</v>
      </c>
      <c r="L25" t="s">
        <v>1802</v>
      </c>
      <c r="M25" t="str">
        <f>HYPERLINK("../../3.KEGG_map/SCI_III-vs-NC-Down/rno00600.html","rno00600")</f>
        <v>rno00600</v>
      </c>
    </row>
    <row r="26" spans="1:13" x14ac:dyDescent="0.25">
      <c r="A26" t="s">
        <v>175</v>
      </c>
      <c r="B26" t="s">
        <v>176</v>
      </c>
      <c r="C26" t="s">
        <v>15</v>
      </c>
      <c r="D26" t="s">
        <v>16</v>
      </c>
      <c r="E26">
        <v>1</v>
      </c>
      <c r="F26">
        <v>228</v>
      </c>
      <c r="G26">
        <v>12</v>
      </c>
      <c r="H26">
        <v>2681</v>
      </c>
      <c r="I26">
        <v>0.65659066533171995</v>
      </c>
      <c r="J26">
        <v>0.79636736329369395</v>
      </c>
      <c r="K26">
        <v>0.97989766081871299</v>
      </c>
      <c r="L26" t="s">
        <v>1350</v>
      </c>
      <c r="M26" t="str">
        <f>HYPERLINK("../../3.KEGG_map/SCI_III-vs-NC-Down/rno00620.html","rno00620")</f>
        <v>rno00620</v>
      </c>
    </row>
    <row r="27" spans="1:13" x14ac:dyDescent="0.25">
      <c r="A27" t="s">
        <v>1369</v>
      </c>
      <c r="B27" t="s">
        <v>1370</v>
      </c>
      <c r="C27" t="s">
        <v>15</v>
      </c>
      <c r="D27" t="s">
        <v>16</v>
      </c>
      <c r="E27">
        <v>1</v>
      </c>
      <c r="F27">
        <v>228</v>
      </c>
      <c r="G27">
        <v>10</v>
      </c>
      <c r="H27">
        <v>2681</v>
      </c>
      <c r="I27">
        <v>0.58948586178627504</v>
      </c>
      <c r="J27">
        <v>0.77943130613962996</v>
      </c>
      <c r="K27">
        <v>1.1758771929824601</v>
      </c>
      <c r="L27" t="s">
        <v>1350</v>
      </c>
      <c r="M27" t="str">
        <f>HYPERLINK("../../3.KEGG_map/SCI_III-vs-NC-Down/rno00630.html","rno00630")</f>
        <v>rno00630</v>
      </c>
    </row>
    <row r="28" spans="1:13" x14ac:dyDescent="0.25">
      <c r="A28" t="s">
        <v>178</v>
      </c>
      <c r="B28" t="s">
        <v>179</v>
      </c>
      <c r="C28" t="s">
        <v>15</v>
      </c>
      <c r="D28" t="s">
        <v>16</v>
      </c>
      <c r="E28">
        <v>3</v>
      </c>
      <c r="F28">
        <v>228</v>
      </c>
      <c r="G28">
        <v>25</v>
      </c>
      <c r="H28">
        <v>2681</v>
      </c>
      <c r="I28">
        <v>0.35883397129175898</v>
      </c>
      <c r="J28">
        <v>0.61915790999305398</v>
      </c>
      <c r="K28">
        <v>1.41105263157895</v>
      </c>
      <c r="L28" t="s">
        <v>1803</v>
      </c>
      <c r="M28" t="str">
        <f>HYPERLINK("../../3.KEGG_map/SCI_III-vs-NC-Down/rno00640.html","rno00640")</f>
        <v>rno00640</v>
      </c>
    </row>
    <row r="29" spans="1:13" x14ac:dyDescent="0.25">
      <c r="A29" t="s">
        <v>193</v>
      </c>
      <c r="B29" t="s">
        <v>194</v>
      </c>
      <c r="C29" t="s">
        <v>15</v>
      </c>
      <c r="D29" t="s">
        <v>57</v>
      </c>
      <c r="E29">
        <v>1</v>
      </c>
      <c r="F29">
        <v>228</v>
      </c>
      <c r="G29">
        <v>6</v>
      </c>
      <c r="H29">
        <v>2681</v>
      </c>
      <c r="I29">
        <v>0.41362123605012702</v>
      </c>
      <c r="J29">
        <v>0.65193280913861096</v>
      </c>
      <c r="K29">
        <v>1.95979532163743</v>
      </c>
      <c r="L29" t="s">
        <v>1373</v>
      </c>
      <c r="M29" t="str">
        <f>HYPERLINK("../../3.KEGG_map/SCI_III-vs-NC-Down/rno00760.html","rno00760")</f>
        <v>rno00760</v>
      </c>
    </row>
    <row r="30" spans="1:13" x14ac:dyDescent="0.25">
      <c r="A30" t="s">
        <v>196</v>
      </c>
      <c r="B30" t="s">
        <v>197</v>
      </c>
      <c r="C30" t="s">
        <v>15</v>
      </c>
      <c r="D30" t="s">
        <v>57</v>
      </c>
      <c r="E30">
        <v>1</v>
      </c>
      <c r="F30">
        <v>228</v>
      </c>
      <c r="G30">
        <v>12</v>
      </c>
      <c r="H30">
        <v>2681</v>
      </c>
      <c r="I30">
        <v>0.65659066533171995</v>
      </c>
      <c r="J30">
        <v>0.79636736329369395</v>
      </c>
      <c r="K30">
        <v>0.97989766081871299</v>
      </c>
      <c r="L30" t="s">
        <v>1804</v>
      </c>
      <c r="M30" t="str">
        <f>HYPERLINK("../../3.KEGG_map/SCI_III-vs-NC-Down/rno00770.html","rno00770")</f>
        <v>rno00770</v>
      </c>
    </row>
    <row r="31" spans="1:13" x14ac:dyDescent="0.25">
      <c r="A31" t="s">
        <v>202</v>
      </c>
      <c r="B31" t="s">
        <v>203</v>
      </c>
      <c r="C31" t="s">
        <v>15</v>
      </c>
      <c r="D31" t="s">
        <v>57</v>
      </c>
      <c r="E31">
        <v>1</v>
      </c>
      <c r="F31">
        <v>228</v>
      </c>
      <c r="G31">
        <v>7</v>
      </c>
      <c r="H31">
        <v>2681</v>
      </c>
      <c r="I31">
        <v>0.46360043536996698</v>
      </c>
      <c r="J31">
        <v>0.67950790212197398</v>
      </c>
      <c r="K31">
        <v>1.6798245614035101</v>
      </c>
      <c r="L31" t="s">
        <v>1375</v>
      </c>
      <c r="M31" t="str">
        <f>HYPERLINK("../../3.KEGG_map/SCI_III-vs-NC-Down/rno00830.html","rno00830")</f>
        <v>rno00830</v>
      </c>
    </row>
    <row r="32" spans="1:13" x14ac:dyDescent="0.25">
      <c r="A32" t="s">
        <v>208</v>
      </c>
      <c r="B32" t="s">
        <v>209</v>
      </c>
      <c r="C32" t="s">
        <v>15</v>
      </c>
      <c r="D32" t="s">
        <v>210</v>
      </c>
      <c r="E32">
        <v>1</v>
      </c>
      <c r="F32">
        <v>228</v>
      </c>
      <c r="G32">
        <v>7</v>
      </c>
      <c r="H32">
        <v>2681</v>
      </c>
      <c r="I32">
        <v>0.46360043536996698</v>
      </c>
      <c r="J32">
        <v>0.67950790212197398</v>
      </c>
      <c r="K32">
        <v>1.6798245614035101</v>
      </c>
      <c r="L32" t="s">
        <v>1350</v>
      </c>
      <c r="M32" t="str">
        <f>HYPERLINK("../../3.KEGG_map/SCI_III-vs-NC-Down/rno00900.html","rno00900")</f>
        <v>rno00900</v>
      </c>
    </row>
    <row r="33" spans="1:13" x14ac:dyDescent="0.25">
      <c r="A33" t="s">
        <v>218</v>
      </c>
      <c r="B33" t="s">
        <v>219</v>
      </c>
      <c r="C33" t="s">
        <v>220</v>
      </c>
      <c r="D33" t="s">
        <v>221</v>
      </c>
      <c r="E33">
        <v>1</v>
      </c>
      <c r="F33">
        <v>228</v>
      </c>
      <c r="G33">
        <v>16</v>
      </c>
      <c r="H33">
        <v>2681</v>
      </c>
      <c r="I33">
        <v>0.75978637136180904</v>
      </c>
      <c r="J33">
        <v>0.85701021982990799</v>
      </c>
      <c r="K33">
        <v>0.73492324561403499</v>
      </c>
      <c r="L33" t="s">
        <v>1805</v>
      </c>
      <c r="M33" t="str">
        <f>HYPERLINK("../../3.KEGG_map/SCI_III-vs-NC-Down/rno00970.html","rno00970")</f>
        <v>rno00970</v>
      </c>
    </row>
    <row r="34" spans="1:13" x14ac:dyDescent="0.25">
      <c r="A34" t="s">
        <v>230</v>
      </c>
      <c r="B34" t="s">
        <v>231</v>
      </c>
      <c r="C34" t="s">
        <v>15</v>
      </c>
      <c r="D34" t="s">
        <v>225</v>
      </c>
      <c r="E34">
        <v>1</v>
      </c>
      <c r="F34">
        <v>228</v>
      </c>
      <c r="G34">
        <v>21</v>
      </c>
      <c r="H34">
        <v>2681</v>
      </c>
      <c r="I34">
        <v>0.84645468164425897</v>
      </c>
      <c r="J34">
        <v>0.90144768047319201</v>
      </c>
      <c r="K34">
        <v>0.55994152046783596</v>
      </c>
      <c r="L34" t="s">
        <v>1600</v>
      </c>
      <c r="M34" t="str">
        <f>HYPERLINK("../../3.KEGG_map/SCI_III-vs-NC-Down/rno00983.html","rno00983")</f>
        <v>rno00983</v>
      </c>
    </row>
    <row r="35" spans="1:13" x14ac:dyDescent="0.25">
      <c r="A35" t="s">
        <v>233</v>
      </c>
      <c r="B35" t="s">
        <v>234</v>
      </c>
      <c r="C35" t="s">
        <v>235</v>
      </c>
      <c r="D35" t="s">
        <v>236</v>
      </c>
      <c r="E35">
        <v>10</v>
      </c>
      <c r="F35">
        <v>228</v>
      </c>
      <c r="G35">
        <v>65</v>
      </c>
      <c r="H35">
        <v>2681</v>
      </c>
      <c r="I35">
        <v>4.5127598292484701E-2</v>
      </c>
      <c r="J35">
        <v>0.27149875780636801</v>
      </c>
      <c r="K35">
        <v>1.8090418353576201</v>
      </c>
      <c r="L35" t="s">
        <v>1806</v>
      </c>
      <c r="M35" t="str">
        <f>HYPERLINK("../../3.KEGG_map/SCI_III-vs-NC-Down/rno01521.html","rno01521")</f>
        <v>rno01521</v>
      </c>
    </row>
    <row r="36" spans="1:13" x14ac:dyDescent="0.25">
      <c r="A36" t="s">
        <v>238</v>
      </c>
      <c r="B36" t="s">
        <v>239</v>
      </c>
      <c r="C36" t="s">
        <v>235</v>
      </c>
      <c r="D36" t="s">
        <v>236</v>
      </c>
      <c r="E36">
        <v>14</v>
      </c>
      <c r="F36">
        <v>228</v>
      </c>
      <c r="G36">
        <v>66</v>
      </c>
      <c r="H36">
        <v>2681</v>
      </c>
      <c r="I36">
        <v>9.7195480978630997E-4</v>
      </c>
      <c r="J36">
        <v>5.7831311182285502E-2</v>
      </c>
      <c r="K36">
        <v>2.49428495481127</v>
      </c>
      <c r="L36" t="s">
        <v>1807</v>
      </c>
      <c r="M36" t="str">
        <f>HYPERLINK("../../3.KEGG_map/SCI_III-vs-NC-Down/rno01522.html","rno01522")</f>
        <v>rno01522</v>
      </c>
    </row>
    <row r="37" spans="1:13" x14ac:dyDescent="0.25">
      <c r="A37" t="s">
        <v>241</v>
      </c>
      <c r="B37" t="s">
        <v>242</v>
      </c>
      <c r="C37" t="s">
        <v>235</v>
      </c>
      <c r="D37" t="s">
        <v>236</v>
      </c>
      <c r="E37">
        <v>2</v>
      </c>
      <c r="F37">
        <v>228</v>
      </c>
      <c r="G37">
        <v>15</v>
      </c>
      <c r="H37">
        <v>2681</v>
      </c>
      <c r="I37">
        <v>0.36899066350878801</v>
      </c>
      <c r="J37">
        <v>0.63108477395655904</v>
      </c>
      <c r="K37">
        <v>1.56783625730994</v>
      </c>
      <c r="L37" t="s">
        <v>1808</v>
      </c>
      <c r="M37" t="str">
        <f>HYPERLINK("../../3.KEGG_map/SCI_III-vs-NC-Down/rno01523.html","rno01523")</f>
        <v>rno01523</v>
      </c>
    </row>
    <row r="38" spans="1:13" x14ac:dyDescent="0.25">
      <c r="A38" t="s">
        <v>244</v>
      </c>
      <c r="B38" t="s">
        <v>245</v>
      </c>
      <c r="C38" t="s">
        <v>235</v>
      </c>
      <c r="D38" t="s">
        <v>236</v>
      </c>
      <c r="E38">
        <v>6</v>
      </c>
      <c r="F38">
        <v>228</v>
      </c>
      <c r="G38">
        <v>45</v>
      </c>
      <c r="H38">
        <v>2681</v>
      </c>
      <c r="I38">
        <v>0.17880233634887999</v>
      </c>
      <c r="J38">
        <v>0.45758017259175698</v>
      </c>
      <c r="K38">
        <v>1.56783625730994</v>
      </c>
      <c r="L38" t="s">
        <v>1809</v>
      </c>
      <c r="M38" t="str">
        <f>HYPERLINK("../../3.KEGG_map/SCI_III-vs-NC-Down/rno01524.html","rno01524")</f>
        <v>rno01524</v>
      </c>
    </row>
    <row r="39" spans="1:13" x14ac:dyDescent="0.25">
      <c r="A39" t="s">
        <v>247</v>
      </c>
      <c r="B39" t="s">
        <v>248</v>
      </c>
      <c r="C39" t="s">
        <v>249</v>
      </c>
      <c r="D39" t="s">
        <v>250</v>
      </c>
      <c r="E39">
        <v>2</v>
      </c>
      <c r="F39">
        <v>228</v>
      </c>
      <c r="G39">
        <v>25</v>
      </c>
      <c r="H39">
        <v>2681</v>
      </c>
      <c r="I39">
        <v>0.64101028951571604</v>
      </c>
      <c r="J39">
        <v>0.79636736329369395</v>
      </c>
      <c r="K39">
        <v>0.94070175438596504</v>
      </c>
      <c r="L39" t="s">
        <v>1810</v>
      </c>
      <c r="M39" t="str">
        <f>HYPERLINK("../../3.KEGG_map/SCI_III-vs-NC-Down/rno02010.html","rno02010")</f>
        <v>rno02010</v>
      </c>
    </row>
    <row r="40" spans="1:13" x14ac:dyDescent="0.25">
      <c r="A40" t="s">
        <v>252</v>
      </c>
      <c r="B40" t="s">
        <v>253</v>
      </c>
      <c r="C40" t="s">
        <v>220</v>
      </c>
      <c r="D40" t="s">
        <v>221</v>
      </c>
      <c r="E40">
        <v>1</v>
      </c>
      <c r="F40">
        <v>228</v>
      </c>
      <c r="G40">
        <v>26</v>
      </c>
      <c r="H40">
        <v>2681</v>
      </c>
      <c r="I40">
        <v>0.90193974827088597</v>
      </c>
      <c r="J40">
        <v>0.92661289102486399</v>
      </c>
      <c r="K40">
        <v>0.45226045883940602</v>
      </c>
      <c r="L40" t="s">
        <v>1811</v>
      </c>
      <c r="M40" t="str">
        <f>HYPERLINK("../../3.KEGG_map/SCI_III-vs-NC-Down/rno03008.html","rno03008")</f>
        <v>rno03008</v>
      </c>
    </row>
    <row r="41" spans="1:13" x14ac:dyDescent="0.25">
      <c r="A41" t="s">
        <v>255</v>
      </c>
      <c r="B41" t="s">
        <v>256</v>
      </c>
      <c r="C41" t="s">
        <v>220</v>
      </c>
      <c r="D41" t="s">
        <v>221</v>
      </c>
      <c r="E41">
        <v>6</v>
      </c>
      <c r="F41">
        <v>228</v>
      </c>
      <c r="G41">
        <v>58</v>
      </c>
      <c r="H41">
        <v>2681</v>
      </c>
      <c r="I41">
        <v>0.37122633762150598</v>
      </c>
      <c r="J41">
        <v>0.63108477395655904</v>
      </c>
      <c r="K41">
        <v>1.2164246823956399</v>
      </c>
      <c r="L41" t="s">
        <v>1812</v>
      </c>
      <c r="M41" t="str">
        <f>HYPERLINK("../../3.KEGG_map/SCI_III-vs-NC-Down/rno03013.html","rno03013")</f>
        <v>rno03013</v>
      </c>
    </row>
    <row r="42" spans="1:13" x14ac:dyDescent="0.25">
      <c r="A42" t="s">
        <v>258</v>
      </c>
      <c r="B42" t="s">
        <v>259</v>
      </c>
      <c r="C42" t="s">
        <v>220</v>
      </c>
      <c r="D42" t="s">
        <v>221</v>
      </c>
      <c r="E42">
        <v>6</v>
      </c>
      <c r="F42">
        <v>228</v>
      </c>
      <c r="G42">
        <v>47</v>
      </c>
      <c r="H42">
        <v>2681</v>
      </c>
      <c r="I42">
        <v>0.20564071464894701</v>
      </c>
      <c r="J42">
        <v>0.50154492566823705</v>
      </c>
      <c r="K42">
        <v>1.50111982082867</v>
      </c>
      <c r="L42" t="s">
        <v>1813</v>
      </c>
      <c r="M42" t="str">
        <f>HYPERLINK("../../3.KEGG_map/SCI_III-vs-NC-Down/rno03015.html","rno03015")</f>
        <v>rno03015</v>
      </c>
    </row>
    <row r="43" spans="1:13" x14ac:dyDescent="0.25">
      <c r="A43" t="s">
        <v>261</v>
      </c>
      <c r="B43" t="s">
        <v>262</v>
      </c>
      <c r="C43" t="s">
        <v>220</v>
      </c>
      <c r="D43" t="s">
        <v>263</v>
      </c>
      <c r="E43">
        <v>1</v>
      </c>
      <c r="F43">
        <v>228</v>
      </c>
      <c r="G43">
        <v>53</v>
      </c>
      <c r="H43">
        <v>2681</v>
      </c>
      <c r="I43">
        <v>0.99142561183159805</v>
      </c>
      <c r="J43">
        <v>0.99142561183159805</v>
      </c>
      <c r="K43">
        <v>0.221863621317445</v>
      </c>
      <c r="L43" t="s">
        <v>1814</v>
      </c>
      <c r="M43" t="str">
        <f>HYPERLINK("../../3.KEGG_map/SCI_III-vs-NC-Down/rno03018.html","rno03018")</f>
        <v>rno03018</v>
      </c>
    </row>
    <row r="44" spans="1:13" x14ac:dyDescent="0.25">
      <c r="A44" t="s">
        <v>1388</v>
      </c>
      <c r="B44" t="s">
        <v>1389</v>
      </c>
      <c r="C44" t="s">
        <v>220</v>
      </c>
      <c r="D44" t="s">
        <v>267</v>
      </c>
      <c r="E44">
        <v>4</v>
      </c>
      <c r="F44">
        <v>228</v>
      </c>
      <c r="G44">
        <v>21</v>
      </c>
      <c r="H44">
        <v>2681</v>
      </c>
      <c r="I44">
        <v>9.6826577550260806E-2</v>
      </c>
      <c r="J44">
        <v>0.36853462568123602</v>
      </c>
      <c r="K44">
        <v>2.2397660818713501</v>
      </c>
      <c r="L44" t="s">
        <v>1390</v>
      </c>
      <c r="M44" t="str">
        <f>HYPERLINK("../../3.KEGG_map/SCI_III-vs-NC-Down/rno03022.html","rno03022")</f>
        <v>rno03022</v>
      </c>
    </row>
    <row r="45" spans="1:13" x14ac:dyDescent="0.25">
      <c r="A45" t="s">
        <v>269</v>
      </c>
      <c r="B45" t="s">
        <v>270</v>
      </c>
      <c r="C45" t="s">
        <v>220</v>
      </c>
      <c r="D45" t="s">
        <v>271</v>
      </c>
      <c r="E45">
        <v>2</v>
      </c>
      <c r="F45">
        <v>228</v>
      </c>
      <c r="G45">
        <v>6</v>
      </c>
      <c r="H45">
        <v>2681</v>
      </c>
      <c r="I45">
        <v>8.5938985607551699E-2</v>
      </c>
      <c r="J45">
        <v>0.360786202131197</v>
      </c>
      <c r="K45">
        <v>3.9195906432748502</v>
      </c>
      <c r="L45" t="s">
        <v>1815</v>
      </c>
      <c r="M45" t="str">
        <f>HYPERLINK("../../3.KEGG_map/SCI_III-vs-NC-Down/rno03030.html","rno03030")</f>
        <v>rno03030</v>
      </c>
    </row>
    <row r="46" spans="1:13" x14ac:dyDescent="0.25">
      <c r="A46" t="s">
        <v>273</v>
      </c>
      <c r="B46" t="s">
        <v>274</v>
      </c>
      <c r="C46" t="s">
        <v>220</v>
      </c>
      <c r="D46" t="s">
        <v>267</v>
      </c>
      <c r="E46">
        <v>4</v>
      </c>
      <c r="F46">
        <v>228</v>
      </c>
      <c r="G46">
        <v>30</v>
      </c>
      <c r="H46">
        <v>2681</v>
      </c>
      <c r="I46">
        <v>0.24820104816997199</v>
      </c>
      <c r="J46">
        <v>0.52742722736119096</v>
      </c>
      <c r="K46">
        <v>1.56783625730994</v>
      </c>
      <c r="L46" t="s">
        <v>1816</v>
      </c>
      <c r="M46" t="str">
        <f>HYPERLINK("../../3.KEGG_map/SCI_III-vs-NC-Down/rno03040.html","rno03040")</f>
        <v>rno03040</v>
      </c>
    </row>
    <row r="47" spans="1:13" x14ac:dyDescent="0.25">
      <c r="A47" t="s">
        <v>1019</v>
      </c>
      <c r="B47" t="s">
        <v>1020</v>
      </c>
      <c r="C47" t="s">
        <v>220</v>
      </c>
      <c r="D47" t="s">
        <v>263</v>
      </c>
      <c r="E47">
        <v>1</v>
      </c>
      <c r="F47">
        <v>228</v>
      </c>
      <c r="G47">
        <v>10</v>
      </c>
      <c r="H47">
        <v>2681</v>
      </c>
      <c r="I47">
        <v>0.58948586178627504</v>
      </c>
      <c r="J47">
        <v>0.77943130613962996</v>
      </c>
      <c r="K47">
        <v>1.1758771929824601</v>
      </c>
      <c r="L47" t="s">
        <v>1817</v>
      </c>
      <c r="M47" t="str">
        <f>HYPERLINK("../../3.KEGG_map/SCI_III-vs-NC-Down/rno03050.html","rno03050")</f>
        <v>rno03050</v>
      </c>
    </row>
    <row r="48" spans="1:13" x14ac:dyDescent="0.25">
      <c r="A48" t="s">
        <v>279</v>
      </c>
      <c r="B48" t="s">
        <v>280</v>
      </c>
      <c r="C48" t="s">
        <v>281</v>
      </c>
      <c r="D48" t="s">
        <v>282</v>
      </c>
      <c r="E48">
        <v>2</v>
      </c>
      <c r="F48">
        <v>228</v>
      </c>
      <c r="G48">
        <v>54</v>
      </c>
      <c r="H48">
        <v>2681</v>
      </c>
      <c r="I48">
        <v>0.95199908723990201</v>
      </c>
      <c r="J48">
        <v>0.960066876114817</v>
      </c>
      <c r="K48">
        <v>0.435510071474984</v>
      </c>
      <c r="L48" t="s">
        <v>1818</v>
      </c>
      <c r="M48" t="str">
        <f>HYPERLINK("../../3.KEGG_map/SCI_III-vs-NC-Down/rno03320.html","rno03320")</f>
        <v>rno03320</v>
      </c>
    </row>
    <row r="49" spans="1:13" x14ac:dyDescent="0.25">
      <c r="A49" t="s">
        <v>287</v>
      </c>
      <c r="B49" t="s">
        <v>288</v>
      </c>
      <c r="C49" t="s">
        <v>220</v>
      </c>
      <c r="D49" t="s">
        <v>271</v>
      </c>
      <c r="E49">
        <v>1</v>
      </c>
      <c r="F49">
        <v>228</v>
      </c>
      <c r="G49">
        <v>10</v>
      </c>
      <c r="H49">
        <v>2681</v>
      </c>
      <c r="I49">
        <v>0.58948586178627504</v>
      </c>
      <c r="J49">
        <v>0.77943130613962996</v>
      </c>
      <c r="K49">
        <v>1.1758771929824601</v>
      </c>
      <c r="L49" t="s">
        <v>1395</v>
      </c>
      <c r="M49" t="str">
        <f>HYPERLINK("../../3.KEGG_map/SCI_III-vs-NC-Down/rno03420.html","rno03420")</f>
        <v>rno03420</v>
      </c>
    </row>
    <row r="50" spans="1:13" x14ac:dyDescent="0.25">
      <c r="A50" t="s">
        <v>290</v>
      </c>
      <c r="B50" t="s">
        <v>291</v>
      </c>
      <c r="C50" t="s">
        <v>220</v>
      </c>
      <c r="D50" t="s">
        <v>271</v>
      </c>
      <c r="E50">
        <v>1</v>
      </c>
      <c r="F50">
        <v>228</v>
      </c>
      <c r="G50">
        <v>6</v>
      </c>
      <c r="H50">
        <v>2681</v>
      </c>
      <c r="I50">
        <v>0.41362123605012702</v>
      </c>
      <c r="J50">
        <v>0.65193280913861096</v>
      </c>
      <c r="K50">
        <v>1.95979532163743</v>
      </c>
      <c r="L50" t="s">
        <v>1396</v>
      </c>
      <c r="M50" t="str">
        <f>HYPERLINK("../../3.KEGG_map/SCI_III-vs-NC-Down/rno03430.html","rno03430")</f>
        <v>rno03430</v>
      </c>
    </row>
    <row r="51" spans="1:13" x14ac:dyDescent="0.25">
      <c r="A51" t="s">
        <v>293</v>
      </c>
      <c r="B51" t="s">
        <v>294</v>
      </c>
      <c r="C51" t="s">
        <v>220</v>
      </c>
      <c r="D51" t="s">
        <v>271</v>
      </c>
      <c r="E51">
        <v>1</v>
      </c>
      <c r="F51">
        <v>228</v>
      </c>
      <c r="G51">
        <v>21</v>
      </c>
      <c r="H51">
        <v>2681</v>
      </c>
      <c r="I51">
        <v>0.84645468164425897</v>
      </c>
      <c r="J51">
        <v>0.90144768047319201</v>
      </c>
      <c r="K51">
        <v>0.55994152046783596</v>
      </c>
      <c r="L51" t="s">
        <v>1819</v>
      </c>
      <c r="M51" t="str">
        <f>HYPERLINK("../../3.KEGG_map/SCI_III-vs-NC-Down/rno03440.html","rno03440")</f>
        <v>rno03440</v>
      </c>
    </row>
    <row r="52" spans="1:13" x14ac:dyDescent="0.25">
      <c r="A52" t="s">
        <v>299</v>
      </c>
      <c r="B52" t="s">
        <v>300</v>
      </c>
      <c r="C52" t="s">
        <v>220</v>
      </c>
      <c r="D52" t="s">
        <v>271</v>
      </c>
      <c r="E52">
        <v>1</v>
      </c>
      <c r="F52">
        <v>228</v>
      </c>
      <c r="G52">
        <v>14</v>
      </c>
      <c r="H52">
        <v>2681</v>
      </c>
      <c r="I52">
        <v>0.71276635937496802</v>
      </c>
      <c r="J52">
        <v>0.83156075260412898</v>
      </c>
      <c r="K52">
        <v>0.83991228070175405</v>
      </c>
      <c r="L52" t="s">
        <v>1820</v>
      </c>
      <c r="M52" t="str">
        <f>HYPERLINK("../../3.KEGG_map/SCI_III-vs-NC-Down/rno03460.html","rno03460")</f>
        <v>rno03460</v>
      </c>
    </row>
    <row r="53" spans="1:13" x14ac:dyDescent="0.25">
      <c r="A53" t="s">
        <v>302</v>
      </c>
      <c r="B53" t="s">
        <v>303</v>
      </c>
      <c r="C53" t="s">
        <v>249</v>
      </c>
      <c r="D53" t="s">
        <v>304</v>
      </c>
      <c r="E53">
        <v>23</v>
      </c>
      <c r="F53">
        <v>228</v>
      </c>
      <c r="G53">
        <v>213</v>
      </c>
      <c r="H53">
        <v>2681</v>
      </c>
      <c r="I53">
        <v>0.131943870602658</v>
      </c>
      <c r="J53">
        <v>0.39921687997922201</v>
      </c>
      <c r="K53">
        <v>1.2697265464129801</v>
      </c>
      <c r="L53" t="s">
        <v>1821</v>
      </c>
      <c r="M53" t="str">
        <f>HYPERLINK("../../3.KEGG_map/SCI_III-vs-NC-Down/rno04010.html","rno04010")</f>
        <v>rno04010</v>
      </c>
    </row>
    <row r="54" spans="1:13" x14ac:dyDescent="0.25">
      <c r="A54" t="s">
        <v>306</v>
      </c>
      <c r="B54" t="s">
        <v>307</v>
      </c>
      <c r="C54" t="s">
        <v>249</v>
      </c>
      <c r="D54" t="s">
        <v>304</v>
      </c>
      <c r="E54">
        <v>12</v>
      </c>
      <c r="F54">
        <v>228</v>
      </c>
      <c r="G54">
        <v>71</v>
      </c>
      <c r="H54">
        <v>2681</v>
      </c>
      <c r="I54">
        <v>1.48620330858046E-2</v>
      </c>
      <c r="J54">
        <v>0.136044764400826</v>
      </c>
      <c r="K54">
        <v>1.9873980726464</v>
      </c>
      <c r="L54" t="s">
        <v>1822</v>
      </c>
      <c r="M54" t="str">
        <f>HYPERLINK("../../3.KEGG_map/SCI_III-vs-NC-Down/rno04012.html","rno04012")</f>
        <v>rno04012</v>
      </c>
    </row>
    <row r="55" spans="1:13" x14ac:dyDescent="0.25">
      <c r="A55" t="s">
        <v>309</v>
      </c>
      <c r="B55" t="s">
        <v>310</v>
      </c>
      <c r="C55" t="s">
        <v>249</v>
      </c>
      <c r="D55" t="s">
        <v>304</v>
      </c>
      <c r="E55">
        <v>14</v>
      </c>
      <c r="F55">
        <v>228</v>
      </c>
      <c r="G55">
        <v>131</v>
      </c>
      <c r="H55">
        <v>2681</v>
      </c>
      <c r="I55">
        <v>0.21906538576721701</v>
      </c>
      <c r="J55">
        <v>0.51115256679017396</v>
      </c>
      <c r="K55">
        <v>1.2566626489888799</v>
      </c>
      <c r="L55" t="s">
        <v>1823</v>
      </c>
      <c r="M55" t="str">
        <f>HYPERLINK("../../3.KEGG_map/SCI_III-vs-NC-Down/rno04014.html","rno04014")</f>
        <v>rno04014</v>
      </c>
    </row>
    <row r="56" spans="1:13" x14ac:dyDescent="0.25">
      <c r="A56" t="s">
        <v>312</v>
      </c>
      <c r="B56" t="s">
        <v>313</v>
      </c>
      <c r="C56" t="s">
        <v>249</v>
      </c>
      <c r="D56" t="s">
        <v>304</v>
      </c>
      <c r="E56">
        <v>18</v>
      </c>
      <c r="F56">
        <v>228</v>
      </c>
      <c r="G56">
        <v>139</v>
      </c>
      <c r="H56">
        <v>2681</v>
      </c>
      <c r="I56">
        <v>4.3875119356706301E-2</v>
      </c>
      <c r="J56">
        <v>0.27149875780636801</v>
      </c>
      <c r="K56">
        <v>1.52271866717153</v>
      </c>
      <c r="L56" t="s">
        <v>1824</v>
      </c>
      <c r="M56" t="str">
        <f>HYPERLINK("../../3.KEGG_map/SCI_III-vs-NC-Down/rno04015.html","rno04015")</f>
        <v>rno04015</v>
      </c>
    </row>
    <row r="57" spans="1:13" x14ac:dyDescent="0.25">
      <c r="A57" t="s">
        <v>315</v>
      </c>
      <c r="B57" t="s">
        <v>316</v>
      </c>
      <c r="C57" t="s">
        <v>249</v>
      </c>
      <c r="D57" t="s">
        <v>304</v>
      </c>
      <c r="E57">
        <v>19</v>
      </c>
      <c r="F57">
        <v>228</v>
      </c>
      <c r="G57">
        <v>116</v>
      </c>
      <c r="H57">
        <v>2681</v>
      </c>
      <c r="I57">
        <v>3.4586989346589701E-3</v>
      </c>
      <c r="J57">
        <v>0.119340275090458</v>
      </c>
      <c r="K57">
        <v>1.92600574712644</v>
      </c>
      <c r="L57" t="s">
        <v>1825</v>
      </c>
      <c r="M57" t="str">
        <f>HYPERLINK("../../3.KEGG_map/SCI_III-vs-NC-Down/rno04020.html","rno04020")</f>
        <v>rno04020</v>
      </c>
    </row>
    <row r="58" spans="1:13" x14ac:dyDescent="0.25">
      <c r="A58" t="s">
        <v>318</v>
      </c>
      <c r="B58" t="s">
        <v>319</v>
      </c>
      <c r="C58" t="s">
        <v>249</v>
      </c>
      <c r="D58" t="s">
        <v>304</v>
      </c>
      <c r="E58">
        <v>22</v>
      </c>
      <c r="F58">
        <v>228</v>
      </c>
      <c r="G58">
        <v>156</v>
      </c>
      <c r="H58">
        <v>2681</v>
      </c>
      <c r="I58">
        <v>1.0821060107976699E-2</v>
      </c>
      <c r="J58">
        <v>0.136044764400826</v>
      </c>
      <c r="K58">
        <v>1.65828834907782</v>
      </c>
      <c r="L58" t="s">
        <v>1826</v>
      </c>
      <c r="M58" t="str">
        <f>HYPERLINK("../../3.KEGG_map/SCI_III-vs-NC-Down/rno04022.html","rno04022")</f>
        <v>rno04022</v>
      </c>
    </row>
    <row r="59" spans="1:13" x14ac:dyDescent="0.25">
      <c r="A59" t="s">
        <v>321</v>
      </c>
      <c r="B59" t="s">
        <v>322</v>
      </c>
      <c r="C59" t="s">
        <v>249</v>
      </c>
      <c r="D59" t="s">
        <v>304</v>
      </c>
      <c r="E59">
        <v>17</v>
      </c>
      <c r="F59">
        <v>228</v>
      </c>
      <c r="G59">
        <v>130</v>
      </c>
      <c r="H59">
        <v>2681</v>
      </c>
      <c r="I59">
        <v>4.5630043328801398E-2</v>
      </c>
      <c r="J59">
        <v>0.27149875780636801</v>
      </c>
      <c r="K59">
        <v>1.53768556005398</v>
      </c>
      <c r="L59" t="s">
        <v>1827</v>
      </c>
      <c r="M59" t="str">
        <f>HYPERLINK("../../3.KEGG_map/SCI_III-vs-NC-Down/rno04024.html","rno04024")</f>
        <v>rno04024</v>
      </c>
    </row>
    <row r="60" spans="1:13" x14ac:dyDescent="0.25">
      <c r="A60" t="s">
        <v>324</v>
      </c>
      <c r="B60" t="s">
        <v>325</v>
      </c>
      <c r="C60" t="s">
        <v>249</v>
      </c>
      <c r="D60" t="s">
        <v>326</v>
      </c>
      <c r="E60">
        <v>2</v>
      </c>
      <c r="F60">
        <v>228</v>
      </c>
      <c r="G60">
        <v>32</v>
      </c>
      <c r="H60">
        <v>2681</v>
      </c>
      <c r="I60">
        <v>0.77054557965721504</v>
      </c>
      <c r="J60">
        <v>0.86415303940372601</v>
      </c>
      <c r="K60">
        <v>0.73492324561403499</v>
      </c>
      <c r="L60" t="s">
        <v>1828</v>
      </c>
      <c r="M60" t="str">
        <f>HYPERLINK("../../3.KEGG_map/SCI_III-vs-NC-Down/rno04060.html","rno04060")</f>
        <v>rno04060</v>
      </c>
    </row>
    <row r="61" spans="1:13" x14ac:dyDescent="0.25">
      <c r="A61" t="s">
        <v>328</v>
      </c>
      <c r="B61" t="s">
        <v>329</v>
      </c>
      <c r="C61" t="s">
        <v>281</v>
      </c>
      <c r="D61" t="s">
        <v>330</v>
      </c>
      <c r="E61">
        <v>13</v>
      </c>
      <c r="F61">
        <v>228</v>
      </c>
      <c r="G61">
        <v>98</v>
      </c>
      <c r="H61">
        <v>2681</v>
      </c>
      <c r="I61">
        <v>6.8411189100522005E-2</v>
      </c>
      <c r="J61">
        <v>0.31737808326420303</v>
      </c>
      <c r="K61">
        <v>1.5598370927318299</v>
      </c>
      <c r="L61" t="s">
        <v>1829</v>
      </c>
      <c r="M61" t="str">
        <f>HYPERLINK("../../3.KEGG_map/SCI_III-vs-NC-Down/rno04062.html","rno04062")</f>
        <v>rno04062</v>
      </c>
    </row>
    <row r="62" spans="1:13" x14ac:dyDescent="0.25">
      <c r="A62" t="s">
        <v>332</v>
      </c>
      <c r="B62" t="s">
        <v>333</v>
      </c>
      <c r="C62" t="s">
        <v>249</v>
      </c>
      <c r="D62" t="s">
        <v>304</v>
      </c>
      <c r="E62">
        <v>5</v>
      </c>
      <c r="F62">
        <v>228</v>
      </c>
      <c r="G62">
        <v>30</v>
      </c>
      <c r="H62">
        <v>2681</v>
      </c>
      <c r="I62">
        <v>0.10554234953085199</v>
      </c>
      <c r="J62">
        <v>0.37694881205168501</v>
      </c>
      <c r="K62">
        <v>1.95979532163743</v>
      </c>
      <c r="L62" t="s">
        <v>1830</v>
      </c>
      <c r="M62" t="str">
        <f>HYPERLINK("../../3.KEGG_map/SCI_III-vs-NC-Down/rno04064.html","rno04064")</f>
        <v>rno04064</v>
      </c>
    </row>
    <row r="63" spans="1:13" x14ac:dyDescent="0.25">
      <c r="A63" t="s">
        <v>335</v>
      </c>
      <c r="B63" t="s">
        <v>336</v>
      </c>
      <c r="C63" t="s">
        <v>249</v>
      </c>
      <c r="D63" t="s">
        <v>304</v>
      </c>
      <c r="E63">
        <v>6</v>
      </c>
      <c r="F63">
        <v>228</v>
      </c>
      <c r="G63">
        <v>51</v>
      </c>
      <c r="H63">
        <v>2681</v>
      </c>
      <c r="I63">
        <v>0.26312919460249901</v>
      </c>
      <c r="J63">
        <v>0.53965258610599898</v>
      </c>
      <c r="K63">
        <v>1.3833849329205401</v>
      </c>
      <c r="L63" t="s">
        <v>1831</v>
      </c>
      <c r="M63" t="str">
        <f>HYPERLINK("../../3.KEGG_map/SCI_III-vs-NC-Down/rno04066.html","rno04066")</f>
        <v>rno04066</v>
      </c>
    </row>
    <row r="64" spans="1:13" x14ac:dyDescent="0.25">
      <c r="A64" t="s">
        <v>338</v>
      </c>
      <c r="B64" t="s">
        <v>339</v>
      </c>
      <c r="C64" t="s">
        <v>249</v>
      </c>
      <c r="D64" t="s">
        <v>304</v>
      </c>
      <c r="E64">
        <v>8</v>
      </c>
      <c r="F64">
        <v>228</v>
      </c>
      <c r="G64">
        <v>87</v>
      </c>
      <c r="H64">
        <v>2681</v>
      </c>
      <c r="I64">
        <v>0.46385045378226702</v>
      </c>
      <c r="J64">
        <v>0.67950790212197398</v>
      </c>
      <c r="K64">
        <v>1.0812663843516801</v>
      </c>
      <c r="L64" t="s">
        <v>1832</v>
      </c>
      <c r="M64" t="str">
        <f>HYPERLINK("../../3.KEGG_map/SCI_III-vs-NC-Down/rno04068.html","rno04068")</f>
        <v>rno04068</v>
      </c>
    </row>
    <row r="65" spans="1:13" x14ac:dyDescent="0.25">
      <c r="A65" t="s">
        <v>341</v>
      </c>
      <c r="B65" t="s">
        <v>342</v>
      </c>
      <c r="C65" t="s">
        <v>249</v>
      </c>
      <c r="D65" t="s">
        <v>304</v>
      </c>
      <c r="E65">
        <v>12</v>
      </c>
      <c r="F65">
        <v>228</v>
      </c>
      <c r="G65">
        <v>102</v>
      </c>
      <c r="H65">
        <v>2681</v>
      </c>
      <c r="I65">
        <v>0.152939397543357</v>
      </c>
      <c r="J65">
        <v>0.413631552446805</v>
      </c>
      <c r="K65">
        <v>1.3833849329205401</v>
      </c>
      <c r="L65" t="s">
        <v>1833</v>
      </c>
      <c r="M65" t="str">
        <f>HYPERLINK("../../3.KEGG_map/SCI_III-vs-NC-Down/rno04070.html","rno04070")</f>
        <v>rno04070</v>
      </c>
    </row>
    <row r="66" spans="1:13" x14ac:dyDescent="0.25">
      <c r="A66" t="s">
        <v>344</v>
      </c>
      <c r="B66" t="s">
        <v>345</v>
      </c>
      <c r="C66" t="s">
        <v>249</v>
      </c>
      <c r="D66" t="s">
        <v>304</v>
      </c>
      <c r="E66">
        <v>8</v>
      </c>
      <c r="F66">
        <v>228</v>
      </c>
      <c r="G66">
        <v>88</v>
      </c>
      <c r="H66">
        <v>2681</v>
      </c>
      <c r="I66">
        <v>0.47713177747611302</v>
      </c>
      <c r="J66">
        <v>0.69242294536167603</v>
      </c>
      <c r="K66">
        <v>1.06897926634769</v>
      </c>
      <c r="L66" t="s">
        <v>1834</v>
      </c>
      <c r="M66" t="str">
        <f>HYPERLINK("../../3.KEGG_map/SCI_III-vs-NC-Down/rno04071.html","rno04071")</f>
        <v>rno04071</v>
      </c>
    </row>
    <row r="67" spans="1:13" x14ac:dyDescent="0.25">
      <c r="A67" t="s">
        <v>347</v>
      </c>
      <c r="B67" t="s">
        <v>348</v>
      </c>
      <c r="C67" t="s">
        <v>249</v>
      </c>
      <c r="D67" t="s">
        <v>304</v>
      </c>
      <c r="E67">
        <v>18</v>
      </c>
      <c r="F67">
        <v>228</v>
      </c>
      <c r="G67">
        <v>89</v>
      </c>
      <c r="H67">
        <v>2681</v>
      </c>
      <c r="I67">
        <v>3.46617109294281E-4</v>
      </c>
      <c r="J67">
        <v>4.1247436006019399E-2</v>
      </c>
      <c r="K67">
        <v>2.3781785925487902</v>
      </c>
      <c r="L67" t="s">
        <v>1835</v>
      </c>
      <c r="M67" t="str">
        <f>HYPERLINK("../../3.KEGG_map/SCI_III-vs-NC-Down/rno04072.html","rno04072")</f>
        <v>rno04072</v>
      </c>
    </row>
    <row r="68" spans="1:13" x14ac:dyDescent="0.25">
      <c r="A68" t="s">
        <v>350</v>
      </c>
      <c r="B68" t="s">
        <v>351</v>
      </c>
      <c r="C68" t="s">
        <v>249</v>
      </c>
      <c r="D68" t="s">
        <v>326</v>
      </c>
      <c r="E68">
        <v>3</v>
      </c>
      <c r="F68">
        <v>228</v>
      </c>
      <c r="G68">
        <v>14</v>
      </c>
      <c r="H68">
        <v>2681</v>
      </c>
      <c r="I68">
        <v>0.10987548443166099</v>
      </c>
      <c r="J68">
        <v>0.37694881205168501</v>
      </c>
      <c r="K68">
        <v>2.5197368421052602</v>
      </c>
      <c r="L68" t="s">
        <v>1836</v>
      </c>
      <c r="M68" t="str">
        <f>HYPERLINK("../../3.KEGG_map/SCI_III-vs-NC-Down/rno04080.html","rno04080")</f>
        <v>rno04080</v>
      </c>
    </row>
    <row r="69" spans="1:13" x14ac:dyDescent="0.25">
      <c r="A69" t="s">
        <v>353</v>
      </c>
      <c r="B69" t="s">
        <v>354</v>
      </c>
      <c r="C69" t="s">
        <v>355</v>
      </c>
      <c r="D69" t="s">
        <v>356</v>
      </c>
      <c r="E69">
        <v>5</v>
      </c>
      <c r="F69">
        <v>228</v>
      </c>
      <c r="G69">
        <v>72</v>
      </c>
      <c r="H69">
        <v>2681</v>
      </c>
      <c r="I69">
        <v>0.74682877137590697</v>
      </c>
      <c r="J69">
        <v>0.85454445955512404</v>
      </c>
      <c r="K69">
        <v>0.81658138401559499</v>
      </c>
      <c r="L69" t="s">
        <v>1837</v>
      </c>
      <c r="M69" t="str">
        <f>HYPERLINK("../../3.KEGG_map/SCI_III-vs-NC-Down/rno04110.html","rno04110")</f>
        <v>rno04110</v>
      </c>
    </row>
    <row r="70" spans="1:13" x14ac:dyDescent="0.25">
      <c r="A70" t="s">
        <v>358</v>
      </c>
      <c r="B70" t="s">
        <v>359</v>
      </c>
      <c r="C70" t="s">
        <v>355</v>
      </c>
      <c r="D70" t="s">
        <v>356</v>
      </c>
      <c r="E70">
        <v>11</v>
      </c>
      <c r="F70">
        <v>228</v>
      </c>
      <c r="G70">
        <v>70</v>
      </c>
      <c r="H70">
        <v>2681</v>
      </c>
      <c r="I70">
        <v>3.1807798955318399E-2</v>
      </c>
      <c r="J70">
        <v>0.22265459268722901</v>
      </c>
      <c r="K70">
        <v>1.8478070175438599</v>
      </c>
      <c r="L70" t="s">
        <v>1838</v>
      </c>
      <c r="M70" t="str">
        <f>HYPERLINK("../../3.KEGG_map/SCI_III-vs-NC-Down/rno04114.html","rno04114")</f>
        <v>rno04114</v>
      </c>
    </row>
    <row r="71" spans="1:13" x14ac:dyDescent="0.25">
      <c r="A71" t="s">
        <v>364</v>
      </c>
      <c r="B71" t="s">
        <v>365</v>
      </c>
      <c r="C71" t="s">
        <v>220</v>
      </c>
      <c r="D71" t="s">
        <v>263</v>
      </c>
      <c r="E71">
        <v>9</v>
      </c>
      <c r="F71">
        <v>228</v>
      </c>
      <c r="G71">
        <v>120</v>
      </c>
      <c r="H71">
        <v>2681</v>
      </c>
      <c r="I71">
        <v>0.70584579620695997</v>
      </c>
      <c r="J71">
        <v>0.82754334727712597</v>
      </c>
      <c r="K71">
        <v>0.88190789473684195</v>
      </c>
      <c r="L71" t="s">
        <v>1839</v>
      </c>
      <c r="M71" t="str">
        <f>HYPERLINK("../../3.KEGG_map/SCI_III-vs-NC-Down/rno04120.html","rno04120")</f>
        <v>rno04120</v>
      </c>
    </row>
    <row r="72" spans="1:13" x14ac:dyDescent="0.25">
      <c r="A72" t="s">
        <v>367</v>
      </c>
      <c r="B72" t="s">
        <v>368</v>
      </c>
      <c r="C72" t="s">
        <v>220</v>
      </c>
      <c r="D72" t="s">
        <v>263</v>
      </c>
      <c r="E72">
        <v>1</v>
      </c>
      <c r="F72">
        <v>228</v>
      </c>
      <c r="G72">
        <v>6</v>
      </c>
      <c r="H72">
        <v>2681</v>
      </c>
      <c r="I72">
        <v>0.41362123605012702</v>
      </c>
      <c r="J72">
        <v>0.65193280913861096</v>
      </c>
      <c r="K72">
        <v>1.95979532163743</v>
      </c>
      <c r="L72" t="s">
        <v>1636</v>
      </c>
      <c r="M72" t="str">
        <f>HYPERLINK("../../3.KEGG_map/SCI_III-vs-NC-Down/rno04130.html","rno04130")</f>
        <v>rno04130</v>
      </c>
    </row>
    <row r="73" spans="1:13" x14ac:dyDescent="0.25">
      <c r="A73" t="s">
        <v>370</v>
      </c>
      <c r="B73" t="s">
        <v>371</v>
      </c>
      <c r="C73" t="s">
        <v>355</v>
      </c>
      <c r="D73" t="s">
        <v>372</v>
      </c>
      <c r="E73">
        <v>1</v>
      </c>
      <c r="F73">
        <v>228</v>
      </c>
      <c r="G73">
        <v>33</v>
      </c>
      <c r="H73">
        <v>2681</v>
      </c>
      <c r="I73">
        <v>0.94773553563856705</v>
      </c>
      <c r="J73">
        <v>0.95983428715735697</v>
      </c>
      <c r="K73">
        <v>0.35632642211589599</v>
      </c>
      <c r="L73" t="s">
        <v>1840</v>
      </c>
      <c r="M73" t="str">
        <f>HYPERLINK("../../3.KEGG_map/SCI_III-vs-NC-Down/rno04137.html","rno04137")</f>
        <v>rno04137</v>
      </c>
    </row>
    <row r="74" spans="1:13" x14ac:dyDescent="0.25">
      <c r="A74" t="s">
        <v>374</v>
      </c>
      <c r="B74" t="s">
        <v>375</v>
      </c>
      <c r="C74" t="s">
        <v>355</v>
      </c>
      <c r="D74" t="s">
        <v>372</v>
      </c>
      <c r="E74">
        <v>5</v>
      </c>
      <c r="F74">
        <v>228</v>
      </c>
      <c r="G74">
        <v>77</v>
      </c>
      <c r="H74">
        <v>2681</v>
      </c>
      <c r="I74">
        <v>0.79802227094414102</v>
      </c>
      <c r="J74">
        <v>0.88246455197892304</v>
      </c>
      <c r="K74">
        <v>0.76355661881977699</v>
      </c>
      <c r="L74" t="s">
        <v>1841</v>
      </c>
      <c r="M74" t="str">
        <f>HYPERLINK("../../3.KEGG_map/SCI_III-vs-NC-Down/rno04140.html","rno04140")</f>
        <v>rno04140</v>
      </c>
    </row>
    <row r="75" spans="1:13" x14ac:dyDescent="0.25">
      <c r="A75" t="s">
        <v>377</v>
      </c>
      <c r="B75" t="s">
        <v>378</v>
      </c>
      <c r="C75" t="s">
        <v>220</v>
      </c>
      <c r="D75" t="s">
        <v>263</v>
      </c>
      <c r="E75">
        <v>6</v>
      </c>
      <c r="F75">
        <v>228</v>
      </c>
      <c r="G75">
        <v>86</v>
      </c>
      <c r="H75">
        <v>2681</v>
      </c>
      <c r="I75">
        <v>0.75381413808634701</v>
      </c>
      <c r="J75">
        <v>0.85701021982990799</v>
      </c>
      <c r="K75">
        <v>0.82037943696450399</v>
      </c>
      <c r="L75" t="s">
        <v>1842</v>
      </c>
      <c r="M75" t="str">
        <f>HYPERLINK("../../3.KEGG_map/SCI_III-vs-NC-Down/rno04141.html","rno04141")</f>
        <v>rno04141</v>
      </c>
    </row>
    <row r="76" spans="1:13" x14ac:dyDescent="0.25">
      <c r="A76" t="s">
        <v>380</v>
      </c>
      <c r="B76" t="s">
        <v>381</v>
      </c>
      <c r="C76" t="s">
        <v>355</v>
      </c>
      <c r="D76" t="s">
        <v>372</v>
      </c>
      <c r="E76">
        <v>1</v>
      </c>
      <c r="F76">
        <v>228</v>
      </c>
      <c r="G76">
        <v>50</v>
      </c>
      <c r="H76">
        <v>2681</v>
      </c>
      <c r="I76">
        <v>0.98874484736013601</v>
      </c>
      <c r="J76">
        <v>0.99142561183159805</v>
      </c>
      <c r="K76">
        <v>0.23517543859649101</v>
      </c>
      <c r="L76" t="s">
        <v>1843</v>
      </c>
      <c r="M76" t="str">
        <f>HYPERLINK("../../3.KEGG_map/SCI_III-vs-NC-Down/rno04142.html","rno04142")</f>
        <v>rno04142</v>
      </c>
    </row>
    <row r="77" spans="1:13" x14ac:dyDescent="0.25">
      <c r="A77" t="s">
        <v>383</v>
      </c>
      <c r="B77" t="s">
        <v>384</v>
      </c>
      <c r="C77" t="s">
        <v>355</v>
      </c>
      <c r="D77" t="s">
        <v>372</v>
      </c>
      <c r="E77">
        <v>23</v>
      </c>
      <c r="F77">
        <v>228</v>
      </c>
      <c r="G77">
        <v>193</v>
      </c>
      <c r="H77">
        <v>2681</v>
      </c>
      <c r="I77">
        <v>5.6246371457606997E-2</v>
      </c>
      <c r="J77">
        <v>0.291013834932836</v>
      </c>
      <c r="K77">
        <v>1.4013044268702799</v>
      </c>
      <c r="L77" t="s">
        <v>1844</v>
      </c>
      <c r="M77" t="str">
        <f>HYPERLINK("../../3.KEGG_map/SCI_III-vs-NC-Down/rno04144.html","rno04144")</f>
        <v>rno04144</v>
      </c>
    </row>
    <row r="78" spans="1:13" x14ac:dyDescent="0.25">
      <c r="A78" t="s">
        <v>386</v>
      </c>
      <c r="B78" t="s">
        <v>387</v>
      </c>
      <c r="C78" t="s">
        <v>355</v>
      </c>
      <c r="D78" t="s">
        <v>372</v>
      </c>
      <c r="E78">
        <v>3</v>
      </c>
      <c r="F78">
        <v>228</v>
      </c>
      <c r="G78">
        <v>61</v>
      </c>
      <c r="H78">
        <v>2681</v>
      </c>
      <c r="I78">
        <v>0.90325290217549703</v>
      </c>
      <c r="J78">
        <v>0.92661289102486399</v>
      </c>
      <c r="K78">
        <v>0.57830025884383096</v>
      </c>
      <c r="L78" t="s">
        <v>1845</v>
      </c>
      <c r="M78" t="str">
        <f>HYPERLINK("../../3.KEGG_map/SCI_III-vs-NC-Down/rno04145.html","rno04145")</f>
        <v>rno04145</v>
      </c>
    </row>
    <row r="79" spans="1:13" x14ac:dyDescent="0.25">
      <c r="A79" t="s">
        <v>389</v>
      </c>
      <c r="B79" t="s">
        <v>390</v>
      </c>
      <c r="C79" t="s">
        <v>355</v>
      </c>
      <c r="D79" t="s">
        <v>372</v>
      </c>
      <c r="E79">
        <v>1</v>
      </c>
      <c r="F79">
        <v>228</v>
      </c>
      <c r="G79">
        <v>22</v>
      </c>
      <c r="H79">
        <v>2681</v>
      </c>
      <c r="I79">
        <v>0.85961570893189398</v>
      </c>
      <c r="J79">
        <v>0.90144768047319201</v>
      </c>
      <c r="K79">
        <v>0.53448963317384401</v>
      </c>
      <c r="L79" t="s">
        <v>1792</v>
      </c>
      <c r="M79" t="str">
        <f>HYPERLINK("../../3.KEGG_map/SCI_III-vs-NC-Down/rno04146.html","rno04146")</f>
        <v>rno04146</v>
      </c>
    </row>
    <row r="80" spans="1:13" x14ac:dyDescent="0.25">
      <c r="A80" t="s">
        <v>392</v>
      </c>
      <c r="B80" t="s">
        <v>393</v>
      </c>
      <c r="C80" t="s">
        <v>249</v>
      </c>
      <c r="D80" t="s">
        <v>304</v>
      </c>
      <c r="E80">
        <v>9</v>
      </c>
      <c r="F80">
        <v>228</v>
      </c>
      <c r="G80">
        <v>89</v>
      </c>
      <c r="H80">
        <v>2681</v>
      </c>
      <c r="I80">
        <v>0.34343243602588303</v>
      </c>
      <c r="J80">
        <v>0.60545866499377898</v>
      </c>
      <c r="K80">
        <v>1.18908929627439</v>
      </c>
      <c r="L80" t="s">
        <v>1846</v>
      </c>
      <c r="M80" t="str">
        <f>HYPERLINK("../../3.KEGG_map/SCI_III-vs-NC-Down/rno04150.html","rno04150")</f>
        <v>rno04150</v>
      </c>
    </row>
    <row r="81" spans="1:13" x14ac:dyDescent="0.25">
      <c r="A81" t="s">
        <v>395</v>
      </c>
      <c r="B81" t="s">
        <v>396</v>
      </c>
      <c r="C81" t="s">
        <v>249</v>
      </c>
      <c r="D81" t="s">
        <v>304</v>
      </c>
      <c r="E81">
        <v>14</v>
      </c>
      <c r="F81">
        <v>228</v>
      </c>
      <c r="G81">
        <v>161</v>
      </c>
      <c r="H81">
        <v>2681</v>
      </c>
      <c r="I81">
        <v>0.50802163704659498</v>
      </c>
      <c r="J81">
        <v>0.71572473513523704</v>
      </c>
      <c r="K81">
        <v>1.02250190694127</v>
      </c>
      <c r="L81" t="s">
        <v>1847</v>
      </c>
      <c r="M81" t="str">
        <f>HYPERLINK("../../3.KEGG_map/SCI_III-vs-NC-Down/rno04151.html","rno04151")</f>
        <v>rno04151</v>
      </c>
    </row>
    <row r="82" spans="1:13" x14ac:dyDescent="0.25">
      <c r="A82" t="s">
        <v>398</v>
      </c>
      <c r="B82" t="s">
        <v>399</v>
      </c>
      <c r="C82" t="s">
        <v>249</v>
      </c>
      <c r="D82" t="s">
        <v>304</v>
      </c>
      <c r="E82">
        <v>5</v>
      </c>
      <c r="F82">
        <v>228</v>
      </c>
      <c r="G82">
        <v>63</v>
      </c>
      <c r="H82">
        <v>2681</v>
      </c>
      <c r="I82">
        <v>0.63224032676446795</v>
      </c>
      <c r="J82">
        <v>0.79615448555525603</v>
      </c>
      <c r="K82">
        <v>0.93323586744639397</v>
      </c>
      <c r="L82" t="s">
        <v>1848</v>
      </c>
      <c r="M82" t="str">
        <f>HYPERLINK("../../3.KEGG_map/SCI_III-vs-NC-Down/rno04152.html","rno04152")</f>
        <v>rno04152</v>
      </c>
    </row>
    <row r="83" spans="1:13" x14ac:dyDescent="0.25">
      <c r="A83" t="s">
        <v>401</v>
      </c>
      <c r="B83" t="s">
        <v>402</v>
      </c>
      <c r="C83" t="s">
        <v>355</v>
      </c>
      <c r="D83" t="s">
        <v>356</v>
      </c>
      <c r="E83">
        <v>5</v>
      </c>
      <c r="F83">
        <v>228</v>
      </c>
      <c r="G83">
        <v>62</v>
      </c>
      <c r="H83">
        <v>2681</v>
      </c>
      <c r="I83">
        <v>0.61776415262639395</v>
      </c>
      <c r="J83">
        <v>0.79485366205419095</v>
      </c>
      <c r="K83">
        <v>0.94828805885681899</v>
      </c>
      <c r="L83" t="s">
        <v>1849</v>
      </c>
      <c r="M83" t="str">
        <f>HYPERLINK("../../3.KEGG_map/SCI_III-vs-NC-Down/rno04210.html","rno04210")</f>
        <v>rno04210</v>
      </c>
    </row>
    <row r="84" spans="1:13" x14ac:dyDescent="0.25">
      <c r="A84" t="s">
        <v>404</v>
      </c>
      <c r="B84" t="s">
        <v>405</v>
      </c>
      <c r="C84" t="s">
        <v>281</v>
      </c>
      <c r="D84" t="s">
        <v>406</v>
      </c>
      <c r="E84">
        <v>9</v>
      </c>
      <c r="F84">
        <v>228</v>
      </c>
      <c r="G84">
        <v>64</v>
      </c>
      <c r="H84">
        <v>2681</v>
      </c>
      <c r="I84">
        <v>8.8845366855299895E-2</v>
      </c>
      <c r="J84">
        <v>0.36237139817071001</v>
      </c>
      <c r="K84">
        <v>1.6535773026315801</v>
      </c>
      <c r="L84" t="s">
        <v>1850</v>
      </c>
      <c r="M84" t="str">
        <f>HYPERLINK("../../3.KEGG_map/SCI_III-vs-NC-Down/rno04211.html","rno04211")</f>
        <v>rno04211</v>
      </c>
    </row>
    <row r="85" spans="1:13" x14ac:dyDescent="0.25">
      <c r="A85" t="s">
        <v>408</v>
      </c>
      <c r="B85" t="s">
        <v>409</v>
      </c>
      <c r="C85" t="s">
        <v>281</v>
      </c>
      <c r="D85" t="s">
        <v>406</v>
      </c>
      <c r="E85">
        <v>7</v>
      </c>
      <c r="F85">
        <v>228</v>
      </c>
      <c r="G85">
        <v>31</v>
      </c>
      <c r="H85">
        <v>2681</v>
      </c>
      <c r="I85">
        <v>1.31162864439921E-2</v>
      </c>
      <c r="J85">
        <v>0.136044764400826</v>
      </c>
      <c r="K85">
        <v>2.6552065647990899</v>
      </c>
      <c r="L85" t="s">
        <v>1851</v>
      </c>
      <c r="M85" t="str">
        <f>HYPERLINK("../../3.KEGG_map/SCI_III-vs-NC-Down/rno04213.html","rno04213")</f>
        <v>rno04213</v>
      </c>
    </row>
    <row r="86" spans="1:13" x14ac:dyDescent="0.25">
      <c r="A86" t="s">
        <v>411</v>
      </c>
      <c r="B86" t="s">
        <v>412</v>
      </c>
      <c r="C86" t="s">
        <v>355</v>
      </c>
      <c r="D86" t="s">
        <v>356</v>
      </c>
      <c r="E86">
        <v>1</v>
      </c>
      <c r="F86">
        <v>228</v>
      </c>
      <c r="G86">
        <v>9</v>
      </c>
      <c r="H86">
        <v>2681</v>
      </c>
      <c r="I86">
        <v>0.55118912548810395</v>
      </c>
      <c r="J86">
        <v>0.74961721066382203</v>
      </c>
      <c r="K86">
        <v>1.30653021442495</v>
      </c>
      <c r="L86" t="s">
        <v>1852</v>
      </c>
      <c r="M86" t="str">
        <f>HYPERLINK("../../3.KEGG_map/SCI_III-vs-NC-Down/rno04215.html","rno04215")</f>
        <v>rno04215</v>
      </c>
    </row>
    <row r="87" spans="1:13" x14ac:dyDescent="0.25">
      <c r="A87" t="s">
        <v>417</v>
      </c>
      <c r="B87" t="s">
        <v>418</v>
      </c>
      <c r="C87" t="s">
        <v>355</v>
      </c>
      <c r="D87" t="s">
        <v>356</v>
      </c>
      <c r="E87">
        <v>5</v>
      </c>
      <c r="F87">
        <v>228</v>
      </c>
      <c r="G87">
        <v>44</v>
      </c>
      <c r="H87">
        <v>2681</v>
      </c>
      <c r="I87">
        <v>0.31789339586479498</v>
      </c>
      <c r="J87">
        <v>0.58198944781400996</v>
      </c>
      <c r="K87">
        <v>1.3362240829346099</v>
      </c>
      <c r="L87" t="s">
        <v>1853</v>
      </c>
      <c r="M87" t="str">
        <f>HYPERLINK("../../3.KEGG_map/SCI_III-vs-NC-Down/rno04217.html","rno04217")</f>
        <v>rno04217</v>
      </c>
    </row>
    <row r="88" spans="1:13" x14ac:dyDescent="0.25">
      <c r="A88" t="s">
        <v>420</v>
      </c>
      <c r="B88" t="s">
        <v>421</v>
      </c>
      <c r="C88" t="s">
        <v>355</v>
      </c>
      <c r="D88" t="s">
        <v>356</v>
      </c>
      <c r="E88">
        <v>13</v>
      </c>
      <c r="F88">
        <v>228</v>
      </c>
      <c r="G88">
        <v>111</v>
      </c>
      <c r="H88">
        <v>2681</v>
      </c>
      <c r="I88">
        <v>0.144254838984089</v>
      </c>
      <c r="J88">
        <v>0.39921687997922201</v>
      </c>
      <c r="K88">
        <v>1.3771534692587299</v>
      </c>
      <c r="L88" t="s">
        <v>1854</v>
      </c>
      <c r="M88" t="str">
        <f>HYPERLINK("../../3.KEGG_map/SCI_III-vs-NC-Down/rno04218.html","rno04218")</f>
        <v>rno04218</v>
      </c>
    </row>
    <row r="89" spans="1:13" x14ac:dyDescent="0.25">
      <c r="A89" t="s">
        <v>423</v>
      </c>
      <c r="B89" t="s">
        <v>424</v>
      </c>
      <c r="C89" t="s">
        <v>281</v>
      </c>
      <c r="D89" t="s">
        <v>425</v>
      </c>
      <c r="E89">
        <v>6</v>
      </c>
      <c r="F89">
        <v>228</v>
      </c>
      <c r="G89">
        <v>39</v>
      </c>
      <c r="H89">
        <v>2681</v>
      </c>
      <c r="I89">
        <v>0.108341000992561</v>
      </c>
      <c r="J89">
        <v>0.37694881205168501</v>
      </c>
      <c r="K89">
        <v>1.8090418353576201</v>
      </c>
      <c r="L89" t="s">
        <v>1855</v>
      </c>
      <c r="M89" t="str">
        <f>HYPERLINK("../../3.KEGG_map/SCI_III-vs-NC-Down/rno04260.html","rno04260")</f>
        <v>rno04260</v>
      </c>
    </row>
    <row r="90" spans="1:13" x14ac:dyDescent="0.25">
      <c r="A90" t="s">
        <v>427</v>
      </c>
      <c r="B90" t="s">
        <v>428</v>
      </c>
      <c r="C90" t="s">
        <v>281</v>
      </c>
      <c r="D90" t="s">
        <v>425</v>
      </c>
      <c r="E90">
        <v>19</v>
      </c>
      <c r="F90">
        <v>228</v>
      </c>
      <c r="G90">
        <v>102</v>
      </c>
      <c r="H90">
        <v>2681</v>
      </c>
      <c r="I90">
        <v>7.1087586129713596E-4</v>
      </c>
      <c r="J90">
        <v>5.6396151662906097E-2</v>
      </c>
      <c r="K90">
        <v>2.1903594771241801</v>
      </c>
      <c r="L90" t="s">
        <v>1856</v>
      </c>
      <c r="M90" t="str">
        <f>HYPERLINK("../../3.KEGG_map/SCI_III-vs-NC-Down/rno04261.html","rno04261")</f>
        <v>rno04261</v>
      </c>
    </row>
    <row r="91" spans="1:13" x14ac:dyDescent="0.25">
      <c r="A91" t="s">
        <v>430</v>
      </c>
      <c r="B91" t="s">
        <v>431</v>
      </c>
      <c r="C91" t="s">
        <v>281</v>
      </c>
      <c r="D91" t="s">
        <v>425</v>
      </c>
      <c r="E91">
        <v>17</v>
      </c>
      <c r="F91">
        <v>228</v>
      </c>
      <c r="G91">
        <v>132</v>
      </c>
      <c r="H91">
        <v>2681</v>
      </c>
      <c r="I91">
        <v>5.1617087879347101E-2</v>
      </c>
      <c r="J91">
        <v>0.27952240048418597</v>
      </c>
      <c r="K91">
        <v>1.51438729399256</v>
      </c>
      <c r="L91" t="s">
        <v>1857</v>
      </c>
      <c r="M91" t="str">
        <f>HYPERLINK("../../3.KEGG_map/SCI_III-vs-NC-Down/rno04270.html","rno04270")</f>
        <v>rno04270</v>
      </c>
    </row>
    <row r="92" spans="1:13" x14ac:dyDescent="0.25">
      <c r="A92" t="s">
        <v>433</v>
      </c>
      <c r="B92" t="s">
        <v>434</v>
      </c>
      <c r="C92" t="s">
        <v>249</v>
      </c>
      <c r="D92" t="s">
        <v>304</v>
      </c>
      <c r="E92">
        <v>7</v>
      </c>
      <c r="F92">
        <v>228</v>
      </c>
      <c r="G92">
        <v>88</v>
      </c>
      <c r="H92">
        <v>2681</v>
      </c>
      <c r="I92">
        <v>0.63206497333352796</v>
      </c>
      <c r="J92">
        <v>0.79615448555525603</v>
      </c>
      <c r="K92">
        <v>0.93535685805422697</v>
      </c>
      <c r="L92" t="s">
        <v>1858</v>
      </c>
      <c r="M92" t="str">
        <f>HYPERLINK("../../3.KEGG_map/SCI_III-vs-NC-Down/rno04310.html","rno04310")</f>
        <v>rno04310</v>
      </c>
    </row>
    <row r="93" spans="1:13" x14ac:dyDescent="0.25">
      <c r="A93" t="s">
        <v>1441</v>
      </c>
      <c r="B93" t="s">
        <v>1442</v>
      </c>
      <c r="C93" t="s">
        <v>249</v>
      </c>
      <c r="D93" t="s">
        <v>304</v>
      </c>
      <c r="E93">
        <v>1</v>
      </c>
      <c r="F93">
        <v>228</v>
      </c>
      <c r="G93">
        <v>19</v>
      </c>
      <c r="H93">
        <v>2681</v>
      </c>
      <c r="I93">
        <v>0.81633482283471503</v>
      </c>
      <c r="J93">
        <v>0.891227925847074</v>
      </c>
      <c r="K93">
        <v>0.61888273314866105</v>
      </c>
      <c r="L93" t="s">
        <v>1859</v>
      </c>
      <c r="M93" t="str">
        <f>HYPERLINK("../../3.KEGG_map/SCI_III-vs-NC-Down/rno04330.html","rno04330")</f>
        <v>rno04330</v>
      </c>
    </row>
    <row r="94" spans="1:13" x14ac:dyDescent="0.25">
      <c r="A94" t="s">
        <v>1444</v>
      </c>
      <c r="B94" t="s">
        <v>1445</v>
      </c>
      <c r="C94" t="s">
        <v>249</v>
      </c>
      <c r="D94" t="s">
        <v>304</v>
      </c>
      <c r="E94">
        <v>2</v>
      </c>
      <c r="F94">
        <v>228</v>
      </c>
      <c r="G94">
        <v>25</v>
      </c>
      <c r="H94">
        <v>2681</v>
      </c>
      <c r="I94">
        <v>0.64101028951571604</v>
      </c>
      <c r="J94">
        <v>0.79636736329369395</v>
      </c>
      <c r="K94">
        <v>0.94070175438596504</v>
      </c>
      <c r="L94" t="s">
        <v>1860</v>
      </c>
      <c r="M94" t="str">
        <f>HYPERLINK("../../3.KEGG_map/SCI_III-vs-NC-Down/rno04340.html","rno04340")</f>
        <v>rno04340</v>
      </c>
    </row>
    <row r="95" spans="1:13" x14ac:dyDescent="0.25">
      <c r="A95" t="s">
        <v>436</v>
      </c>
      <c r="B95" t="s">
        <v>437</v>
      </c>
      <c r="C95" t="s">
        <v>249</v>
      </c>
      <c r="D95" t="s">
        <v>304</v>
      </c>
      <c r="E95">
        <v>3</v>
      </c>
      <c r="F95">
        <v>228</v>
      </c>
      <c r="G95">
        <v>62</v>
      </c>
      <c r="H95">
        <v>2681</v>
      </c>
      <c r="I95">
        <v>0.909163097355139</v>
      </c>
      <c r="J95">
        <v>0.92867303506662302</v>
      </c>
      <c r="K95">
        <v>0.56897283531409204</v>
      </c>
      <c r="L95" t="s">
        <v>1861</v>
      </c>
      <c r="M95" t="str">
        <f>HYPERLINK("../../3.KEGG_map/SCI_III-vs-NC-Down/rno04350.html","rno04350")</f>
        <v>rno04350</v>
      </c>
    </row>
    <row r="96" spans="1:13" x14ac:dyDescent="0.25">
      <c r="A96" t="s">
        <v>439</v>
      </c>
      <c r="B96" t="s">
        <v>440</v>
      </c>
      <c r="C96" t="s">
        <v>281</v>
      </c>
      <c r="D96" t="s">
        <v>441</v>
      </c>
      <c r="E96">
        <v>9</v>
      </c>
      <c r="F96">
        <v>228</v>
      </c>
      <c r="G96">
        <v>115</v>
      </c>
      <c r="H96">
        <v>2681</v>
      </c>
      <c r="I96">
        <v>0.65576542378870495</v>
      </c>
      <c r="J96">
        <v>0.79636736329369395</v>
      </c>
      <c r="K96">
        <v>0.92025171624713997</v>
      </c>
      <c r="L96" t="s">
        <v>1862</v>
      </c>
      <c r="M96" t="str">
        <f>HYPERLINK("../../3.KEGG_map/SCI_III-vs-NC-Down/rno04360.html","rno04360")</f>
        <v>rno04360</v>
      </c>
    </row>
    <row r="97" spans="1:13" x14ac:dyDescent="0.25">
      <c r="A97" t="s">
        <v>443</v>
      </c>
      <c r="B97" t="s">
        <v>444</v>
      </c>
      <c r="C97" t="s">
        <v>249</v>
      </c>
      <c r="D97" t="s">
        <v>304</v>
      </c>
      <c r="E97">
        <v>10</v>
      </c>
      <c r="F97">
        <v>228</v>
      </c>
      <c r="G97">
        <v>60</v>
      </c>
      <c r="H97">
        <v>2681</v>
      </c>
      <c r="I97">
        <v>2.7595023490119001E-2</v>
      </c>
      <c r="J97">
        <v>0.19901865426207099</v>
      </c>
      <c r="K97">
        <v>1.95979532163743</v>
      </c>
      <c r="L97" t="s">
        <v>1863</v>
      </c>
      <c r="M97" t="str">
        <f>HYPERLINK("../../3.KEGG_map/SCI_III-vs-NC-Down/rno04370.html","rno04370")</f>
        <v>rno04370</v>
      </c>
    </row>
    <row r="98" spans="1:13" x14ac:dyDescent="0.25">
      <c r="A98" t="s">
        <v>446</v>
      </c>
      <c r="B98" t="s">
        <v>447</v>
      </c>
      <c r="C98" t="s">
        <v>249</v>
      </c>
      <c r="D98" t="s">
        <v>304</v>
      </c>
      <c r="E98">
        <v>16</v>
      </c>
      <c r="F98">
        <v>228</v>
      </c>
      <c r="G98">
        <v>111</v>
      </c>
      <c r="H98">
        <v>2681</v>
      </c>
      <c r="I98">
        <v>2.3261004522634101E-2</v>
      </c>
      <c r="J98">
        <v>0.18731993262890501</v>
      </c>
      <c r="K98">
        <v>1.6949581160107501</v>
      </c>
      <c r="L98" t="s">
        <v>1864</v>
      </c>
      <c r="M98" t="str">
        <f>HYPERLINK("../../3.KEGG_map/SCI_III-vs-NC-Down/rno04371.html","rno04371")</f>
        <v>rno04371</v>
      </c>
    </row>
    <row r="99" spans="1:13" x14ac:dyDescent="0.25">
      <c r="A99" t="s">
        <v>449</v>
      </c>
      <c r="B99" t="s">
        <v>450</v>
      </c>
      <c r="C99" t="s">
        <v>281</v>
      </c>
      <c r="D99" t="s">
        <v>441</v>
      </c>
      <c r="E99">
        <v>6</v>
      </c>
      <c r="F99">
        <v>228</v>
      </c>
      <c r="G99">
        <v>64</v>
      </c>
      <c r="H99">
        <v>2681</v>
      </c>
      <c r="I99">
        <v>0.46537726069698199</v>
      </c>
      <c r="J99">
        <v>0.67950790212197398</v>
      </c>
      <c r="K99">
        <v>1.10238486842105</v>
      </c>
      <c r="L99" t="s">
        <v>1865</v>
      </c>
      <c r="M99" t="str">
        <f>HYPERLINK("../../3.KEGG_map/SCI_III-vs-NC-Down/rno04380.html","rno04380")</f>
        <v>rno04380</v>
      </c>
    </row>
    <row r="100" spans="1:13" x14ac:dyDescent="0.25">
      <c r="A100" t="s">
        <v>452</v>
      </c>
      <c r="B100" t="s">
        <v>453</v>
      </c>
      <c r="C100" t="s">
        <v>249</v>
      </c>
      <c r="D100" t="s">
        <v>304</v>
      </c>
      <c r="E100">
        <v>6</v>
      </c>
      <c r="F100">
        <v>228</v>
      </c>
      <c r="G100">
        <v>84</v>
      </c>
      <c r="H100">
        <v>2681</v>
      </c>
      <c r="I100">
        <v>0.73305747758594197</v>
      </c>
      <c r="J100">
        <v>0.847741934110954</v>
      </c>
      <c r="K100">
        <v>0.83991228070175405</v>
      </c>
      <c r="L100" t="s">
        <v>1866</v>
      </c>
      <c r="M100" t="str">
        <f>HYPERLINK("../../3.KEGG_map/SCI_III-vs-NC-Down/rno04390.html","rno04390")</f>
        <v>rno04390</v>
      </c>
    </row>
    <row r="101" spans="1:13" x14ac:dyDescent="0.25">
      <c r="A101" t="s">
        <v>455</v>
      </c>
      <c r="B101" t="s">
        <v>456</v>
      </c>
      <c r="C101" t="s">
        <v>249</v>
      </c>
      <c r="D101" t="s">
        <v>304</v>
      </c>
      <c r="E101">
        <v>2</v>
      </c>
      <c r="F101">
        <v>228</v>
      </c>
      <c r="G101">
        <v>26</v>
      </c>
      <c r="H101">
        <v>2681</v>
      </c>
      <c r="I101">
        <v>0.66252410895861902</v>
      </c>
      <c r="J101">
        <v>0.79636736329369395</v>
      </c>
      <c r="K101">
        <v>0.90452091767881204</v>
      </c>
      <c r="L101" t="s">
        <v>1867</v>
      </c>
      <c r="M101" t="str">
        <f>HYPERLINK("../../3.KEGG_map/SCI_III-vs-NC-Down/rno04392.html","rno04392")</f>
        <v>rno04392</v>
      </c>
    </row>
    <row r="102" spans="1:13" x14ac:dyDescent="0.25">
      <c r="A102" t="s">
        <v>458</v>
      </c>
      <c r="B102" t="s">
        <v>459</v>
      </c>
      <c r="C102" t="s">
        <v>355</v>
      </c>
      <c r="D102" t="s">
        <v>460</v>
      </c>
      <c r="E102">
        <v>19</v>
      </c>
      <c r="F102">
        <v>228</v>
      </c>
      <c r="G102">
        <v>192</v>
      </c>
      <c r="H102">
        <v>2681</v>
      </c>
      <c r="I102">
        <v>0.27291014577022099</v>
      </c>
      <c r="J102">
        <v>0.53965258610599898</v>
      </c>
      <c r="K102">
        <v>1.1636284722222201</v>
      </c>
      <c r="L102" t="s">
        <v>1868</v>
      </c>
      <c r="M102" t="str">
        <f>HYPERLINK("../../3.KEGG_map/SCI_III-vs-NC-Down/rno04510.html","rno04510")</f>
        <v>rno04510</v>
      </c>
    </row>
    <row r="103" spans="1:13" x14ac:dyDescent="0.25">
      <c r="A103" t="s">
        <v>462</v>
      </c>
      <c r="B103" t="s">
        <v>463</v>
      </c>
      <c r="C103" t="s">
        <v>249</v>
      </c>
      <c r="D103" t="s">
        <v>326</v>
      </c>
      <c r="E103">
        <v>4</v>
      </c>
      <c r="F103">
        <v>228</v>
      </c>
      <c r="G103">
        <v>70</v>
      </c>
      <c r="H103">
        <v>2681</v>
      </c>
      <c r="I103">
        <v>0.85978413221602801</v>
      </c>
      <c r="J103">
        <v>0.90144768047319201</v>
      </c>
      <c r="K103">
        <v>0.67192982456140304</v>
      </c>
      <c r="L103" t="s">
        <v>1869</v>
      </c>
      <c r="M103" t="str">
        <f>HYPERLINK("../../3.KEGG_map/SCI_III-vs-NC-Down/rno04512.html","rno04512")</f>
        <v>rno04512</v>
      </c>
    </row>
    <row r="104" spans="1:13" x14ac:dyDescent="0.25">
      <c r="A104" t="s">
        <v>465</v>
      </c>
      <c r="B104" t="s">
        <v>466</v>
      </c>
      <c r="C104" t="s">
        <v>249</v>
      </c>
      <c r="D104" t="s">
        <v>326</v>
      </c>
      <c r="E104">
        <v>3</v>
      </c>
      <c r="F104">
        <v>228</v>
      </c>
      <c r="G104">
        <v>51</v>
      </c>
      <c r="H104">
        <v>2681</v>
      </c>
      <c r="I104">
        <v>0.82255006727680102</v>
      </c>
      <c r="J104">
        <v>0.89391285850172897</v>
      </c>
      <c r="K104">
        <v>0.69169246646026805</v>
      </c>
      <c r="L104" t="s">
        <v>1870</v>
      </c>
      <c r="M104" t="str">
        <f>HYPERLINK("../../3.KEGG_map/SCI_III-vs-NC-Down/rno04514.html","rno04514")</f>
        <v>rno04514</v>
      </c>
    </row>
    <row r="105" spans="1:13" x14ac:dyDescent="0.25">
      <c r="A105" t="s">
        <v>468</v>
      </c>
      <c r="B105" t="s">
        <v>469</v>
      </c>
      <c r="C105" t="s">
        <v>355</v>
      </c>
      <c r="D105" t="s">
        <v>460</v>
      </c>
      <c r="E105">
        <v>7</v>
      </c>
      <c r="F105">
        <v>228</v>
      </c>
      <c r="G105">
        <v>112</v>
      </c>
      <c r="H105">
        <v>2681</v>
      </c>
      <c r="I105">
        <v>0.85417871449639504</v>
      </c>
      <c r="J105">
        <v>0.90144768047319201</v>
      </c>
      <c r="K105">
        <v>0.73492324561403499</v>
      </c>
      <c r="L105" t="s">
        <v>1871</v>
      </c>
      <c r="M105" t="str">
        <f>HYPERLINK("../../3.KEGG_map/SCI_III-vs-NC-Down/rno04520.html","rno04520")</f>
        <v>rno04520</v>
      </c>
    </row>
    <row r="106" spans="1:13" x14ac:dyDescent="0.25">
      <c r="A106" t="s">
        <v>471</v>
      </c>
      <c r="B106" t="s">
        <v>472</v>
      </c>
      <c r="C106" t="s">
        <v>355</v>
      </c>
      <c r="D106" t="s">
        <v>460</v>
      </c>
      <c r="E106">
        <v>8</v>
      </c>
      <c r="F106">
        <v>228</v>
      </c>
      <c r="G106">
        <v>118</v>
      </c>
      <c r="H106">
        <v>2681</v>
      </c>
      <c r="I106">
        <v>0.80089219843465298</v>
      </c>
      <c r="J106">
        <v>0.88246455197892304</v>
      </c>
      <c r="K106">
        <v>0.79720487659827499</v>
      </c>
      <c r="L106" t="s">
        <v>1872</v>
      </c>
      <c r="M106" t="str">
        <f>HYPERLINK("../../3.KEGG_map/SCI_III-vs-NC-Down/rno04530.html","rno04530")</f>
        <v>rno04530</v>
      </c>
    </row>
    <row r="107" spans="1:13" x14ac:dyDescent="0.25">
      <c r="A107" t="s">
        <v>474</v>
      </c>
      <c r="B107" t="s">
        <v>475</v>
      </c>
      <c r="C107" t="s">
        <v>355</v>
      </c>
      <c r="D107" t="s">
        <v>460</v>
      </c>
      <c r="E107">
        <v>9</v>
      </c>
      <c r="F107">
        <v>228</v>
      </c>
      <c r="G107">
        <v>65</v>
      </c>
      <c r="H107">
        <v>2681</v>
      </c>
      <c r="I107">
        <v>9.5871436802895005E-2</v>
      </c>
      <c r="J107">
        <v>0.36853462568123602</v>
      </c>
      <c r="K107">
        <v>1.62813765182186</v>
      </c>
      <c r="L107" t="s">
        <v>1873</v>
      </c>
      <c r="M107" t="str">
        <f>HYPERLINK("../../3.KEGG_map/SCI_III-vs-NC-Down/rno04540.html","rno04540")</f>
        <v>rno04540</v>
      </c>
    </row>
    <row r="108" spans="1:13" x14ac:dyDescent="0.25">
      <c r="A108" t="s">
        <v>477</v>
      </c>
      <c r="B108" t="s">
        <v>478</v>
      </c>
      <c r="C108" t="s">
        <v>355</v>
      </c>
      <c r="D108" t="s">
        <v>460</v>
      </c>
      <c r="E108">
        <v>6</v>
      </c>
      <c r="F108">
        <v>228</v>
      </c>
      <c r="G108">
        <v>60</v>
      </c>
      <c r="H108">
        <v>2681</v>
      </c>
      <c r="I108">
        <v>0.40276553067246701</v>
      </c>
      <c r="J108">
        <v>0.65193280913861096</v>
      </c>
      <c r="K108">
        <v>1.1758771929824601</v>
      </c>
      <c r="L108" t="s">
        <v>1874</v>
      </c>
      <c r="M108" t="str">
        <f>HYPERLINK("../../3.KEGG_map/SCI_III-vs-NC-Down/rno04550.html","rno04550")</f>
        <v>rno04550</v>
      </c>
    </row>
    <row r="109" spans="1:13" x14ac:dyDescent="0.25">
      <c r="A109" t="s">
        <v>480</v>
      </c>
      <c r="B109" t="s">
        <v>481</v>
      </c>
      <c r="C109" t="s">
        <v>281</v>
      </c>
      <c r="D109" t="s">
        <v>330</v>
      </c>
      <c r="E109">
        <v>1</v>
      </c>
      <c r="F109">
        <v>228</v>
      </c>
      <c r="G109">
        <v>12</v>
      </c>
      <c r="H109">
        <v>2681</v>
      </c>
      <c r="I109">
        <v>0.65659066533171995</v>
      </c>
      <c r="J109">
        <v>0.79636736329369395</v>
      </c>
      <c r="K109">
        <v>0.97989766081871299</v>
      </c>
      <c r="L109" t="s">
        <v>1670</v>
      </c>
      <c r="M109" t="str">
        <f>HYPERLINK("../../3.KEGG_map/SCI_III-vs-NC-Down/rno04610.html","rno04610")</f>
        <v>rno04610</v>
      </c>
    </row>
    <row r="110" spans="1:13" x14ac:dyDescent="0.25">
      <c r="A110" t="s">
        <v>483</v>
      </c>
      <c r="B110" t="s">
        <v>484</v>
      </c>
      <c r="C110" t="s">
        <v>281</v>
      </c>
      <c r="D110" t="s">
        <v>330</v>
      </c>
      <c r="E110">
        <v>14</v>
      </c>
      <c r="F110">
        <v>228</v>
      </c>
      <c r="G110">
        <v>122</v>
      </c>
      <c r="H110">
        <v>2681</v>
      </c>
      <c r="I110">
        <v>0.149678466372173</v>
      </c>
      <c r="J110">
        <v>0.40946522984571398</v>
      </c>
      <c r="K110">
        <v>1.3493672706356099</v>
      </c>
      <c r="L110" t="s">
        <v>1875</v>
      </c>
      <c r="M110" t="str">
        <f>HYPERLINK("../../3.KEGG_map/SCI_III-vs-NC-Down/rno04611.html","rno04611")</f>
        <v>rno04611</v>
      </c>
    </row>
    <row r="111" spans="1:13" x14ac:dyDescent="0.25">
      <c r="A111" t="s">
        <v>486</v>
      </c>
      <c r="B111" t="s">
        <v>487</v>
      </c>
      <c r="C111" t="s">
        <v>281</v>
      </c>
      <c r="D111" t="s">
        <v>330</v>
      </c>
      <c r="E111">
        <v>1</v>
      </c>
      <c r="F111">
        <v>228</v>
      </c>
      <c r="G111">
        <v>23</v>
      </c>
      <c r="H111">
        <v>2681</v>
      </c>
      <c r="I111">
        <v>0.87165317352893301</v>
      </c>
      <c r="J111">
        <v>0.909883575876693</v>
      </c>
      <c r="K111">
        <v>0.51125095347063299</v>
      </c>
      <c r="L111" t="s">
        <v>1463</v>
      </c>
      <c r="M111" t="str">
        <f>HYPERLINK("../../3.KEGG_map/SCI_III-vs-NC-Down/rno04612.html","rno04612")</f>
        <v>rno04612</v>
      </c>
    </row>
    <row r="112" spans="1:13" x14ac:dyDescent="0.25">
      <c r="A112" t="s">
        <v>492</v>
      </c>
      <c r="B112" t="s">
        <v>493</v>
      </c>
      <c r="C112" t="s">
        <v>281</v>
      </c>
      <c r="D112" t="s">
        <v>330</v>
      </c>
      <c r="E112">
        <v>5</v>
      </c>
      <c r="F112">
        <v>228</v>
      </c>
      <c r="G112">
        <v>33</v>
      </c>
      <c r="H112">
        <v>2681</v>
      </c>
      <c r="I112">
        <v>0.143538387910572</v>
      </c>
      <c r="J112">
        <v>0.39921687997922201</v>
      </c>
      <c r="K112">
        <v>1.7816321105794799</v>
      </c>
      <c r="L112" t="s">
        <v>1876</v>
      </c>
      <c r="M112" t="str">
        <f>HYPERLINK("../../3.KEGG_map/SCI_III-vs-NC-Down/rno04620.html","rno04620")</f>
        <v>rno04620</v>
      </c>
    </row>
    <row r="113" spans="1:13" x14ac:dyDescent="0.25">
      <c r="A113" t="s">
        <v>495</v>
      </c>
      <c r="B113" t="s">
        <v>496</v>
      </c>
      <c r="C113" t="s">
        <v>281</v>
      </c>
      <c r="D113" t="s">
        <v>330</v>
      </c>
      <c r="E113">
        <v>6</v>
      </c>
      <c r="F113">
        <v>228</v>
      </c>
      <c r="G113">
        <v>64</v>
      </c>
      <c r="H113">
        <v>2681</v>
      </c>
      <c r="I113">
        <v>0.46537726069698199</v>
      </c>
      <c r="J113">
        <v>0.67950790212197398</v>
      </c>
      <c r="K113">
        <v>1.10238486842105</v>
      </c>
      <c r="L113" t="s">
        <v>1877</v>
      </c>
      <c r="M113" t="str">
        <f>HYPERLINK("../../3.KEGG_map/SCI_III-vs-NC-Down/rno04621.html","rno04621")</f>
        <v>rno04621</v>
      </c>
    </row>
    <row r="114" spans="1:13" x14ac:dyDescent="0.25">
      <c r="A114" t="s">
        <v>498</v>
      </c>
      <c r="B114" t="s">
        <v>499</v>
      </c>
      <c r="C114" t="s">
        <v>281</v>
      </c>
      <c r="D114" t="s">
        <v>330</v>
      </c>
      <c r="E114">
        <v>3</v>
      </c>
      <c r="F114">
        <v>228</v>
      </c>
      <c r="G114">
        <v>23</v>
      </c>
      <c r="H114">
        <v>2681</v>
      </c>
      <c r="I114">
        <v>0.310530127076389</v>
      </c>
      <c r="J114">
        <v>0.57291604840450105</v>
      </c>
      <c r="K114">
        <v>1.5337528604119</v>
      </c>
      <c r="L114" t="s">
        <v>1878</v>
      </c>
      <c r="M114" t="str">
        <f>HYPERLINK("../../3.KEGG_map/SCI_III-vs-NC-Down/rno04622.html","rno04622")</f>
        <v>rno04622</v>
      </c>
    </row>
    <row r="115" spans="1:13" x14ac:dyDescent="0.25">
      <c r="A115" t="s">
        <v>501</v>
      </c>
      <c r="B115" t="s">
        <v>502</v>
      </c>
      <c r="C115" t="s">
        <v>281</v>
      </c>
      <c r="D115" t="s">
        <v>330</v>
      </c>
      <c r="E115">
        <v>1</v>
      </c>
      <c r="F115">
        <v>228</v>
      </c>
      <c r="G115">
        <v>11</v>
      </c>
      <c r="H115">
        <v>2681</v>
      </c>
      <c r="I115">
        <v>0.62452787732829296</v>
      </c>
      <c r="J115">
        <v>0.79485366205419095</v>
      </c>
      <c r="K115">
        <v>1.06897926634769</v>
      </c>
      <c r="L115" t="s">
        <v>1381</v>
      </c>
      <c r="M115" t="str">
        <f>HYPERLINK("../../3.KEGG_map/SCI_III-vs-NC-Down/rno04623.html","rno04623")</f>
        <v>rno04623</v>
      </c>
    </row>
    <row r="116" spans="1:13" x14ac:dyDescent="0.25">
      <c r="A116" t="s">
        <v>504</v>
      </c>
      <c r="B116" t="s">
        <v>505</v>
      </c>
      <c r="C116" t="s">
        <v>281</v>
      </c>
      <c r="D116" t="s">
        <v>330</v>
      </c>
      <c r="E116">
        <v>8</v>
      </c>
      <c r="F116">
        <v>228</v>
      </c>
      <c r="G116">
        <v>69</v>
      </c>
      <c r="H116">
        <v>2681</v>
      </c>
      <c r="I116">
        <v>0.228846687856223</v>
      </c>
      <c r="J116">
        <v>0.52742722736119096</v>
      </c>
      <c r="K116">
        <v>1.36333587592169</v>
      </c>
      <c r="L116" t="s">
        <v>1879</v>
      </c>
      <c r="M116" t="str">
        <f>HYPERLINK("../../3.KEGG_map/SCI_III-vs-NC-Down/rno04625.html","rno04625")</f>
        <v>rno04625</v>
      </c>
    </row>
    <row r="117" spans="1:13" x14ac:dyDescent="0.25">
      <c r="A117" t="s">
        <v>507</v>
      </c>
      <c r="B117" t="s">
        <v>508</v>
      </c>
      <c r="C117" t="s">
        <v>249</v>
      </c>
      <c r="D117" t="s">
        <v>304</v>
      </c>
      <c r="E117">
        <v>6</v>
      </c>
      <c r="F117">
        <v>228</v>
      </c>
      <c r="G117">
        <v>52</v>
      </c>
      <c r="H117">
        <v>2681</v>
      </c>
      <c r="I117">
        <v>0.27813129915602702</v>
      </c>
      <c r="J117">
        <v>0.54258400982897104</v>
      </c>
      <c r="K117">
        <v>1.35678137651822</v>
      </c>
      <c r="L117" t="s">
        <v>1880</v>
      </c>
      <c r="M117" t="str">
        <f>HYPERLINK("../../3.KEGG_map/SCI_III-vs-NC-Down/rno04630.html","rno04630")</f>
        <v>rno04630</v>
      </c>
    </row>
    <row r="118" spans="1:13" x14ac:dyDescent="0.25">
      <c r="A118" t="s">
        <v>510</v>
      </c>
      <c r="B118" t="s">
        <v>511</v>
      </c>
      <c r="C118" t="s">
        <v>281</v>
      </c>
      <c r="D118" t="s">
        <v>330</v>
      </c>
      <c r="E118">
        <v>1</v>
      </c>
      <c r="F118">
        <v>228</v>
      </c>
      <c r="G118">
        <v>18</v>
      </c>
      <c r="H118">
        <v>2681</v>
      </c>
      <c r="I118">
        <v>0.79913742636913598</v>
      </c>
      <c r="J118">
        <v>0.88246455197892304</v>
      </c>
      <c r="K118">
        <v>0.65326510721247599</v>
      </c>
      <c r="L118" t="s">
        <v>1469</v>
      </c>
      <c r="M118" t="str">
        <f>HYPERLINK("../../3.KEGG_map/SCI_III-vs-NC-Down/rno04640.html","rno04640")</f>
        <v>rno04640</v>
      </c>
    </row>
    <row r="119" spans="1:13" x14ac:dyDescent="0.25">
      <c r="A119" t="s">
        <v>513</v>
      </c>
      <c r="B119" t="s">
        <v>514</v>
      </c>
      <c r="C119" t="s">
        <v>281</v>
      </c>
      <c r="D119" t="s">
        <v>330</v>
      </c>
      <c r="E119">
        <v>7</v>
      </c>
      <c r="F119">
        <v>228</v>
      </c>
      <c r="G119">
        <v>60</v>
      </c>
      <c r="H119">
        <v>2681</v>
      </c>
      <c r="I119">
        <v>0.24506288310208199</v>
      </c>
      <c r="J119">
        <v>0.52742722736119096</v>
      </c>
      <c r="K119">
        <v>1.3718567251461999</v>
      </c>
      <c r="L119" t="s">
        <v>1881</v>
      </c>
      <c r="M119" t="str">
        <f>HYPERLINK("../../3.KEGG_map/SCI_III-vs-NC-Down/rno04650.html","rno04650")</f>
        <v>rno04650</v>
      </c>
    </row>
    <row r="120" spans="1:13" x14ac:dyDescent="0.25">
      <c r="A120" t="s">
        <v>516</v>
      </c>
      <c r="B120" t="s">
        <v>517</v>
      </c>
      <c r="C120" t="s">
        <v>281</v>
      </c>
      <c r="D120" t="s">
        <v>330</v>
      </c>
      <c r="E120">
        <v>3</v>
      </c>
      <c r="F120">
        <v>228</v>
      </c>
      <c r="G120">
        <v>24</v>
      </c>
      <c r="H120">
        <v>2681</v>
      </c>
      <c r="I120">
        <v>0.33469982892848199</v>
      </c>
      <c r="J120">
        <v>0.60306739913705498</v>
      </c>
      <c r="K120">
        <v>1.46984649122807</v>
      </c>
      <c r="L120" t="s">
        <v>1878</v>
      </c>
      <c r="M120" t="str">
        <f>HYPERLINK("../../3.KEGG_map/SCI_III-vs-NC-Down/rno04657.html","rno04657")</f>
        <v>rno04657</v>
      </c>
    </row>
    <row r="121" spans="1:13" x14ac:dyDescent="0.25">
      <c r="A121" t="s">
        <v>519</v>
      </c>
      <c r="B121" t="s">
        <v>520</v>
      </c>
      <c r="C121" t="s">
        <v>281</v>
      </c>
      <c r="D121" t="s">
        <v>330</v>
      </c>
      <c r="E121">
        <v>4</v>
      </c>
      <c r="F121">
        <v>228</v>
      </c>
      <c r="G121">
        <v>43</v>
      </c>
      <c r="H121">
        <v>2681</v>
      </c>
      <c r="I121">
        <v>0.50396438000819399</v>
      </c>
      <c r="J121">
        <v>0.71572473513523704</v>
      </c>
      <c r="K121">
        <v>1.0938392492860101</v>
      </c>
      <c r="L121" t="s">
        <v>1882</v>
      </c>
      <c r="M121" t="str">
        <f>HYPERLINK("../../3.KEGG_map/SCI_III-vs-NC-Down/rno04658.html","rno04658")</f>
        <v>rno04658</v>
      </c>
    </row>
    <row r="122" spans="1:13" x14ac:dyDescent="0.25">
      <c r="A122" t="s">
        <v>522</v>
      </c>
      <c r="B122" t="s">
        <v>523</v>
      </c>
      <c r="C122" t="s">
        <v>281</v>
      </c>
      <c r="D122" t="s">
        <v>330</v>
      </c>
      <c r="E122">
        <v>6</v>
      </c>
      <c r="F122">
        <v>228</v>
      </c>
      <c r="G122">
        <v>61</v>
      </c>
      <c r="H122">
        <v>2681</v>
      </c>
      <c r="I122">
        <v>0.41851227486537201</v>
      </c>
      <c r="J122">
        <v>0.65530211459183196</v>
      </c>
      <c r="K122">
        <v>1.1566005176876599</v>
      </c>
      <c r="L122" t="s">
        <v>1883</v>
      </c>
      <c r="M122" t="str">
        <f>HYPERLINK("../../3.KEGG_map/SCI_III-vs-NC-Down/rno04659.html","rno04659")</f>
        <v>rno04659</v>
      </c>
    </row>
    <row r="123" spans="1:13" x14ac:dyDescent="0.25">
      <c r="A123" t="s">
        <v>525</v>
      </c>
      <c r="B123" t="s">
        <v>526</v>
      </c>
      <c r="C123" t="s">
        <v>281</v>
      </c>
      <c r="D123" t="s">
        <v>330</v>
      </c>
      <c r="E123">
        <v>9</v>
      </c>
      <c r="F123">
        <v>228</v>
      </c>
      <c r="G123">
        <v>80</v>
      </c>
      <c r="H123">
        <v>2681</v>
      </c>
      <c r="I123">
        <v>0.236176680800088</v>
      </c>
      <c r="J123">
        <v>0.52742722736119096</v>
      </c>
      <c r="K123">
        <v>1.32286184210526</v>
      </c>
      <c r="L123" t="s">
        <v>1884</v>
      </c>
      <c r="M123" t="str">
        <f>HYPERLINK("../../3.KEGG_map/SCI_III-vs-NC-Down/rno04660.html","rno04660")</f>
        <v>rno04660</v>
      </c>
    </row>
    <row r="124" spans="1:13" x14ac:dyDescent="0.25">
      <c r="A124" t="s">
        <v>528</v>
      </c>
      <c r="B124" t="s">
        <v>529</v>
      </c>
      <c r="C124" t="s">
        <v>281</v>
      </c>
      <c r="D124" t="s">
        <v>330</v>
      </c>
      <c r="E124">
        <v>7</v>
      </c>
      <c r="F124">
        <v>228</v>
      </c>
      <c r="G124">
        <v>58</v>
      </c>
      <c r="H124">
        <v>2681</v>
      </c>
      <c r="I124">
        <v>0.21905497551592701</v>
      </c>
      <c r="J124">
        <v>0.51115256679017396</v>
      </c>
      <c r="K124">
        <v>1.4191621294615799</v>
      </c>
      <c r="L124" t="s">
        <v>1885</v>
      </c>
      <c r="M124" t="str">
        <f>HYPERLINK("../../3.KEGG_map/SCI_III-vs-NC-Down/rno04662.html","rno04662")</f>
        <v>rno04662</v>
      </c>
    </row>
    <row r="125" spans="1:13" x14ac:dyDescent="0.25">
      <c r="A125" t="s">
        <v>531</v>
      </c>
      <c r="B125" t="s">
        <v>532</v>
      </c>
      <c r="C125" t="s">
        <v>281</v>
      </c>
      <c r="D125" t="s">
        <v>330</v>
      </c>
      <c r="E125">
        <v>6</v>
      </c>
      <c r="F125">
        <v>228</v>
      </c>
      <c r="G125">
        <v>40</v>
      </c>
      <c r="H125">
        <v>2681</v>
      </c>
      <c r="I125">
        <v>0.118911287862756</v>
      </c>
      <c r="J125">
        <v>0.387683376867615</v>
      </c>
      <c r="K125">
        <v>1.7638157894736799</v>
      </c>
      <c r="L125" t="s">
        <v>1886</v>
      </c>
      <c r="M125" t="str">
        <f>HYPERLINK("../../3.KEGG_map/SCI_III-vs-NC-Down/rno04664.html","rno04664")</f>
        <v>rno04664</v>
      </c>
    </row>
    <row r="126" spans="1:13" x14ac:dyDescent="0.25">
      <c r="A126" t="s">
        <v>534</v>
      </c>
      <c r="B126" t="s">
        <v>535</v>
      </c>
      <c r="C126" t="s">
        <v>281</v>
      </c>
      <c r="D126" t="s">
        <v>330</v>
      </c>
      <c r="E126">
        <v>6</v>
      </c>
      <c r="F126">
        <v>228</v>
      </c>
      <c r="G126">
        <v>51</v>
      </c>
      <c r="H126">
        <v>2681</v>
      </c>
      <c r="I126">
        <v>0.26312919460249901</v>
      </c>
      <c r="J126">
        <v>0.53965258610599898</v>
      </c>
      <c r="K126">
        <v>1.3833849329205401</v>
      </c>
      <c r="L126" t="s">
        <v>1887</v>
      </c>
      <c r="M126" t="str">
        <f>HYPERLINK("../../3.KEGG_map/SCI_III-vs-NC-Down/rno04666.html","rno04666")</f>
        <v>rno04666</v>
      </c>
    </row>
    <row r="127" spans="1:13" x14ac:dyDescent="0.25">
      <c r="A127" t="s">
        <v>537</v>
      </c>
      <c r="B127" t="s">
        <v>538</v>
      </c>
      <c r="C127" t="s">
        <v>249</v>
      </c>
      <c r="D127" t="s">
        <v>304</v>
      </c>
      <c r="E127">
        <v>12</v>
      </c>
      <c r="F127">
        <v>228</v>
      </c>
      <c r="G127">
        <v>65</v>
      </c>
      <c r="H127">
        <v>2681</v>
      </c>
      <c r="I127">
        <v>7.3845475594603704E-3</v>
      </c>
      <c r="J127">
        <v>0.136044764400826</v>
      </c>
      <c r="K127">
        <v>2.1708502024291501</v>
      </c>
      <c r="L127" t="s">
        <v>1888</v>
      </c>
      <c r="M127" t="str">
        <f>HYPERLINK("../../3.KEGG_map/SCI_III-vs-NC-Down/rno04668.html","rno04668")</f>
        <v>rno04668</v>
      </c>
    </row>
    <row r="128" spans="1:13" x14ac:dyDescent="0.25">
      <c r="A128" t="s">
        <v>540</v>
      </c>
      <c r="B128" t="s">
        <v>541</v>
      </c>
      <c r="C128" t="s">
        <v>281</v>
      </c>
      <c r="D128" t="s">
        <v>330</v>
      </c>
      <c r="E128">
        <v>6</v>
      </c>
      <c r="F128">
        <v>228</v>
      </c>
      <c r="G128">
        <v>63</v>
      </c>
      <c r="H128">
        <v>2681</v>
      </c>
      <c r="I128">
        <v>0.44984053262472801</v>
      </c>
      <c r="J128">
        <v>0.67950790212197398</v>
      </c>
      <c r="K128">
        <v>1.1198830409356699</v>
      </c>
      <c r="L128" t="s">
        <v>1889</v>
      </c>
      <c r="M128" t="str">
        <f>HYPERLINK("../../3.KEGG_map/SCI_III-vs-NC-Down/rno04670.html","rno04670")</f>
        <v>rno04670</v>
      </c>
    </row>
    <row r="129" spans="1:13" x14ac:dyDescent="0.25">
      <c r="A129" t="s">
        <v>550</v>
      </c>
      <c r="B129" t="s">
        <v>551</v>
      </c>
      <c r="C129" t="s">
        <v>281</v>
      </c>
      <c r="D129" t="s">
        <v>548</v>
      </c>
      <c r="E129">
        <v>13</v>
      </c>
      <c r="F129">
        <v>228</v>
      </c>
      <c r="G129">
        <v>77</v>
      </c>
      <c r="H129">
        <v>2681</v>
      </c>
      <c r="I129">
        <v>1.15323291552589E-2</v>
      </c>
      <c r="J129">
        <v>0.136044764400826</v>
      </c>
      <c r="K129">
        <v>1.9852472089314199</v>
      </c>
      <c r="L129" t="s">
        <v>1890</v>
      </c>
      <c r="M129" t="str">
        <f>HYPERLINK("../../3.KEGG_map/SCI_III-vs-NC-Down/rno04713.html","rno04713")</f>
        <v>rno04713</v>
      </c>
    </row>
    <row r="130" spans="1:13" x14ac:dyDescent="0.25">
      <c r="A130" t="s">
        <v>553</v>
      </c>
      <c r="B130" t="s">
        <v>554</v>
      </c>
      <c r="C130" t="s">
        <v>281</v>
      </c>
      <c r="D130" t="s">
        <v>548</v>
      </c>
      <c r="E130">
        <v>8</v>
      </c>
      <c r="F130">
        <v>228</v>
      </c>
      <c r="G130">
        <v>74</v>
      </c>
      <c r="H130">
        <v>2681</v>
      </c>
      <c r="I130">
        <v>0.29089957463635702</v>
      </c>
      <c r="J130">
        <v>0.56287885173538998</v>
      </c>
      <c r="K130">
        <v>1.2712185870080599</v>
      </c>
      <c r="L130" t="s">
        <v>1891</v>
      </c>
      <c r="M130" t="str">
        <f>HYPERLINK("../../3.KEGG_map/SCI_III-vs-NC-Down/rno04714.html","rno04714")</f>
        <v>rno04714</v>
      </c>
    </row>
    <row r="131" spans="1:13" x14ac:dyDescent="0.25">
      <c r="A131" t="s">
        <v>556</v>
      </c>
      <c r="B131" t="s">
        <v>557</v>
      </c>
      <c r="C131" t="s">
        <v>281</v>
      </c>
      <c r="D131" t="s">
        <v>558</v>
      </c>
      <c r="E131">
        <v>11</v>
      </c>
      <c r="F131">
        <v>228</v>
      </c>
      <c r="G131">
        <v>77</v>
      </c>
      <c r="H131">
        <v>2681</v>
      </c>
      <c r="I131">
        <v>5.8127266232691502E-2</v>
      </c>
      <c r="J131">
        <v>0.29434658219958698</v>
      </c>
      <c r="K131">
        <v>1.6798245614035101</v>
      </c>
      <c r="L131" t="s">
        <v>1892</v>
      </c>
      <c r="M131" t="str">
        <f>HYPERLINK("../../3.KEGG_map/SCI_III-vs-NC-Down/rno04720.html","rno04720")</f>
        <v>rno04720</v>
      </c>
    </row>
    <row r="132" spans="1:13" x14ac:dyDescent="0.25">
      <c r="A132" t="s">
        <v>560</v>
      </c>
      <c r="B132" t="s">
        <v>561</v>
      </c>
      <c r="C132" t="s">
        <v>281</v>
      </c>
      <c r="D132" t="s">
        <v>558</v>
      </c>
      <c r="E132">
        <v>3</v>
      </c>
      <c r="F132">
        <v>228</v>
      </c>
      <c r="G132">
        <v>27</v>
      </c>
      <c r="H132">
        <v>2681</v>
      </c>
      <c r="I132">
        <v>0.40665146242432199</v>
      </c>
      <c r="J132">
        <v>0.65193280913861096</v>
      </c>
      <c r="K132">
        <v>1.30653021442495</v>
      </c>
      <c r="L132" t="s">
        <v>1893</v>
      </c>
      <c r="M132" t="str">
        <f>HYPERLINK("../../3.KEGG_map/SCI_III-vs-NC-Down/rno04721.html","rno04721")</f>
        <v>rno04721</v>
      </c>
    </row>
    <row r="133" spans="1:13" x14ac:dyDescent="0.25">
      <c r="A133" t="s">
        <v>563</v>
      </c>
      <c r="B133" t="s">
        <v>564</v>
      </c>
      <c r="C133" t="s">
        <v>281</v>
      </c>
      <c r="D133" t="s">
        <v>558</v>
      </c>
      <c r="E133">
        <v>12</v>
      </c>
      <c r="F133">
        <v>228</v>
      </c>
      <c r="G133">
        <v>90</v>
      </c>
      <c r="H133">
        <v>2681</v>
      </c>
      <c r="I133">
        <v>7.5757762153205802E-2</v>
      </c>
      <c r="J133">
        <v>0.34019523382005601</v>
      </c>
      <c r="K133">
        <v>1.56783625730994</v>
      </c>
      <c r="L133" t="s">
        <v>1894</v>
      </c>
      <c r="M133" t="str">
        <f>HYPERLINK("../../3.KEGG_map/SCI_III-vs-NC-Down/rno04722.html","rno04722")</f>
        <v>rno04722</v>
      </c>
    </row>
    <row r="134" spans="1:13" x14ac:dyDescent="0.25">
      <c r="A134" t="s">
        <v>566</v>
      </c>
      <c r="B134" t="s">
        <v>567</v>
      </c>
      <c r="C134" t="s">
        <v>281</v>
      </c>
      <c r="D134" t="s">
        <v>558</v>
      </c>
      <c r="E134">
        <v>10</v>
      </c>
      <c r="F134">
        <v>228</v>
      </c>
      <c r="G134">
        <v>54</v>
      </c>
      <c r="H134">
        <v>2681</v>
      </c>
      <c r="I134">
        <v>1.37348610768069E-2</v>
      </c>
      <c r="J134">
        <v>0.136044764400826</v>
      </c>
      <c r="K134">
        <v>2.17755035737492</v>
      </c>
      <c r="L134" t="s">
        <v>1895</v>
      </c>
      <c r="M134" t="str">
        <f>HYPERLINK("../../3.KEGG_map/SCI_III-vs-NC-Down/rno04723.html","rno04723")</f>
        <v>rno04723</v>
      </c>
    </row>
    <row r="135" spans="1:13" x14ac:dyDescent="0.25">
      <c r="A135" t="s">
        <v>569</v>
      </c>
      <c r="B135" t="s">
        <v>570</v>
      </c>
      <c r="C135" t="s">
        <v>281</v>
      </c>
      <c r="D135" t="s">
        <v>558</v>
      </c>
      <c r="E135">
        <v>14</v>
      </c>
      <c r="F135">
        <v>228</v>
      </c>
      <c r="G135">
        <v>77</v>
      </c>
      <c r="H135">
        <v>2681</v>
      </c>
      <c r="I135">
        <v>4.5128675454375001E-3</v>
      </c>
      <c r="J135">
        <v>0.119340275090458</v>
      </c>
      <c r="K135">
        <v>2.1379585326953698</v>
      </c>
      <c r="L135" t="s">
        <v>1896</v>
      </c>
      <c r="M135" t="str">
        <f>HYPERLINK("../../3.KEGG_map/SCI_III-vs-NC-Down/rno04724.html","rno04724")</f>
        <v>rno04724</v>
      </c>
    </row>
    <row r="136" spans="1:13" x14ac:dyDescent="0.25">
      <c r="A136" t="s">
        <v>572</v>
      </c>
      <c r="B136" t="s">
        <v>573</v>
      </c>
      <c r="C136" t="s">
        <v>281</v>
      </c>
      <c r="D136" t="s">
        <v>558</v>
      </c>
      <c r="E136">
        <v>11</v>
      </c>
      <c r="F136">
        <v>228</v>
      </c>
      <c r="G136">
        <v>61</v>
      </c>
      <c r="H136">
        <v>2681</v>
      </c>
      <c r="I136">
        <v>1.21203955773132E-2</v>
      </c>
      <c r="J136">
        <v>0.136044764400826</v>
      </c>
      <c r="K136">
        <v>2.1204342824273801</v>
      </c>
      <c r="L136" t="s">
        <v>1897</v>
      </c>
      <c r="M136" t="str">
        <f>HYPERLINK("../../3.KEGG_map/SCI_III-vs-NC-Down/rno04725.html","rno04725")</f>
        <v>rno04725</v>
      </c>
    </row>
    <row r="137" spans="1:13" x14ac:dyDescent="0.25">
      <c r="A137" t="s">
        <v>575</v>
      </c>
      <c r="B137" t="s">
        <v>576</v>
      </c>
      <c r="C137" t="s">
        <v>281</v>
      </c>
      <c r="D137" t="s">
        <v>558</v>
      </c>
      <c r="E137">
        <v>10</v>
      </c>
      <c r="F137">
        <v>228</v>
      </c>
      <c r="G137">
        <v>59</v>
      </c>
      <c r="H137">
        <v>2681</v>
      </c>
      <c r="I137">
        <v>2.47819426356688E-2</v>
      </c>
      <c r="J137">
        <v>0.18731993262890501</v>
      </c>
      <c r="K137">
        <v>1.99301219149569</v>
      </c>
      <c r="L137" t="s">
        <v>1898</v>
      </c>
      <c r="M137" t="str">
        <f>HYPERLINK("../../3.KEGG_map/SCI_III-vs-NC-Down/rno04726.html","rno04726")</f>
        <v>rno04726</v>
      </c>
    </row>
    <row r="138" spans="1:13" x14ac:dyDescent="0.25">
      <c r="A138" t="s">
        <v>578</v>
      </c>
      <c r="B138" t="s">
        <v>579</v>
      </c>
      <c r="C138" t="s">
        <v>281</v>
      </c>
      <c r="D138" t="s">
        <v>558</v>
      </c>
      <c r="E138">
        <v>9</v>
      </c>
      <c r="F138">
        <v>228</v>
      </c>
      <c r="G138">
        <v>35</v>
      </c>
      <c r="H138">
        <v>2681</v>
      </c>
      <c r="I138">
        <v>1.9635561428551101E-3</v>
      </c>
      <c r="J138">
        <v>9.3465272399903099E-2</v>
      </c>
      <c r="K138">
        <v>3.0236842105263202</v>
      </c>
      <c r="L138" t="s">
        <v>1899</v>
      </c>
      <c r="M138" t="str">
        <f>HYPERLINK("../../3.KEGG_map/SCI_III-vs-NC-Down/rno04727.html","rno04727")</f>
        <v>rno04727</v>
      </c>
    </row>
    <row r="139" spans="1:13" x14ac:dyDescent="0.25">
      <c r="A139" t="s">
        <v>581</v>
      </c>
      <c r="B139" t="s">
        <v>582</v>
      </c>
      <c r="C139" t="s">
        <v>281</v>
      </c>
      <c r="D139" t="s">
        <v>558</v>
      </c>
      <c r="E139">
        <v>13</v>
      </c>
      <c r="F139">
        <v>228</v>
      </c>
      <c r="G139">
        <v>85</v>
      </c>
      <c r="H139">
        <v>2681</v>
      </c>
      <c r="I139">
        <v>2.51858732946427E-2</v>
      </c>
      <c r="J139">
        <v>0.18731993262890501</v>
      </c>
      <c r="K139">
        <v>1.7984004127966999</v>
      </c>
      <c r="L139" t="s">
        <v>1900</v>
      </c>
      <c r="M139" t="str">
        <f>HYPERLINK("../../3.KEGG_map/SCI_III-vs-NC-Down/rno04728.html","rno04728")</f>
        <v>rno04728</v>
      </c>
    </row>
    <row r="140" spans="1:13" x14ac:dyDescent="0.25">
      <c r="A140" t="s">
        <v>584</v>
      </c>
      <c r="B140" t="s">
        <v>585</v>
      </c>
      <c r="C140" t="s">
        <v>281</v>
      </c>
      <c r="D140" t="s">
        <v>558</v>
      </c>
      <c r="E140">
        <v>5</v>
      </c>
      <c r="F140">
        <v>228</v>
      </c>
      <c r="G140">
        <v>48</v>
      </c>
      <c r="H140">
        <v>2681</v>
      </c>
      <c r="I140">
        <v>0.38778210342490399</v>
      </c>
      <c r="J140">
        <v>0.64539958472116998</v>
      </c>
      <c r="K140">
        <v>1.22487207602339</v>
      </c>
      <c r="L140" t="s">
        <v>1901</v>
      </c>
      <c r="M140" t="str">
        <f>HYPERLINK("../../3.KEGG_map/SCI_III-vs-NC-Down/rno04730.html","rno04730")</f>
        <v>rno04730</v>
      </c>
    </row>
    <row r="141" spans="1:13" x14ac:dyDescent="0.25">
      <c r="A141" t="s">
        <v>587</v>
      </c>
      <c r="B141" t="s">
        <v>588</v>
      </c>
      <c r="C141" t="s">
        <v>281</v>
      </c>
      <c r="D141" t="s">
        <v>589</v>
      </c>
      <c r="E141">
        <v>3</v>
      </c>
      <c r="F141">
        <v>228</v>
      </c>
      <c r="G141">
        <v>20</v>
      </c>
      <c r="H141">
        <v>2681</v>
      </c>
      <c r="I141">
        <v>0.23881368946114701</v>
      </c>
      <c r="J141">
        <v>0.52742722736119096</v>
      </c>
      <c r="K141">
        <v>1.7638157894736799</v>
      </c>
      <c r="L141" t="s">
        <v>1527</v>
      </c>
      <c r="M141" t="str">
        <f>HYPERLINK("../../3.KEGG_map/SCI_III-vs-NC-Down/rno04740.html","rno04740")</f>
        <v>rno04740</v>
      </c>
    </row>
    <row r="142" spans="1:13" x14ac:dyDescent="0.25">
      <c r="A142" t="s">
        <v>591</v>
      </c>
      <c r="B142" t="s">
        <v>592</v>
      </c>
      <c r="C142" t="s">
        <v>281</v>
      </c>
      <c r="D142" t="s">
        <v>589</v>
      </c>
      <c r="E142">
        <v>2</v>
      </c>
      <c r="F142">
        <v>228</v>
      </c>
      <c r="G142">
        <v>8</v>
      </c>
      <c r="H142">
        <v>2681</v>
      </c>
      <c r="I142">
        <v>0.14344572140230399</v>
      </c>
      <c r="J142">
        <v>0.39921687997922201</v>
      </c>
      <c r="K142">
        <v>2.93969298245614</v>
      </c>
      <c r="L142" t="s">
        <v>1700</v>
      </c>
      <c r="M142" t="str">
        <f>HYPERLINK("../../3.KEGG_map/SCI_III-vs-NC-Down/rno04742.html","rno04742")</f>
        <v>rno04742</v>
      </c>
    </row>
    <row r="143" spans="1:13" x14ac:dyDescent="0.25">
      <c r="A143" t="s">
        <v>594</v>
      </c>
      <c r="B143" t="s">
        <v>595</v>
      </c>
      <c r="C143" t="s">
        <v>281</v>
      </c>
      <c r="D143" t="s">
        <v>589</v>
      </c>
      <c r="E143">
        <v>10</v>
      </c>
      <c r="F143">
        <v>228</v>
      </c>
      <c r="G143">
        <v>52</v>
      </c>
      <c r="H143">
        <v>2681</v>
      </c>
      <c r="I143">
        <v>1.05544546118157E-2</v>
      </c>
      <c r="J143">
        <v>0.136044764400826</v>
      </c>
      <c r="K143">
        <v>2.26130229419703</v>
      </c>
      <c r="L143" t="s">
        <v>1902</v>
      </c>
      <c r="M143" t="str">
        <f>HYPERLINK("../../3.KEGG_map/SCI_III-vs-NC-Down/rno04750.html","rno04750")</f>
        <v>rno04750</v>
      </c>
    </row>
    <row r="144" spans="1:13" x14ac:dyDescent="0.25">
      <c r="A144" t="s">
        <v>597</v>
      </c>
      <c r="B144" t="s">
        <v>598</v>
      </c>
      <c r="C144" t="s">
        <v>355</v>
      </c>
      <c r="D144" t="s">
        <v>599</v>
      </c>
      <c r="E144">
        <v>17</v>
      </c>
      <c r="F144">
        <v>228</v>
      </c>
      <c r="G144">
        <v>174</v>
      </c>
      <c r="H144">
        <v>2681</v>
      </c>
      <c r="I144">
        <v>0.30700382576332802</v>
      </c>
      <c r="J144">
        <v>0.570835238528688</v>
      </c>
      <c r="K144">
        <v>1.14884553337366</v>
      </c>
      <c r="L144" t="s">
        <v>1903</v>
      </c>
      <c r="M144" t="str">
        <f>HYPERLINK("../../3.KEGG_map/SCI_III-vs-NC-Down/rno04810.html","rno04810")</f>
        <v>rno04810</v>
      </c>
    </row>
    <row r="145" spans="1:13" x14ac:dyDescent="0.25">
      <c r="A145" t="s">
        <v>601</v>
      </c>
      <c r="B145" t="s">
        <v>602</v>
      </c>
      <c r="C145" t="s">
        <v>281</v>
      </c>
      <c r="D145" t="s">
        <v>282</v>
      </c>
      <c r="E145">
        <v>10</v>
      </c>
      <c r="F145">
        <v>228</v>
      </c>
      <c r="G145">
        <v>100</v>
      </c>
      <c r="H145">
        <v>2681</v>
      </c>
      <c r="I145">
        <v>0.34304648484364197</v>
      </c>
      <c r="J145">
        <v>0.60545866499377898</v>
      </c>
      <c r="K145">
        <v>1.1758771929824601</v>
      </c>
      <c r="L145" t="s">
        <v>1904</v>
      </c>
      <c r="M145" t="str">
        <f>HYPERLINK("../../3.KEGG_map/SCI_III-vs-NC-Down/rno04910.html","rno04910")</f>
        <v>rno04910</v>
      </c>
    </row>
    <row r="146" spans="1:13" x14ac:dyDescent="0.25">
      <c r="A146" t="s">
        <v>604</v>
      </c>
      <c r="B146" t="s">
        <v>605</v>
      </c>
      <c r="C146" t="s">
        <v>281</v>
      </c>
      <c r="D146" t="s">
        <v>282</v>
      </c>
      <c r="E146">
        <v>9</v>
      </c>
      <c r="F146">
        <v>228</v>
      </c>
      <c r="G146">
        <v>56</v>
      </c>
      <c r="H146">
        <v>2681</v>
      </c>
      <c r="I146">
        <v>4.3959290584836899E-2</v>
      </c>
      <c r="J146">
        <v>0.27149875780636801</v>
      </c>
      <c r="K146">
        <v>1.88980263157895</v>
      </c>
      <c r="L146" t="s">
        <v>1905</v>
      </c>
      <c r="M146" t="str">
        <f>HYPERLINK("../../3.KEGG_map/SCI_III-vs-NC-Down/rno04911.html","rno04911")</f>
        <v>rno04911</v>
      </c>
    </row>
    <row r="147" spans="1:13" x14ac:dyDescent="0.25">
      <c r="A147" t="s">
        <v>607</v>
      </c>
      <c r="B147" t="s">
        <v>608</v>
      </c>
      <c r="C147" t="s">
        <v>281</v>
      </c>
      <c r="D147" t="s">
        <v>282</v>
      </c>
      <c r="E147">
        <v>14</v>
      </c>
      <c r="F147">
        <v>228</v>
      </c>
      <c r="G147">
        <v>83</v>
      </c>
      <c r="H147">
        <v>2681</v>
      </c>
      <c r="I147">
        <v>8.9561605367099294E-3</v>
      </c>
      <c r="J147">
        <v>0.136044764400826</v>
      </c>
      <c r="K147">
        <v>1.9834073134643799</v>
      </c>
      <c r="L147" t="s">
        <v>1906</v>
      </c>
      <c r="M147" t="str">
        <f>HYPERLINK("../../3.KEGG_map/SCI_III-vs-NC-Down/rno04912.html","rno04912")</f>
        <v>rno04912</v>
      </c>
    </row>
    <row r="148" spans="1:13" x14ac:dyDescent="0.25">
      <c r="A148" t="s">
        <v>610</v>
      </c>
      <c r="B148" t="s">
        <v>611</v>
      </c>
      <c r="C148" t="s">
        <v>281</v>
      </c>
      <c r="D148" t="s">
        <v>282</v>
      </c>
      <c r="E148">
        <v>6</v>
      </c>
      <c r="F148">
        <v>228</v>
      </c>
      <c r="G148">
        <v>19</v>
      </c>
      <c r="H148">
        <v>2681</v>
      </c>
      <c r="I148">
        <v>3.7313587713608699E-3</v>
      </c>
      <c r="J148">
        <v>0.119340275090458</v>
      </c>
      <c r="K148">
        <v>3.7132963988919698</v>
      </c>
      <c r="L148" t="s">
        <v>1907</v>
      </c>
      <c r="M148" t="str">
        <f>HYPERLINK("../../3.KEGG_map/SCI_III-vs-NC-Down/rno04913.html","rno04913")</f>
        <v>rno04913</v>
      </c>
    </row>
    <row r="149" spans="1:13" x14ac:dyDescent="0.25">
      <c r="A149" t="s">
        <v>613</v>
      </c>
      <c r="B149" t="s">
        <v>614</v>
      </c>
      <c r="C149" t="s">
        <v>281</v>
      </c>
      <c r="D149" t="s">
        <v>282</v>
      </c>
      <c r="E149">
        <v>11</v>
      </c>
      <c r="F149">
        <v>228</v>
      </c>
      <c r="G149">
        <v>59</v>
      </c>
      <c r="H149">
        <v>2681</v>
      </c>
      <c r="I149">
        <v>9.4410566116076306E-3</v>
      </c>
      <c r="J149">
        <v>0.136044764400826</v>
      </c>
      <c r="K149">
        <v>2.19231341064526</v>
      </c>
      <c r="L149" t="s">
        <v>1908</v>
      </c>
      <c r="M149" t="str">
        <f>HYPERLINK("../../3.KEGG_map/SCI_III-vs-NC-Down/rno04914.html","rno04914")</f>
        <v>rno04914</v>
      </c>
    </row>
    <row r="150" spans="1:13" x14ac:dyDescent="0.25">
      <c r="A150" t="s">
        <v>616</v>
      </c>
      <c r="B150" t="s">
        <v>617</v>
      </c>
      <c r="C150" t="s">
        <v>281</v>
      </c>
      <c r="D150" t="s">
        <v>282</v>
      </c>
      <c r="E150">
        <v>9</v>
      </c>
      <c r="F150">
        <v>228</v>
      </c>
      <c r="G150">
        <v>67</v>
      </c>
      <c r="H150">
        <v>2681</v>
      </c>
      <c r="I150">
        <v>0.11086729766226</v>
      </c>
      <c r="J150">
        <v>0.37694881205168501</v>
      </c>
      <c r="K150">
        <v>1.57953652788688</v>
      </c>
      <c r="L150" t="s">
        <v>1909</v>
      </c>
      <c r="M150" t="str">
        <f>HYPERLINK("../../3.KEGG_map/SCI_III-vs-NC-Down/rno04915.html","rno04915")</f>
        <v>rno04915</v>
      </c>
    </row>
    <row r="151" spans="1:13" x14ac:dyDescent="0.25">
      <c r="A151" t="s">
        <v>619</v>
      </c>
      <c r="B151" t="s">
        <v>620</v>
      </c>
      <c r="C151" t="s">
        <v>281</v>
      </c>
      <c r="D151" t="s">
        <v>282</v>
      </c>
      <c r="E151">
        <v>7</v>
      </c>
      <c r="F151">
        <v>228</v>
      </c>
      <c r="G151">
        <v>48</v>
      </c>
      <c r="H151">
        <v>2681</v>
      </c>
      <c r="I151">
        <v>0.108081114285001</v>
      </c>
      <c r="J151">
        <v>0.37694881205168501</v>
      </c>
      <c r="K151">
        <v>1.71482090643275</v>
      </c>
      <c r="L151" t="s">
        <v>1910</v>
      </c>
      <c r="M151" t="str">
        <f>HYPERLINK("../../3.KEGG_map/SCI_III-vs-NC-Down/rno04916.html","rno04916")</f>
        <v>rno04916</v>
      </c>
    </row>
    <row r="152" spans="1:13" x14ac:dyDescent="0.25">
      <c r="A152" t="s">
        <v>622</v>
      </c>
      <c r="B152" t="s">
        <v>623</v>
      </c>
      <c r="C152" t="s">
        <v>281</v>
      </c>
      <c r="D152" t="s">
        <v>282</v>
      </c>
      <c r="E152">
        <v>6</v>
      </c>
      <c r="F152">
        <v>228</v>
      </c>
      <c r="G152">
        <v>33</v>
      </c>
      <c r="H152">
        <v>2681</v>
      </c>
      <c r="I152">
        <v>5.5978922487174801E-2</v>
      </c>
      <c r="J152">
        <v>0.291013834932836</v>
      </c>
      <c r="K152">
        <v>2.1379585326953698</v>
      </c>
      <c r="L152" t="s">
        <v>1911</v>
      </c>
      <c r="M152" t="str">
        <f>HYPERLINK("../../3.KEGG_map/SCI_III-vs-NC-Down/rno04917.html","rno04917")</f>
        <v>rno04917</v>
      </c>
    </row>
    <row r="153" spans="1:13" x14ac:dyDescent="0.25">
      <c r="A153" t="s">
        <v>625</v>
      </c>
      <c r="B153" t="s">
        <v>626</v>
      </c>
      <c r="C153" t="s">
        <v>281</v>
      </c>
      <c r="D153" t="s">
        <v>282</v>
      </c>
      <c r="E153">
        <v>8</v>
      </c>
      <c r="F153">
        <v>228</v>
      </c>
      <c r="G153">
        <v>46</v>
      </c>
      <c r="H153">
        <v>2681</v>
      </c>
      <c r="I153">
        <v>3.7218346159318301E-2</v>
      </c>
      <c r="J153">
        <v>0.24605462183104801</v>
      </c>
      <c r="K153">
        <v>2.0450038138825302</v>
      </c>
      <c r="L153" t="s">
        <v>1912</v>
      </c>
      <c r="M153" t="str">
        <f>HYPERLINK("../../3.KEGG_map/SCI_III-vs-NC-Down/rno04918.html","rno04918")</f>
        <v>rno04918</v>
      </c>
    </row>
    <row r="154" spans="1:13" x14ac:dyDescent="0.25">
      <c r="A154" t="s">
        <v>628</v>
      </c>
      <c r="B154" t="s">
        <v>629</v>
      </c>
      <c r="C154" t="s">
        <v>281</v>
      </c>
      <c r="D154" t="s">
        <v>282</v>
      </c>
      <c r="E154">
        <v>6</v>
      </c>
      <c r="F154">
        <v>228</v>
      </c>
      <c r="G154">
        <v>88</v>
      </c>
      <c r="H154">
        <v>2681</v>
      </c>
      <c r="I154">
        <v>0.77338066131509897</v>
      </c>
      <c r="J154">
        <v>0.86415303940372601</v>
      </c>
      <c r="K154">
        <v>0.80173444976076602</v>
      </c>
      <c r="L154" t="s">
        <v>1913</v>
      </c>
      <c r="M154" t="str">
        <f>HYPERLINK("../../3.KEGG_map/SCI_III-vs-NC-Down/rno04919.html","rno04919")</f>
        <v>rno04919</v>
      </c>
    </row>
    <row r="155" spans="1:13" x14ac:dyDescent="0.25">
      <c r="A155" t="s">
        <v>631</v>
      </c>
      <c r="B155" t="s">
        <v>632</v>
      </c>
      <c r="C155" t="s">
        <v>281</v>
      </c>
      <c r="D155" t="s">
        <v>282</v>
      </c>
      <c r="E155">
        <v>4</v>
      </c>
      <c r="F155">
        <v>228</v>
      </c>
      <c r="G155">
        <v>30</v>
      </c>
      <c r="H155">
        <v>2681</v>
      </c>
      <c r="I155">
        <v>0.24820104816997199</v>
      </c>
      <c r="J155">
        <v>0.52742722736119096</v>
      </c>
      <c r="K155">
        <v>1.56783625730994</v>
      </c>
      <c r="L155" t="s">
        <v>1914</v>
      </c>
      <c r="M155" t="str">
        <f>HYPERLINK("../../3.KEGG_map/SCI_III-vs-NC-Down/rno04920.html","rno04920")</f>
        <v>rno04920</v>
      </c>
    </row>
    <row r="156" spans="1:13" x14ac:dyDescent="0.25">
      <c r="A156" t="s">
        <v>634</v>
      </c>
      <c r="B156" t="s">
        <v>635</v>
      </c>
      <c r="C156" t="s">
        <v>281</v>
      </c>
      <c r="D156" t="s">
        <v>282</v>
      </c>
      <c r="E156">
        <v>16</v>
      </c>
      <c r="F156">
        <v>228</v>
      </c>
      <c r="G156">
        <v>140</v>
      </c>
      <c r="H156">
        <v>2681</v>
      </c>
      <c r="I156">
        <v>0.13300975808936499</v>
      </c>
      <c r="J156">
        <v>0.39921687997922201</v>
      </c>
      <c r="K156">
        <v>1.3438596491228101</v>
      </c>
      <c r="L156" t="s">
        <v>1915</v>
      </c>
      <c r="M156" t="str">
        <f>HYPERLINK("../../3.KEGG_map/SCI_III-vs-NC-Down/rno04921.html","rno04921")</f>
        <v>rno04921</v>
      </c>
    </row>
    <row r="157" spans="1:13" x14ac:dyDescent="0.25">
      <c r="A157" t="s">
        <v>637</v>
      </c>
      <c r="B157" t="s">
        <v>638</v>
      </c>
      <c r="C157" t="s">
        <v>281</v>
      </c>
      <c r="D157" t="s">
        <v>282</v>
      </c>
      <c r="E157">
        <v>5</v>
      </c>
      <c r="F157">
        <v>228</v>
      </c>
      <c r="G157">
        <v>88</v>
      </c>
      <c r="H157">
        <v>2681</v>
      </c>
      <c r="I157">
        <v>0.88199576624923004</v>
      </c>
      <c r="J157">
        <v>0.91665935531579401</v>
      </c>
      <c r="K157">
        <v>0.66811204146730496</v>
      </c>
      <c r="L157" t="s">
        <v>1916</v>
      </c>
      <c r="M157" t="str">
        <f>HYPERLINK("../../3.KEGG_map/SCI_III-vs-NC-Down/rno04922.html","rno04922")</f>
        <v>rno04922</v>
      </c>
    </row>
    <row r="158" spans="1:13" x14ac:dyDescent="0.25">
      <c r="A158" t="s">
        <v>640</v>
      </c>
      <c r="B158" t="s">
        <v>641</v>
      </c>
      <c r="C158" t="s">
        <v>281</v>
      </c>
      <c r="D158" t="s">
        <v>282</v>
      </c>
      <c r="E158">
        <v>7</v>
      </c>
      <c r="F158">
        <v>228</v>
      </c>
      <c r="G158">
        <v>35</v>
      </c>
      <c r="H158">
        <v>2681</v>
      </c>
      <c r="I158">
        <v>2.5072388702182698E-2</v>
      </c>
      <c r="J158">
        <v>0.18731993262890501</v>
      </c>
      <c r="K158">
        <v>2.3517543859649099</v>
      </c>
      <c r="L158" t="s">
        <v>1851</v>
      </c>
      <c r="M158" t="str">
        <f>HYPERLINK("../../3.KEGG_map/SCI_III-vs-NC-Down/rno04923.html","rno04923")</f>
        <v>rno04923</v>
      </c>
    </row>
    <row r="159" spans="1:13" x14ac:dyDescent="0.25">
      <c r="A159" t="s">
        <v>643</v>
      </c>
      <c r="B159" t="s">
        <v>644</v>
      </c>
      <c r="C159" t="s">
        <v>281</v>
      </c>
      <c r="D159" t="s">
        <v>282</v>
      </c>
      <c r="E159">
        <v>5</v>
      </c>
      <c r="F159">
        <v>228</v>
      </c>
      <c r="G159">
        <v>65</v>
      </c>
      <c r="H159">
        <v>2681</v>
      </c>
      <c r="I159">
        <v>0.660179620994779</v>
      </c>
      <c r="J159">
        <v>0.79636736329369395</v>
      </c>
      <c r="K159">
        <v>0.90452091767881204</v>
      </c>
      <c r="L159" t="s">
        <v>1917</v>
      </c>
      <c r="M159" t="str">
        <f>HYPERLINK("../../3.KEGG_map/SCI_III-vs-NC-Down/rno04924.html","rno04924")</f>
        <v>rno04924</v>
      </c>
    </row>
    <row r="160" spans="1:13" x14ac:dyDescent="0.25">
      <c r="A160" t="s">
        <v>646</v>
      </c>
      <c r="B160" t="s">
        <v>647</v>
      </c>
      <c r="C160" t="s">
        <v>281</v>
      </c>
      <c r="D160" t="s">
        <v>282</v>
      </c>
      <c r="E160">
        <v>11</v>
      </c>
      <c r="F160">
        <v>228</v>
      </c>
      <c r="G160">
        <v>62</v>
      </c>
      <c r="H160">
        <v>2681</v>
      </c>
      <c r="I160">
        <v>1.3660446482750201E-2</v>
      </c>
      <c r="J160">
        <v>0.136044764400826</v>
      </c>
      <c r="K160">
        <v>2.086233729485</v>
      </c>
      <c r="L160" t="s">
        <v>1918</v>
      </c>
      <c r="M160" t="str">
        <f>HYPERLINK("../../3.KEGG_map/SCI_III-vs-NC-Down/rno04925.html","rno04925")</f>
        <v>rno04925</v>
      </c>
    </row>
    <row r="161" spans="1:13" x14ac:dyDescent="0.25">
      <c r="A161" t="s">
        <v>649</v>
      </c>
      <c r="B161" t="s">
        <v>650</v>
      </c>
      <c r="C161" t="s">
        <v>281</v>
      </c>
      <c r="D161" t="s">
        <v>282</v>
      </c>
      <c r="E161">
        <v>16</v>
      </c>
      <c r="F161">
        <v>228</v>
      </c>
      <c r="G161">
        <v>104</v>
      </c>
      <c r="H161">
        <v>2681</v>
      </c>
      <c r="I161">
        <v>1.2977885763122201E-2</v>
      </c>
      <c r="J161">
        <v>0.136044764400826</v>
      </c>
      <c r="K161">
        <v>1.8090418353576201</v>
      </c>
      <c r="L161" t="s">
        <v>1919</v>
      </c>
      <c r="M161" t="str">
        <f>HYPERLINK("../../3.KEGG_map/SCI_III-vs-NC-Down/rno04926.html","rno04926")</f>
        <v>rno04926</v>
      </c>
    </row>
    <row r="162" spans="1:13" x14ac:dyDescent="0.25">
      <c r="A162" t="s">
        <v>652</v>
      </c>
      <c r="B162" t="s">
        <v>653</v>
      </c>
      <c r="C162" t="s">
        <v>281</v>
      </c>
      <c r="D162" t="s">
        <v>282</v>
      </c>
      <c r="E162">
        <v>7</v>
      </c>
      <c r="F162">
        <v>228</v>
      </c>
      <c r="G162">
        <v>49</v>
      </c>
      <c r="H162">
        <v>2681</v>
      </c>
      <c r="I162">
        <v>0.117481898303577</v>
      </c>
      <c r="J162">
        <v>0.387683376867615</v>
      </c>
      <c r="K162">
        <v>1.6798245614035101</v>
      </c>
      <c r="L162" t="s">
        <v>1920</v>
      </c>
      <c r="M162" t="str">
        <f>HYPERLINK("../../3.KEGG_map/SCI_III-vs-NC-Down/rno04927.html","rno04927")</f>
        <v>rno04927</v>
      </c>
    </row>
    <row r="163" spans="1:13" x14ac:dyDescent="0.25">
      <c r="A163" t="s">
        <v>655</v>
      </c>
      <c r="B163" t="s">
        <v>656</v>
      </c>
      <c r="C163" t="s">
        <v>235</v>
      </c>
      <c r="D163" t="s">
        <v>657</v>
      </c>
      <c r="E163">
        <v>2</v>
      </c>
      <c r="F163">
        <v>228</v>
      </c>
      <c r="G163">
        <v>18</v>
      </c>
      <c r="H163">
        <v>2681</v>
      </c>
      <c r="I163">
        <v>0.46073841069546301</v>
      </c>
      <c r="J163">
        <v>0.67950790212197398</v>
      </c>
      <c r="K163">
        <v>1.30653021442495</v>
      </c>
      <c r="L163" t="s">
        <v>1700</v>
      </c>
      <c r="M163" t="str">
        <f>HYPERLINK("../../3.KEGG_map/SCI_III-vs-NC-Down/rno04930.html","rno04930")</f>
        <v>rno04930</v>
      </c>
    </row>
    <row r="164" spans="1:13" x14ac:dyDescent="0.25">
      <c r="A164" t="s">
        <v>659</v>
      </c>
      <c r="B164" t="s">
        <v>660</v>
      </c>
      <c r="C164" t="s">
        <v>235</v>
      </c>
      <c r="D164" t="s">
        <v>657</v>
      </c>
      <c r="E164">
        <v>5</v>
      </c>
      <c r="F164">
        <v>228</v>
      </c>
      <c r="G164">
        <v>51</v>
      </c>
      <c r="H164">
        <v>2681</v>
      </c>
      <c r="I164">
        <v>0.44005984471809301</v>
      </c>
      <c r="J164">
        <v>0.67950790212197398</v>
      </c>
      <c r="K164">
        <v>1.15282077743378</v>
      </c>
      <c r="L164" t="s">
        <v>1921</v>
      </c>
      <c r="M164" t="str">
        <f>HYPERLINK("../../3.KEGG_map/SCI_III-vs-NC-Down/rno04931.html","rno04931")</f>
        <v>rno04931</v>
      </c>
    </row>
    <row r="165" spans="1:13" x14ac:dyDescent="0.25">
      <c r="A165" t="s">
        <v>662</v>
      </c>
      <c r="B165" t="s">
        <v>663</v>
      </c>
      <c r="C165" t="s">
        <v>235</v>
      </c>
      <c r="D165" t="s">
        <v>657</v>
      </c>
      <c r="E165">
        <v>8</v>
      </c>
      <c r="F165">
        <v>228</v>
      </c>
      <c r="G165">
        <v>59</v>
      </c>
      <c r="H165">
        <v>2681</v>
      </c>
      <c r="I165">
        <v>0.123381199351948</v>
      </c>
      <c r="J165">
        <v>0.39152967261018201</v>
      </c>
      <c r="K165">
        <v>1.59440975319655</v>
      </c>
      <c r="L165" t="s">
        <v>1922</v>
      </c>
      <c r="M165" t="str">
        <f>HYPERLINK("../../3.KEGG_map/SCI_III-vs-NC-Down/rno04932.html","rno04932")</f>
        <v>rno04932</v>
      </c>
    </row>
    <row r="166" spans="1:13" x14ac:dyDescent="0.25">
      <c r="A166" t="s">
        <v>665</v>
      </c>
      <c r="B166" t="s">
        <v>666</v>
      </c>
      <c r="C166" t="s">
        <v>235</v>
      </c>
      <c r="D166" t="s">
        <v>657</v>
      </c>
      <c r="E166">
        <v>10</v>
      </c>
      <c r="F166">
        <v>228</v>
      </c>
      <c r="G166">
        <v>94</v>
      </c>
      <c r="H166">
        <v>2681</v>
      </c>
      <c r="I166">
        <v>0.274361188734562</v>
      </c>
      <c r="J166">
        <v>0.53965258610599898</v>
      </c>
      <c r="K166">
        <v>1.25093318402389</v>
      </c>
      <c r="L166" t="s">
        <v>1923</v>
      </c>
      <c r="M166" t="str">
        <f>HYPERLINK("../../3.KEGG_map/SCI_III-vs-NC-Down/rno04933.html","rno04933")</f>
        <v>rno04933</v>
      </c>
    </row>
    <row r="167" spans="1:13" x14ac:dyDescent="0.25">
      <c r="A167" t="s">
        <v>668</v>
      </c>
      <c r="B167" t="s">
        <v>669</v>
      </c>
      <c r="C167" t="s">
        <v>235</v>
      </c>
      <c r="D167" t="s">
        <v>657</v>
      </c>
      <c r="E167">
        <v>10</v>
      </c>
      <c r="F167">
        <v>228</v>
      </c>
      <c r="G167">
        <v>79</v>
      </c>
      <c r="H167">
        <v>2681</v>
      </c>
      <c r="I167">
        <v>0.12929747517574799</v>
      </c>
      <c r="J167">
        <v>0.39921687997922201</v>
      </c>
      <c r="K167">
        <v>1.48845214301577</v>
      </c>
      <c r="L167" t="s">
        <v>1924</v>
      </c>
      <c r="M167" t="str">
        <f>HYPERLINK("../../3.KEGG_map/SCI_III-vs-NC-Down/rno04934.html","rno04934")</f>
        <v>rno04934</v>
      </c>
    </row>
    <row r="168" spans="1:13" x14ac:dyDescent="0.25">
      <c r="A168" t="s">
        <v>671</v>
      </c>
      <c r="B168" t="s">
        <v>672</v>
      </c>
      <c r="C168" t="s">
        <v>235</v>
      </c>
      <c r="D168" t="s">
        <v>657</v>
      </c>
      <c r="E168">
        <v>1</v>
      </c>
      <c r="F168">
        <v>228</v>
      </c>
      <c r="G168">
        <v>15</v>
      </c>
      <c r="H168">
        <v>2681</v>
      </c>
      <c r="I168">
        <v>0.73732176622255197</v>
      </c>
      <c r="J168">
        <v>0.847741934110954</v>
      </c>
      <c r="K168">
        <v>0.78391812865497101</v>
      </c>
      <c r="L168" t="s">
        <v>1463</v>
      </c>
      <c r="M168" t="str">
        <f>HYPERLINK("../../3.KEGG_map/SCI_III-vs-NC-Down/rno04940.html","rno04940")</f>
        <v>rno04940</v>
      </c>
    </row>
    <row r="169" spans="1:13" x14ac:dyDescent="0.25">
      <c r="A169" t="s">
        <v>674</v>
      </c>
      <c r="B169" t="s">
        <v>675</v>
      </c>
      <c r="C169" t="s">
        <v>281</v>
      </c>
      <c r="D169" t="s">
        <v>676</v>
      </c>
      <c r="E169">
        <v>4</v>
      </c>
      <c r="F169">
        <v>228</v>
      </c>
      <c r="G169">
        <v>23</v>
      </c>
      <c r="H169">
        <v>2681</v>
      </c>
      <c r="I169">
        <v>0.12569598294977899</v>
      </c>
      <c r="J169">
        <v>0.393626893974309</v>
      </c>
      <c r="K169">
        <v>2.0450038138825302</v>
      </c>
      <c r="L169" t="s">
        <v>1925</v>
      </c>
      <c r="M169" t="str">
        <f>HYPERLINK("../../3.KEGG_map/SCI_III-vs-NC-Down/rno04960.html","rno04960")</f>
        <v>rno04960</v>
      </c>
    </row>
    <row r="170" spans="1:13" x14ac:dyDescent="0.25">
      <c r="A170" t="s">
        <v>678</v>
      </c>
      <c r="B170" t="s">
        <v>679</v>
      </c>
      <c r="C170" t="s">
        <v>281</v>
      </c>
      <c r="D170" t="s">
        <v>676</v>
      </c>
      <c r="E170">
        <v>8</v>
      </c>
      <c r="F170">
        <v>228</v>
      </c>
      <c r="G170">
        <v>39</v>
      </c>
      <c r="H170">
        <v>2681</v>
      </c>
      <c r="I170">
        <v>1.4679197870530999E-2</v>
      </c>
      <c r="J170">
        <v>0.136044764400826</v>
      </c>
      <c r="K170">
        <v>2.4120557804768299</v>
      </c>
      <c r="L170" t="s">
        <v>1926</v>
      </c>
      <c r="M170" t="str">
        <f>HYPERLINK("../../3.KEGG_map/SCI_III-vs-NC-Down/rno04961.html","rno04961")</f>
        <v>rno04961</v>
      </c>
    </row>
    <row r="171" spans="1:13" x14ac:dyDescent="0.25">
      <c r="A171" t="s">
        <v>684</v>
      </c>
      <c r="B171" t="s">
        <v>685</v>
      </c>
      <c r="C171" t="s">
        <v>281</v>
      </c>
      <c r="D171" t="s">
        <v>676</v>
      </c>
      <c r="E171">
        <v>2</v>
      </c>
      <c r="F171">
        <v>228</v>
      </c>
      <c r="G171">
        <v>10</v>
      </c>
      <c r="H171">
        <v>2681</v>
      </c>
      <c r="I171">
        <v>0.20651849880456799</v>
      </c>
      <c r="J171">
        <v>0.50154492566823705</v>
      </c>
      <c r="K171">
        <v>2.3517543859649099</v>
      </c>
      <c r="L171" t="s">
        <v>1927</v>
      </c>
      <c r="M171" t="str">
        <f>HYPERLINK("../../3.KEGG_map/SCI_III-vs-NC-Down/rno04964.html","rno04964")</f>
        <v>rno04964</v>
      </c>
    </row>
    <row r="172" spans="1:13" x14ac:dyDescent="0.25">
      <c r="A172" t="s">
        <v>690</v>
      </c>
      <c r="B172" t="s">
        <v>691</v>
      </c>
      <c r="C172" t="s">
        <v>281</v>
      </c>
      <c r="D172" t="s">
        <v>692</v>
      </c>
      <c r="E172">
        <v>11</v>
      </c>
      <c r="F172">
        <v>228</v>
      </c>
      <c r="G172">
        <v>67</v>
      </c>
      <c r="H172">
        <v>2681</v>
      </c>
      <c r="I172">
        <v>2.3675835723971299E-2</v>
      </c>
      <c r="J172">
        <v>0.18731993262890501</v>
      </c>
      <c r="K172">
        <v>1.9305446451950801</v>
      </c>
      <c r="L172" t="s">
        <v>1928</v>
      </c>
      <c r="M172" t="str">
        <f>HYPERLINK("../../3.KEGG_map/SCI_III-vs-NC-Down/rno04970.html","rno04970")</f>
        <v>rno04970</v>
      </c>
    </row>
    <row r="173" spans="1:13" x14ac:dyDescent="0.25">
      <c r="A173" t="s">
        <v>694</v>
      </c>
      <c r="B173" t="s">
        <v>695</v>
      </c>
      <c r="C173" t="s">
        <v>281</v>
      </c>
      <c r="D173" t="s">
        <v>692</v>
      </c>
      <c r="E173">
        <v>8</v>
      </c>
      <c r="F173">
        <v>228</v>
      </c>
      <c r="G173">
        <v>49</v>
      </c>
      <c r="H173">
        <v>2681</v>
      </c>
      <c r="I173">
        <v>5.1676410173547002E-2</v>
      </c>
      <c r="J173">
        <v>0.27952240048418597</v>
      </c>
      <c r="K173">
        <v>1.9197994987468701</v>
      </c>
      <c r="L173" t="s">
        <v>1912</v>
      </c>
      <c r="M173" t="str">
        <f>HYPERLINK("../../3.KEGG_map/SCI_III-vs-NC-Down/rno04971.html","rno04971")</f>
        <v>rno04971</v>
      </c>
    </row>
    <row r="174" spans="1:13" x14ac:dyDescent="0.25">
      <c r="A174" t="s">
        <v>697</v>
      </c>
      <c r="B174" t="s">
        <v>698</v>
      </c>
      <c r="C174" t="s">
        <v>281</v>
      </c>
      <c r="D174" t="s">
        <v>692</v>
      </c>
      <c r="E174">
        <v>10</v>
      </c>
      <c r="F174">
        <v>228</v>
      </c>
      <c r="G174">
        <v>55</v>
      </c>
      <c r="H174">
        <v>2681</v>
      </c>
      <c r="I174">
        <v>1.5571740914473E-2</v>
      </c>
      <c r="J174">
        <v>0.137262012505355</v>
      </c>
      <c r="K174">
        <v>2.1379585326953698</v>
      </c>
      <c r="L174" t="s">
        <v>1929</v>
      </c>
      <c r="M174" t="str">
        <f>HYPERLINK("../../3.KEGG_map/SCI_III-vs-NC-Down/rno04972.html","rno04972")</f>
        <v>rno04972</v>
      </c>
    </row>
    <row r="175" spans="1:13" x14ac:dyDescent="0.25">
      <c r="A175" t="s">
        <v>700</v>
      </c>
      <c r="B175" t="s">
        <v>701</v>
      </c>
      <c r="C175" t="s">
        <v>281</v>
      </c>
      <c r="D175" t="s">
        <v>692</v>
      </c>
      <c r="E175">
        <v>4</v>
      </c>
      <c r="F175">
        <v>228</v>
      </c>
      <c r="G175">
        <v>17</v>
      </c>
      <c r="H175">
        <v>2681</v>
      </c>
      <c r="I175">
        <v>5.0164977865730098E-2</v>
      </c>
      <c r="J175">
        <v>0.27952240048418597</v>
      </c>
      <c r="K175">
        <v>2.76676986584107</v>
      </c>
      <c r="L175" t="s">
        <v>1930</v>
      </c>
      <c r="M175" t="str">
        <f>HYPERLINK("../../3.KEGG_map/SCI_III-vs-NC-Down/rno04973.html","rno04973")</f>
        <v>rno04973</v>
      </c>
    </row>
    <row r="176" spans="1:13" x14ac:dyDescent="0.25">
      <c r="A176" t="s">
        <v>703</v>
      </c>
      <c r="B176" t="s">
        <v>704</v>
      </c>
      <c r="C176" t="s">
        <v>281</v>
      </c>
      <c r="D176" t="s">
        <v>692</v>
      </c>
      <c r="E176">
        <v>7</v>
      </c>
      <c r="F176">
        <v>228</v>
      </c>
      <c r="G176">
        <v>58</v>
      </c>
      <c r="H176">
        <v>2681</v>
      </c>
      <c r="I176">
        <v>0.21905497551592701</v>
      </c>
      <c r="J176">
        <v>0.51115256679017396</v>
      </c>
      <c r="K176">
        <v>1.4191621294615799</v>
      </c>
      <c r="L176" t="s">
        <v>1931</v>
      </c>
      <c r="M176" t="str">
        <f>HYPERLINK("../../3.KEGG_map/SCI_III-vs-NC-Down/rno04974.html","rno04974")</f>
        <v>rno04974</v>
      </c>
    </row>
    <row r="177" spans="1:13" x14ac:dyDescent="0.25">
      <c r="A177" t="s">
        <v>709</v>
      </c>
      <c r="B177" t="s">
        <v>710</v>
      </c>
      <c r="C177" t="s">
        <v>281</v>
      </c>
      <c r="D177" t="s">
        <v>692</v>
      </c>
      <c r="E177">
        <v>8</v>
      </c>
      <c r="F177">
        <v>228</v>
      </c>
      <c r="G177">
        <v>19</v>
      </c>
      <c r="H177">
        <v>2681</v>
      </c>
      <c r="I177" s="1">
        <v>8.02602742120818E-5</v>
      </c>
      <c r="J177">
        <v>1.9101945262475498E-2</v>
      </c>
      <c r="K177">
        <v>4.9510618651892901</v>
      </c>
      <c r="L177" t="s">
        <v>1932</v>
      </c>
      <c r="M177" t="str">
        <f>HYPERLINK("../../3.KEGG_map/SCI_III-vs-NC-Down/rno04976.html","rno04976")</f>
        <v>rno04976</v>
      </c>
    </row>
    <row r="178" spans="1:13" x14ac:dyDescent="0.25">
      <c r="A178" t="s">
        <v>715</v>
      </c>
      <c r="B178" t="s">
        <v>716</v>
      </c>
      <c r="C178" t="s">
        <v>281</v>
      </c>
      <c r="D178" t="s">
        <v>692</v>
      </c>
      <c r="E178">
        <v>4</v>
      </c>
      <c r="F178">
        <v>228</v>
      </c>
      <c r="G178">
        <v>11</v>
      </c>
      <c r="H178">
        <v>2681</v>
      </c>
      <c r="I178">
        <v>1.04165813433476E-2</v>
      </c>
      <c r="J178">
        <v>0.136044764400826</v>
      </c>
      <c r="K178">
        <v>4.2759170653907503</v>
      </c>
      <c r="L178" t="s">
        <v>1735</v>
      </c>
      <c r="M178" t="str">
        <f>HYPERLINK("../../3.KEGG_map/SCI_III-vs-NC-Down/rno04978.html","rno04978")</f>
        <v>rno04978</v>
      </c>
    </row>
    <row r="179" spans="1:13" x14ac:dyDescent="0.25">
      <c r="A179" t="s">
        <v>721</v>
      </c>
      <c r="B179" t="s">
        <v>722</v>
      </c>
      <c r="C179" t="s">
        <v>235</v>
      </c>
      <c r="D179" t="s">
        <v>723</v>
      </c>
      <c r="E179">
        <v>12</v>
      </c>
      <c r="F179">
        <v>228</v>
      </c>
      <c r="G179">
        <v>92</v>
      </c>
      <c r="H179">
        <v>2681</v>
      </c>
      <c r="I179">
        <v>8.6406779502009395E-2</v>
      </c>
      <c r="J179">
        <v>0.360786202131197</v>
      </c>
      <c r="K179">
        <v>1.5337528604119</v>
      </c>
      <c r="L179" t="s">
        <v>1933</v>
      </c>
      <c r="M179" t="str">
        <f>HYPERLINK("../../3.KEGG_map/SCI_III-vs-NC-Down/rno05010.html","rno05010")</f>
        <v>rno05010</v>
      </c>
    </row>
    <row r="180" spans="1:13" x14ac:dyDescent="0.25">
      <c r="A180" t="s">
        <v>725</v>
      </c>
      <c r="B180" t="s">
        <v>726</v>
      </c>
      <c r="C180" t="s">
        <v>235</v>
      </c>
      <c r="D180" t="s">
        <v>723</v>
      </c>
      <c r="E180">
        <v>4</v>
      </c>
      <c r="F180">
        <v>228</v>
      </c>
      <c r="G180">
        <v>20</v>
      </c>
      <c r="H180">
        <v>2681</v>
      </c>
      <c r="I180">
        <v>8.37120044057824E-2</v>
      </c>
      <c r="J180">
        <v>0.360786202131197</v>
      </c>
      <c r="K180">
        <v>2.3517543859649099</v>
      </c>
      <c r="L180" t="s">
        <v>1934</v>
      </c>
      <c r="M180" t="str">
        <f>HYPERLINK("../../3.KEGG_map/SCI_III-vs-NC-Down/rno05012.html","rno05012")</f>
        <v>rno05012</v>
      </c>
    </row>
    <row r="181" spans="1:13" x14ac:dyDescent="0.25">
      <c r="A181" t="s">
        <v>728</v>
      </c>
      <c r="B181" t="s">
        <v>729</v>
      </c>
      <c r="C181" t="s">
        <v>235</v>
      </c>
      <c r="D181" t="s">
        <v>723</v>
      </c>
      <c r="E181">
        <v>4</v>
      </c>
      <c r="F181">
        <v>228</v>
      </c>
      <c r="G181">
        <v>30</v>
      </c>
      <c r="H181">
        <v>2681</v>
      </c>
      <c r="I181">
        <v>0.24820104816997199</v>
      </c>
      <c r="J181">
        <v>0.52742722736119096</v>
      </c>
      <c r="K181">
        <v>1.56783625730994</v>
      </c>
      <c r="L181" t="s">
        <v>1530</v>
      </c>
      <c r="M181" t="str">
        <f>HYPERLINK("../../3.KEGG_map/SCI_III-vs-NC-Down/rno05014.html","rno05014")</f>
        <v>rno05014</v>
      </c>
    </row>
    <row r="182" spans="1:13" x14ac:dyDescent="0.25">
      <c r="A182" t="s">
        <v>731</v>
      </c>
      <c r="B182" t="s">
        <v>732</v>
      </c>
      <c r="C182" t="s">
        <v>235</v>
      </c>
      <c r="D182" t="s">
        <v>723</v>
      </c>
      <c r="E182">
        <v>5</v>
      </c>
      <c r="F182">
        <v>228</v>
      </c>
      <c r="G182">
        <v>61</v>
      </c>
      <c r="H182">
        <v>2681</v>
      </c>
      <c r="I182">
        <v>0.60296152591034902</v>
      </c>
      <c r="J182">
        <v>0.78961558003465404</v>
      </c>
      <c r="K182">
        <v>0.96383376473971805</v>
      </c>
      <c r="L182" t="s">
        <v>1935</v>
      </c>
      <c r="M182" t="str">
        <f>HYPERLINK("../../3.KEGG_map/SCI_III-vs-NC-Down/rno05016.html","rno05016")</f>
        <v>rno05016</v>
      </c>
    </row>
    <row r="183" spans="1:13" x14ac:dyDescent="0.25">
      <c r="A183" t="s">
        <v>737</v>
      </c>
      <c r="B183" t="s">
        <v>738</v>
      </c>
      <c r="C183" t="s">
        <v>235</v>
      </c>
      <c r="D183" t="s">
        <v>739</v>
      </c>
      <c r="E183">
        <v>4</v>
      </c>
      <c r="F183">
        <v>228</v>
      </c>
      <c r="G183">
        <v>15</v>
      </c>
      <c r="H183">
        <v>2681</v>
      </c>
      <c r="I183">
        <v>3.2887099618513799E-2</v>
      </c>
      <c r="J183">
        <v>0.223632277405894</v>
      </c>
      <c r="K183">
        <v>3.1356725146198801</v>
      </c>
      <c r="L183" t="s">
        <v>1936</v>
      </c>
      <c r="M183" t="str">
        <f>HYPERLINK("../../3.KEGG_map/SCI_III-vs-NC-Down/rno05030.html","rno05030")</f>
        <v>rno05030</v>
      </c>
    </row>
    <row r="184" spans="1:13" x14ac:dyDescent="0.25">
      <c r="A184" t="s">
        <v>741</v>
      </c>
      <c r="B184" t="s">
        <v>742</v>
      </c>
      <c r="C184" t="s">
        <v>235</v>
      </c>
      <c r="D184" t="s">
        <v>739</v>
      </c>
      <c r="E184">
        <v>9</v>
      </c>
      <c r="F184">
        <v>228</v>
      </c>
      <c r="G184">
        <v>45</v>
      </c>
      <c r="H184">
        <v>2681</v>
      </c>
      <c r="I184">
        <v>1.1635797950291999E-2</v>
      </c>
      <c r="J184">
        <v>0.136044764400826</v>
      </c>
      <c r="K184">
        <v>2.3517543859649099</v>
      </c>
      <c r="L184" t="s">
        <v>1937</v>
      </c>
      <c r="M184" t="str">
        <f>HYPERLINK("../../3.KEGG_map/SCI_III-vs-NC-Down/rno05031.html","rno05031")</f>
        <v>rno05031</v>
      </c>
    </row>
    <row r="185" spans="1:13" x14ac:dyDescent="0.25">
      <c r="A185" t="s">
        <v>744</v>
      </c>
      <c r="B185" t="s">
        <v>745</v>
      </c>
      <c r="C185" t="s">
        <v>235</v>
      </c>
      <c r="D185" t="s">
        <v>739</v>
      </c>
      <c r="E185">
        <v>8</v>
      </c>
      <c r="F185">
        <v>228</v>
      </c>
      <c r="G185">
        <v>39</v>
      </c>
      <c r="H185">
        <v>2681</v>
      </c>
      <c r="I185">
        <v>1.4679197870530999E-2</v>
      </c>
      <c r="J185">
        <v>0.136044764400826</v>
      </c>
      <c r="K185">
        <v>2.4120557804768299</v>
      </c>
      <c r="L185" t="s">
        <v>1938</v>
      </c>
      <c r="M185" t="str">
        <f>HYPERLINK("../../3.KEGG_map/SCI_III-vs-NC-Down/rno05032.html","rno05032")</f>
        <v>rno05032</v>
      </c>
    </row>
    <row r="186" spans="1:13" x14ac:dyDescent="0.25">
      <c r="A186" t="s">
        <v>750</v>
      </c>
      <c r="B186" t="s">
        <v>751</v>
      </c>
      <c r="C186" t="s">
        <v>235</v>
      </c>
      <c r="D186" t="s">
        <v>739</v>
      </c>
      <c r="E186">
        <v>6</v>
      </c>
      <c r="F186">
        <v>228</v>
      </c>
      <c r="G186">
        <v>36</v>
      </c>
      <c r="H186">
        <v>2681</v>
      </c>
      <c r="I186">
        <v>7.9737594034349296E-2</v>
      </c>
      <c r="J186">
        <v>0.35143606259583599</v>
      </c>
      <c r="K186">
        <v>1.95979532163743</v>
      </c>
      <c r="L186" t="s">
        <v>1939</v>
      </c>
      <c r="M186" t="str">
        <f>HYPERLINK("../../3.KEGG_map/SCI_III-vs-NC-Down/rno05034.html","rno05034")</f>
        <v>rno05034</v>
      </c>
    </row>
    <row r="187" spans="1:13" x14ac:dyDescent="0.25">
      <c r="A187" t="s">
        <v>753</v>
      </c>
      <c r="B187" t="s">
        <v>754</v>
      </c>
      <c r="C187" t="s">
        <v>235</v>
      </c>
      <c r="D187" t="s">
        <v>755</v>
      </c>
      <c r="E187">
        <v>7</v>
      </c>
      <c r="F187">
        <v>228</v>
      </c>
      <c r="G187">
        <v>89</v>
      </c>
      <c r="H187">
        <v>2681</v>
      </c>
      <c r="I187">
        <v>0.64416373258223902</v>
      </c>
      <c r="J187">
        <v>0.79636736329369395</v>
      </c>
      <c r="K187">
        <v>0.92484723043563999</v>
      </c>
      <c r="L187" t="s">
        <v>1940</v>
      </c>
      <c r="M187" t="str">
        <f>HYPERLINK("../../3.KEGG_map/SCI_III-vs-NC-Down/rno05100.html","rno05100")</f>
        <v>rno05100</v>
      </c>
    </row>
    <row r="188" spans="1:13" x14ac:dyDescent="0.25">
      <c r="A188" t="s">
        <v>757</v>
      </c>
      <c r="B188" t="s">
        <v>758</v>
      </c>
      <c r="C188" t="s">
        <v>235</v>
      </c>
      <c r="D188" t="s">
        <v>755</v>
      </c>
      <c r="E188">
        <v>4</v>
      </c>
      <c r="F188">
        <v>228</v>
      </c>
      <c r="G188">
        <v>42</v>
      </c>
      <c r="H188">
        <v>2681</v>
      </c>
      <c r="I188">
        <v>0.48504932033033499</v>
      </c>
      <c r="J188">
        <v>0.696772267557763</v>
      </c>
      <c r="K188">
        <v>1.1198830409356699</v>
      </c>
      <c r="L188" t="s">
        <v>1941</v>
      </c>
      <c r="M188" t="str">
        <f>HYPERLINK("../../3.KEGG_map/SCI_III-vs-NC-Down/rno05132.html","rno05132")</f>
        <v>rno05132</v>
      </c>
    </row>
    <row r="189" spans="1:13" x14ac:dyDescent="0.25">
      <c r="A189" t="s">
        <v>760</v>
      </c>
      <c r="B189" t="s">
        <v>761</v>
      </c>
      <c r="C189" t="s">
        <v>235</v>
      </c>
      <c r="D189" t="s">
        <v>755</v>
      </c>
      <c r="E189">
        <v>2</v>
      </c>
      <c r="F189">
        <v>228</v>
      </c>
      <c r="G189">
        <v>17</v>
      </c>
      <c r="H189">
        <v>2681</v>
      </c>
      <c r="I189">
        <v>0.430968616287842</v>
      </c>
      <c r="J189">
        <v>0.67039562533664299</v>
      </c>
      <c r="K189">
        <v>1.3833849329205401</v>
      </c>
      <c r="L189" t="s">
        <v>1466</v>
      </c>
      <c r="M189" t="str">
        <f>HYPERLINK("../../3.KEGG_map/SCI_III-vs-NC-Down/rno05133.html","rno05133")</f>
        <v>rno05133</v>
      </c>
    </row>
    <row r="190" spans="1:13" x14ac:dyDescent="0.25">
      <c r="A190" t="s">
        <v>763</v>
      </c>
      <c r="B190" t="s">
        <v>764</v>
      </c>
      <c r="C190" t="s">
        <v>235</v>
      </c>
      <c r="D190" t="s">
        <v>755</v>
      </c>
      <c r="E190">
        <v>2</v>
      </c>
      <c r="F190">
        <v>228</v>
      </c>
      <c r="G190">
        <v>13</v>
      </c>
      <c r="H190">
        <v>2681</v>
      </c>
      <c r="I190">
        <v>0.304560714169331</v>
      </c>
      <c r="J190">
        <v>0.570751574585046</v>
      </c>
      <c r="K190">
        <v>1.8090418353576201</v>
      </c>
      <c r="L190" t="s">
        <v>1942</v>
      </c>
      <c r="M190" t="str">
        <f>HYPERLINK("../../3.KEGG_map/SCI_III-vs-NC-Down/rno05134.html","rno05134")</f>
        <v>rno05134</v>
      </c>
    </row>
    <row r="191" spans="1:13" x14ac:dyDescent="0.25">
      <c r="A191" t="s">
        <v>766</v>
      </c>
      <c r="B191" t="s">
        <v>767</v>
      </c>
      <c r="C191" t="s">
        <v>235</v>
      </c>
      <c r="D191" t="s">
        <v>768</v>
      </c>
      <c r="E191">
        <v>3</v>
      </c>
      <c r="F191">
        <v>228</v>
      </c>
      <c r="G191">
        <v>13</v>
      </c>
      <c r="H191">
        <v>2681</v>
      </c>
      <c r="I191">
        <v>9.1857932457576702E-2</v>
      </c>
      <c r="J191">
        <v>0.36436979874838699</v>
      </c>
      <c r="K191">
        <v>2.7135627530364399</v>
      </c>
      <c r="L191" t="s">
        <v>1943</v>
      </c>
      <c r="M191" t="str">
        <f>HYPERLINK("../../3.KEGG_map/SCI_III-vs-NC-Down/rno05140.html","rno05140")</f>
        <v>rno05140</v>
      </c>
    </row>
    <row r="192" spans="1:13" x14ac:dyDescent="0.25">
      <c r="A192" t="s">
        <v>770</v>
      </c>
      <c r="B192" t="s">
        <v>771</v>
      </c>
      <c r="C192" t="s">
        <v>235</v>
      </c>
      <c r="D192" t="s">
        <v>768</v>
      </c>
      <c r="E192">
        <v>8</v>
      </c>
      <c r="F192">
        <v>228</v>
      </c>
      <c r="G192">
        <v>52</v>
      </c>
      <c r="H192">
        <v>2681</v>
      </c>
      <c r="I192">
        <v>6.9343110629153507E-2</v>
      </c>
      <c r="J192">
        <v>0.31737808326420303</v>
      </c>
      <c r="K192">
        <v>1.8090418353576201</v>
      </c>
      <c r="L192" t="s">
        <v>1944</v>
      </c>
      <c r="M192" t="str">
        <f>HYPERLINK("../../3.KEGG_map/SCI_III-vs-NC-Down/rno05142.html","rno05142")</f>
        <v>rno05142</v>
      </c>
    </row>
    <row r="193" spans="1:13" x14ac:dyDescent="0.25">
      <c r="A193" t="s">
        <v>773</v>
      </c>
      <c r="B193" t="s">
        <v>774</v>
      </c>
      <c r="C193" t="s">
        <v>235</v>
      </c>
      <c r="D193" t="s">
        <v>768</v>
      </c>
      <c r="E193">
        <v>3</v>
      </c>
      <c r="F193">
        <v>228</v>
      </c>
      <c r="G193">
        <v>17</v>
      </c>
      <c r="H193">
        <v>2681</v>
      </c>
      <c r="I193">
        <v>0.170733235477663</v>
      </c>
      <c r="J193">
        <v>0.44421138473652699</v>
      </c>
      <c r="K193">
        <v>2.07507739938081</v>
      </c>
      <c r="L193" t="s">
        <v>1945</v>
      </c>
      <c r="M193" t="str">
        <f>HYPERLINK("../../3.KEGG_map/SCI_III-vs-NC-Down/rno05143.html","rno05143")</f>
        <v>rno05143</v>
      </c>
    </row>
    <row r="194" spans="1:13" x14ac:dyDescent="0.25">
      <c r="A194" t="s">
        <v>776</v>
      </c>
      <c r="B194" t="s">
        <v>777</v>
      </c>
      <c r="C194" t="s">
        <v>235</v>
      </c>
      <c r="D194" t="s">
        <v>768</v>
      </c>
      <c r="E194">
        <v>1</v>
      </c>
      <c r="F194">
        <v>228</v>
      </c>
      <c r="G194">
        <v>6</v>
      </c>
      <c r="H194">
        <v>2681</v>
      </c>
      <c r="I194">
        <v>0.41362123605012702</v>
      </c>
      <c r="J194">
        <v>0.65193280913861096</v>
      </c>
      <c r="K194">
        <v>1.95979532163743</v>
      </c>
      <c r="L194" t="s">
        <v>1750</v>
      </c>
      <c r="M194" t="str">
        <f>HYPERLINK("../../3.KEGG_map/SCI_III-vs-NC-Down/rno05144.html","rno05144")</f>
        <v>rno05144</v>
      </c>
    </row>
    <row r="195" spans="1:13" x14ac:dyDescent="0.25">
      <c r="A195" t="s">
        <v>779</v>
      </c>
      <c r="B195" t="s">
        <v>780</v>
      </c>
      <c r="C195" t="s">
        <v>235</v>
      </c>
      <c r="D195" t="s">
        <v>768</v>
      </c>
      <c r="E195">
        <v>5</v>
      </c>
      <c r="F195">
        <v>228</v>
      </c>
      <c r="G195">
        <v>34</v>
      </c>
      <c r="H195">
        <v>2681</v>
      </c>
      <c r="I195">
        <v>0.15736350665026799</v>
      </c>
      <c r="J195">
        <v>0.41613905091959602</v>
      </c>
      <c r="K195">
        <v>1.7292311661506701</v>
      </c>
      <c r="L195" t="s">
        <v>1946</v>
      </c>
      <c r="M195" t="str">
        <f>HYPERLINK("../../3.KEGG_map/SCI_III-vs-NC-Down/rno05145.html","rno05145")</f>
        <v>rno05145</v>
      </c>
    </row>
    <row r="196" spans="1:13" x14ac:dyDescent="0.25">
      <c r="A196" t="s">
        <v>782</v>
      </c>
      <c r="B196" t="s">
        <v>783</v>
      </c>
      <c r="C196" t="s">
        <v>235</v>
      </c>
      <c r="D196" t="s">
        <v>768</v>
      </c>
      <c r="E196">
        <v>11</v>
      </c>
      <c r="F196">
        <v>228</v>
      </c>
      <c r="G196">
        <v>79</v>
      </c>
      <c r="H196">
        <v>2681</v>
      </c>
      <c r="I196">
        <v>6.7718951921480294E-2</v>
      </c>
      <c r="J196">
        <v>0.31737808326420303</v>
      </c>
      <c r="K196">
        <v>1.6372973573173399</v>
      </c>
      <c r="L196" t="s">
        <v>1947</v>
      </c>
      <c r="M196" t="str">
        <f>HYPERLINK("../../3.KEGG_map/SCI_III-vs-NC-Down/rno05146.html","rno05146")</f>
        <v>rno05146</v>
      </c>
    </row>
    <row r="197" spans="1:13" x14ac:dyDescent="0.25">
      <c r="A197" t="s">
        <v>788</v>
      </c>
      <c r="B197" t="s">
        <v>789</v>
      </c>
      <c r="C197" t="s">
        <v>235</v>
      </c>
      <c r="D197" t="s">
        <v>755</v>
      </c>
      <c r="E197">
        <v>8</v>
      </c>
      <c r="F197">
        <v>228</v>
      </c>
      <c r="G197">
        <v>81</v>
      </c>
      <c r="H197">
        <v>2681</v>
      </c>
      <c r="I197">
        <v>0.38333666319378301</v>
      </c>
      <c r="J197">
        <v>0.64539958472116998</v>
      </c>
      <c r="K197">
        <v>1.16136019059996</v>
      </c>
      <c r="L197" t="s">
        <v>1948</v>
      </c>
      <c r="M197" t="str">
        <f>HYPERLINK("../../3.KEGG_map/SCI_III-vs-NC-Down/rno05152.html","rno05152")</f>
        <v>rno05152</v>
      </c>
    </row>
    <row r="198" spans="1:13" x14ac:dyDescent="0.25">
      <c r="A198" t="s">
        <v>791</v>
      </c>
      <c r="B198" t="s">
        <v>792</v>
      </c>
      <c r="C198" t="s">
        <v>235</v>
      </c>
      <c r="D198" t="s">
        <v>793</v>
      </c>
      <c r="E198">
        <v>8</v>
      </c>
      <c r="F198">
        <v>228</v>
      </c>
      <c r="G198">
        <v>59</v>
      </c>
      <c r="H198">
        <v>2681</v>
      </c>
      <c r="I198">
        <v>0.123381199351948</v>
      </c>
      <c r="J198">
        <v>0.39152967261018201</v>
      </c>
      <c r="K198">
        <v>1.59440975319655</v>
      </c>
      <c r="L198" t="s">
        <v>1949</v>
      </c>
      <c r="M198" t="str">
        <f>HYPERLINK("../../3.KEGG_map/SCI_III-vs-NC-Down/rno05160.html","rno05160")</f>
        <v>rno05160</v>
      </c>
    </row>
    <row r="199" spans="1:13" x14ac:dyDescent="0.25">
      <c r="A199" t="s">
        <v>795</v>
      </c>
      <c r="B199" t="s">
        <v>796</v>
      </c>
      <c r="C199" t="s">
        <v>235</v>
      </c>
      <c r="D199" t="s">
        <v>793</v>
      </c>
      <c r="E199">
        <v>6</v>
      </c>
      <c r="F199">
        <v>228</v>
      </c>
      <c r="G199">
        <v>79</v>
      </c>
      <c r="H199">
        <v>2681</v>
      </c>
      <c r="I199">
        <v>0.67595595204907599</v>
      </c>
      <c r="J199">
        <v>0.80842973159638298</v>
      </c>
      <c r="K199">
        <v>0.89307128580946005</v>
      </c>
      <c r="L199" t="s">
        <v>1950</v>
      </c>
      <c r="M199" t="str">
        <f>HYPERLINK("../../3.KEGG_map/SCI_III-vs-NC-Down/rno05161.html","rno05161")</f>
        <v>rno05161</v>
      </c>
    </row>
    <row r="200" spans="1:13" x14ac:dyDescent="0.25">
      <c r="A200" t="s">
        <v>798</v>
      </c>
      <c r="B200" t="s">
        <v>799</v>
      </c>
      <c r="C200" t="s">
        <v>235</v>
      </c>
      <c r="D200" t="s">
        <v>793</v>
      </c>
      <c r="E200">
        <v>4</v>
      </c>
      <c r="F200">
        <v>228</v>
      </c>
      <c r="G200">
        <v>28</v>
      </c>
      <c r="H200">
        <v>2681</v>
      </c>
      <c r="I200">
        <v>0.21055313422132299</v>
      </c>
      <c r="J200">
        <v>0.50617824186540195</v>
      </c>
      <c r="K200">
        <v>1.6798245614035101</v>
      </c>
      <c r="L200" t="s">
        <v>1951</v>
      </c>
      <c r="M200" t="str">
        <f>HYPERLINK("../../3.KEGG_map/SCI_III-vs-NC-Down/rno05162.html","rno05162")</f>
        <v>rno05162</v>
      </c>
    </row>
    <row r="201" spans="1:13" x14ac:dyDescent="0.25">
      <c r="A201" t="s">
        <v>801</v>
      </c>
      <c r="B201" t="s">
        <v>802</v>
      </c>
      <c r="C201" t="s">
        <v>235</v>
      </c>
      <c r="D201" t="s">
        <v>793</v>
      </c>
      <c r="E201">
        <v>6</v>
      </c>
      <c r="F201">
        <v>228</v>
      </c>
      <c r="G201">
        <v>67</v>
      </c>
      <c r="H201">
        <v>2681</v>
      </c>
      <c r="I201">
        <v>0.51123195366802698</v>
      </c>
      <c r="J201">
        <v>0.71572473513523704</v>
      </c>
      <c r="K201">
        <v>1.0530243519245901</v>
      </c>
      <c r="L201" t="s">
        <v>1952</v>
      </c>
      <c r="M201" t="str">
        <f>HYPERLINK("../../3.KEGG_map/SCI_III-vs-NC-Down/rno05164.html","rno05164")</f>
        <v>rno05164</v>
      </c>
    </row>
    <row r="202" spans="1:13" x14ac:dyDescent="0.25">
      <c r="A202" t="s">
        <v>804</v>
      </c>
      <c r="B202" t="s">
        <v>805</v>
      </c>
      <c r="C202" t="s">
        <v>235</v>
      </c>
      <c r="D202" t="s">
        <v>793</v>
      </c>
      <c r="E202">
        <v>16</v>
      </c>
      <c r="F202">
        <v>228</v>
      </c>
      <c r="G202">
        <v>188</v>
      </c>
      <c r="H202">
        <v>2681</v>
      </c>
      <c r="I202">
        <v>0.53988845363280902</v>
      </c>
      <c r="J202">
        <v>0.74878732211584798</v>
      </c>
      <c r="K202">
        <v>1.0007465472191099</v>
      </c>
      <c r="L202" t="s">
        <v>1953</v>
      </c>
      <c r="M202" t="str">
        <f>HYPERLINK("../../3.KEGG_map/SCI_III-vs-NC-Down/rno05165.html","rno05165")</f>
        <v>rno05165</v>
      </c>
    </row>
    <row r="203" spans="1:13" x14ac:dyDescent="0.25">
      <c r="A203" t="s">
        <v>807</v>
      </c>
      <c r="B203" t="s">
        <v>808</v>
      </c>
      <c r="C203" t="s">
        <v>235</v>
      </c>
      <c r="D203" t="s">
        <v>793</v>
      </c>
      <c r="E203">
        <v>14</v>
      </c>
      <c r="F203">
        <v>228</v>
      </c>
      <c r="G203">
        <v>143</v>
      </c>
      <c r="H203">
        <v>2681</v>
      </c>
      <c r="I203">
        <v>0.32856414304289999</v>
      </c>
      <c r="J203">
        <v>0.59693332858175796</v>
      </c>
      <c r="K203">
        <v>1.1512084406821199</v>
      </c>
      <c r="L203" t="s">
        <v>1954</v>
      </c>
      <c r="M203" t="str">
        <f>HYPERLINK("../../3.KEGG_map/SCI_III-vs-NC-Down/rno05166.html","rno05166")</f>
        <v>rno05166</v>
      </c>
    </row>
    <row r="204" spans="1:13" x14ac:dyDescent="0.25">
      <c r="A204" t="s">
        <v>810</v>
      </c>
      <c r="B204" t="s">
        <v>811</v>
      </c>
      <c r="C204" t="s">
        <v>235</v>
      </c>
      <c r="D204" t="s">
        <v>793</v>
      </c>
      <c r="E204">
        <v>8</v>
      </c>
      <c r="F204">
        <v>228</v>
      </c>
      <c r="G204">
        <v>98</v>
      </c>
      <c r="H204">
        <v>2681</v>
      </c>
      <c r="I204">
        <v>0.60382367885002897</v>
      </c>
      <c r="J204">
        <v>0.78961558003465404</v>
      </c>
      <c r="K204">
        <v>0.95989974937343303</v>
      </c>
      <c r="L204" t="s">
        <v>1955</v>
      </c>
      <c r="M204" t="str">
        <f>HYPERLINK("../../3.KEGG_map/SCI_III-vs-NC-Down/rno05167.html","rno05167")</f>
        <v>rno05167</v>
      </c>
    </row>
    <row r="205" spans="1:13" x14ac:dyDescent="0.25">
      <c r="A205" t="s">
        <v>813</v>
      </c>
      <c r="B205" t="s">
        <v>814</v>
      </c>
      <c r="C205" t="s">
        <v>235</v>
      </c>
      <c r="D205" t="s">
        <v>793</v>
      </c>
      <c r="E205">
        <v>7</v>
      </c>
      <c r="F205">
        <v>228</v>
      </c>
      <c r="G205">
        <v>64</v>
      </c>
      <c r="H205">
        <v>2681</v>
      </c>
      <c r="I205">
        <v>0.29965216125960198</v>
      </c>
      <c r="J205">
        <v>0.570751574585046</v>
      </c>
      <c r="K205">
        <v>1.2861156798245601</v>
      </c>
      <c r="L205" t="s">
        <v>1956</v>
      </c>
      <c r="M205" t="str">
        <f>HYPERLINK("../../3.KEGG_map/SCI_III-vs-NC-Down/rno05168.html","rno05168")</f>
        <v>rno05168</v>
      </c>
    </row>
    <row r="206" spans="1:13" x14ac:dyDescent="0.25">
      <c r="A206" t="s">
        <v>816</v>
      </c>
      <c r="B206" t="s">
        <v>817</v>
      </c>
      <c r="C206" t="s">
        <v>235</v>
      </c>
      <c r="D206" t="s">
        <v>793</v>
      </c>
      <c r="E206">
        <v>7</v>
      </c>
      <c r="F206">
        <v>228</v>
      </c>
      <c r="G206">
        <v>93</v>
      </c>
      <c r="H206">
        <v>2681</v>
      </c>
      <c r="I206">
        <v>0.69019367963413203</v>
      </c>
      <c r="J206">
        <v>0.82133047876461796</v>
      </c>
      <c r="K206">
        <v>0.885068854933031</v>
      </c>
      <c r="L206" t="s">
        <v>1957</v>
      </c>
      <c r="M206" t="str">
        <f>HYPERLINK("../../3.KEGG_map/SCI_III-vs-NC-Down/rno05169.html","rno05169")</f>
        <v>rno05169</v>
      </c>
    </row>
    <row r="207" spans="1:13" x14ac:dyDescent="0.25">
      <c r="A207" t="s">
        <v>819</v>
      </c>
      <c r="B207" t="s">
        <v>820</v>
      </c>
      <c r="C207" t="s">
        <v>235</v>
      </c>
      <c r="D207" t="s">
        <v>821</v>
      </c>
      <c r="E207">
        <v>25</v>
      </c>
      <c r="F207">
        <v>228</v>
      </c>
      <c r="G207">
        <v>258</v>
      </c>
      <c r="H207">
        <v>2681</v>
      </c>
      <c r="I207">
        <v>0.26848023428278001</v>
      </c>
      <c r="J207">
        <v>0.53965258610599898</v>
      </c>
      <c r="K207">
        <v>1.1394158846729201</v>
      </c>
      <c r="L207" t="s">
        <v>1958</v>
      </c>
      <c r="M207" t="str">
        <f>HYPERLINK("../../3.KEGG_map/SCI_III-vs-NC-Down/rno05200.html","rno05200")</f>
        <v>rno05200</v>
      </c>
    </row>
    <row r="208" spans="1:13" x14ac:dyDescent="0.25">
      <c r="A208" t="s">
        <v>823</v>
      </c>
      <c r="B208" t="s">
        <v>824</v>
      </c>
      <c r="C208" t="s">
        <v>235</v>
      </c>
      <c r="D208" t="s">
        <v>821</v>
      </c>
      <c r="E208">
        <v>8</v>
      </c>
      <c r="F208">
        <v>228</v>
      </c>
      <c r="G208">
        <v>93</v>
      </c>
      <c r="H208">
        <v>2681</v>
      </c>
      <c r="I208">
        <v>0.54214478888143602</v>
      </c>
      <c r="J208">
        <v>0.74878732211584798</v>
      </c>
      <c r="K208">
        <v>1.0115072627806101</v>
      </c>
      <c r="L208" t="s">
        <v>1959</v>
      </c>
      <c r="M208" t="str">
        <f>HYPERLINK("../../3.KEGG_map/SCI_III-vs-NC-Down/rno05202.html","rno05202")</f>
        <v>rno05202</v>
      </c>
    </row>
    <row r="209" spans="1:13" x14ac:dyDescent="0.25">
      <c r="A209" t="s">
        <v>826</v>
      </c>
      <c r="B209" t="s">
        <v>827</v>
      </c>
      <c r="C209" t="s">
        <v>235</v>
      </c>
      <c r="D209" t="s">
        <v>821</v>
      </c>
      <c r="E209">
        <v>4</v>
      </c>
      <c r="F209">
        <v>228</v>
      </c>
      <c r="G209">
        <v>84</v>
      </c>
      <c r="H209">
        <v>2681</v>
      </c>
      <c r="I209">
        <v>0.93686943176730497</v>
      </c>
      <c r="J209">
        <v>0.95288429384879703</v>
      </c>
      <c r="K209">
        <v>0.55994152046783596</v>
      </c>
      <c r="L209" t="s">
        <v>1960</v>
      </c>
      <c r="M209" t="str">
        <f>HYPERLINK("../../3.KEGG_map/SCI_III-vs-NC-Down/rno05203.html","rno05203")</f>
        <v>rno05203</v>
      </c>
    </row>
    <row r="210" spans="1:13" x14ac:dyDescent="0.25">
      <c r="A210" t="s">
        <v>832</v>
      </c>
      <c r="B210" t="s">
        <v>833</v>
      </c>
      <c r="C210" t="s">
        <v>235</v>
      </c>
      <c r="D210" t="s">
        <v>821</v>
      </c>
      <c r="E210">
        <v>20</v>
      </c>
      <c r="F210">
        <v>228</v>
      </c>
      <c r="G210">
        <v>166</v>
      </c>
      <c r="H210">
        <v>2681</v>
      </c>
      <c r="I210">
        <v>6.58973336254082E-2</v>
      </c>
      <c r="J210">
        <v>0.31737808326420303</v>
      </c>
      <c r="K210">
        <v>1.4167195096174201</v>
      </c>
      <c r="L210" t="s">
        <v>1961</v>
      </c>
      <c r="M210" t="str">
        <f>HYPERLINK("../../3.KEGG_map/SCI_III-vs-NC-Down/rno05205.html","rno05205")</f>
        <v>rno05205</v>
      </c>
    </row>
    <row r="211" spans="1:13" x14ac:dyDescent="0.25">
      <c r="A211" t="s">
        <v>835</v>
      </c>
      <c r="B211" t="s">
        <v>836</v>
      </c>
      <c r="C211" t="s">
        <v>235</v>
      </c>
      <c r="D211" t="s">
        <v>821</v>
      </c>
      <c r="E211">
        <v>9</v>
      </c>
      <c r="F211">
        <v>228</v>
      </c>
      <c r="G211">
        <v>82</v>
      </c>
      <c r="H211">
        <v>2681</v>
      </c>
      <c r="I211">
        <v>0.25898383853877999</v>
      </c>
      <c r="J211">
        <v>0.53965258610599898</v>
      </c>
      <c r="K211">
        <v>1.2905969191270901</v>
      </c>
      <c r="L211" t="s">
        <v>1962</v>
      </c>
      <c r="M211" t="str">
        <f>HYPERLINK("../../3.KEGG_map/SCI_III-vs-NC-Down/rno05206.html","rno05206")</f>
        <v>rno05206</v>
      </c>
    </row>
    <row r="212" spans="1:13" x14ac:dyDescent="0.25">
      <c r="A212" t="s">
        <v>838</v>
      </c>
      <c r="B212" t="s">
        <v>839</v>
      </c>
      <c r="C212" t="s">
        <v>235</v>
      </c>
      <c r="D212" t="s">
        <v>840</v>
      </c>
      <c r="E212">
        <v>8</v>
      </c>
      <c r="F212">
        <v>228</v>
      </c>
      <c r="G212">
        <v>61</v>
      </c>
      <c r="H212">
        <v>2681</v>
      </c>
      <c r="I212">
        <v>0.14201936977162999</v>
      </c>
      <c r="J212">
        <v>0.39921687997922201</v>
      </c>
      <c r="K212">
        <v>1.5421340235835499</v>
      </c>
      <c r="L212" t="s">
        <v>1963</v>
      </c>
      <c r="M212" t="str">
        <f>HYPERLINK("../../3.KEGG_map/SCI_III-vs-NC-Down/rno05210.html","rno05210")</f>
        <v>rno05210</v>
      </c>
    </row>
    <row r="213" spans="1:13" x14ac:dyDescent="0.25">
      <c r="A213" t="s">
        <v>842</v>
      </c>
      <c r="B213" t="s">
        <v>843</v>
      </c>
      <c r="C213" t="s">
        <v>235</v>
      </c>
      <c r="D213" t="s">
        <v>840</v>
      </c>
      <c r="E213">
        <v>5</v>
      </c>
      <c r="F213">
        <v>228</v>
      </c>
      <c r="G213">
        <v>52</v>
      </c>
      <c r="H213">
        <v>2681</v>
      </c>
      <c r="I213">
        <v>0.45728628573533397</v>
      </c>
      <c r="J213">
        <v>0.67950790212197398</v>
      </c>
      <c r="K213">
        <v>1.1306511470985201</v>
      </c>
      <c r="L213" t="s">
        <v>1964</v>
      </c>
      <c r="M213" t="str">
        <f>HYPERLINK("../../3.KEGG_map/SCI_III-vs-NC-Down/rno05211.html","rno05211")</f>
        <v>rno05211</v>
      </c>
    </row>
    <row r="214" spans="1:13" x14ac:dyDescent="0.25">
      <c r="A214" t="s">
        <v>845</v>
      </c>
      <c r="B214" t="s">
        <v>846</v>
      </c>
      <c r="C214" t="s">
        <v>235</v>
      </c>
      <c r="D214" t="s">
        <v>840</v>
      </c>
      <c r="E214">
        <v>8</v>
      </c>
      <c r="F214">
        <v>228</v>
      </c>
      <c r="G214">
        <v>61</v>
      </c>
      <c r="H214">
        <v>2681</v>
      </c>
      <c r="I214">
        <v>0.14201936977162999</v>
      </c>
      <c r="J214">
        <v>0.39921687997922201</v>
      </c>
      <c r="K214">
        <v>1.5421340235835499</v>
      </c>
      <c r="L214" t="s">
        <v>1965</v>
      </c>
      <c r="M214" t="str">
        <f>HYPERLINK("../../3.KEGG_map/SCI_III-vs-NC-Down/rno05212.html","rno05212")</f>
        <v>rno05212</v>
      </c>
    </row>
    <row r="215" spans="1:13" x14ac:dyDescent="0.25">
      <c r="A215" t="s">
        <v>848</v>
      </c>
      <c r="B215" t="s">
        <v>849</v>
      </c>
      <c r="C215" t="s">
        <v>235</v>
      </c>
      <c r="D215" t="s">
        <v>840</v>
      </c>
      <c r="E215">
        <v>5</v>
      </c>
      <c r="F215">
        <v>228</v>
      </c>
      <c r="G215">
        <v>43</v>
      </c>
      <c r="H215">
        <v>2681</v>
      </c>
      <c r="I215">
        <v>0.30062748847120702</v>
      </c>
      <c r="J215">
        <v>0.570751574585046</v>
      </c>
      <c r="K215">
        <v>1.36729906160751</v>
      </c>
      <c r="L215" t="s">
        <v>1966</v>
      </c>
      <c r="M215" t="str">
        <f>HYPERLINK("../../3.KEGG_map/SCI_III-vs-NC-Down/rno05213.html","rno05213")</f>
        <v>rno05213</v>
      </c>
    </row>
    <row r="216" spans="1:13" x14ac:dyDescent="0.25">
      <c r="A216" t="s">
        <v>851</v>
      </c>
      <c r="B216" t="s">
        <v>852</v>
      </c>
      <c r="C216" t="s">
        <v>235</v>
      </c>
      <c r="D216" t="s">
        <v>840</v>
      </c>
      <c r="E216">
        <v>7</v>
      </c>
      <c r="F216">
        <v>228</v>
      </c>
      <c r="G216">
        <v>47</v>
      </c>
      <c r="H216">
        <v>2681</v>
      </c>
      <c r="I216">
        <v>9.9101748082349297E-2</v>
      </c>
      <c r="J216">
        <v>0.36853462568123602</v>
      </c>
      <c r="K216">
        <v>1.7513064576334501</v>
      </c>
      <c r="L216" t="s">
        <v>1967</v>
      </c>
      <c r="M216" t="str">
        <f>HYPERLINK("../../3.KEGG_map/SCI_III-vs-NC-Down/rno05214.html","rno05214")</f>
        <v>rno05214</v>
      </c>
    </row>
    <row r="217" spans="1:13" x14ac:dyDescent="0.25">
      <c r="A217" t="s">
        <v>854</v>
      </c>
      <c r="B217" t="s">
        <v>855</v>
      </c>
      <c r="C217" t="s">
        <v>235</v>
      </c>
      <c r="D217" t="s">
        <v>840</v>
      </c>
      <c r="E217">
        <v>7</v>
      </c>
      <c r="F217">
        <v>228</v>
      </c>
      <c r="G217">
        <v>62</v>
      </c>
      <c r="H217">
        <v>2681</v>
      </c>
      <c r="I217">
        <v>0.27198541436602902</v>
      </c>
      <c r="J217">
        <v>0.53965258610599898</v>
      </c>
      <c r="K217">
        <v>1.3276032823995501</v>
      </c>
      <c r="L217" t="s">
        <v>1968</v>
      </c>
      <c r="M217" t="str">
        <f>HYPERLINK("../../3.KEGG_map/SCI_III-vs-NC-Down/rno05215.html","rno05215")</f>
        <v>rno05215</v>
      </c>
    </row>
    <row r="218" spans="1:13" x14ac:dyDescent="0.25">
      <c r="A218" t="s">
        <v>857</v>
      </c>
      <c r="B218" t="s">
        <v>858</v>
      </c>
      <c r="C218" t="s">
        <v>235</v>
      </c>
      <c r="D218" t="s">
        <v>840</v>
      </c>
      <c r="E218">
        <v>1</v>
      </c>
      <c r="F218">
        <v>228</v>
      </c>
      <c r="G218">
        <v>20</v>
      </c>
      <c r="H218">
        <v>2681</v>
      </c>
      <c r="I218">
        <v>0.83206572456036698</v>
      </c>
      <c r="J218">
        <v>0.900143829297124</v>
      </c>
      <c r="K218">
        <v>0.58793859649122804</v>
      </c>
      <c r="L218" t="s">
        <v>1969</v>
      </c>
      <c r="M218" t="str">
        <f>HYPERLINK("../../3.KEGG_map/SCI_III-vs-NC-Down/rno05216.html","rno05216")</f>
        <v>rno05216</v>
      </c>
    </row>
    <row r="219" spans="1:13" x14ac:dyDescent="0.25">
      <c r="A219" t="s">
        <v>863</v>
      </c>
      <c r="B219" t="s">
        <v>864</v>
      </c>
      <c r="C219" t="s">
        <v>235</v>
      </c>
      <c r="D219" t="s">
        <v>840</v>
      </c>
      <c r="E219">
        <v>4</v>
      </c>
      <c r="F219">
        <v>228</v>
      </c>
      <c r="G219">
        <v>38</v>
      </c>
      <c r="H219">
        <v>2681</v>
      </c>
      <c r="I219">
        <v>0.40695641239529501</v>
      </c>
      <c r="J219">
        <v>0.65193280913861096</v>
      </c>
      <c r="K219">
        <v>1.2377654662973201</v>
      </c>
      <c r="L219" t="s">
        <v>1970</v>
      </c>
      <c r="M219" t="str">
        <f>HYPERLINK("../../3.KEGG_map/SCI_III-vs-NC-Down/rno05218.html","rno05218")</f>
        <v>rno05218</v>
      </c>
    </row>
    <row r="220" spans="1:13" x14ac:dyDescent="0.25">
      <c r="A220" t="s">
        <v>866</v>
      </c>
      <c r="B220" t="s">
        <v>867</v>
      </c>
      <c r="C220" t="s">
        <v>235</v>
      </c>
      <c r="D220" t="s">
        <v>840</v>
      </c>
      <c r="E220">
        <v>4</v>
      </c>
      <c r="F220">
        <v>228</v>
      </c>
      <c r="G220">
        <v>27</v>
      </c>
      <c r="H220">
        <v>2681</v>
      </c>
      <c r="I220">
        <v>0.19238840641330501</v>
      </c>
      <c r="J220">
        <v>0.48198358659333301</v>
      </c>
      <c r="K220">
        <v>1.74204028589993</v>
      </c>
      <c r="L220" t="s">
        <v>1971</v>
      </c>
      <c r="M220" t="str">
        <f>HYPERLINK("../../3.KEGG_map/SCI_III-vs-NC-Down/rno05219.html","rno05219")</f>
        <v>rno05219</v>
      </c>
    </row>
    <row r="221" spans="1:13" x14ac:dyDescent="0.25">
      <c r="A221" t="s">
        <v>869</v>
      </c>
      <c r="B221" t="s">
        <v>870</v>
      </c>
      <c r="C221" t="s">
        <v>235</v>
      </c>
      <c r="D221" t="s">
        <v>840</v>
      </c>
      <c r="E221">
        <v>6</v>
      </c>
      <c r="F221">
        <v>228</v>
      </c>
      <c r="G221">
        <v>51</v>
      </c>
      <c r="H221">
        <v>2681</v>
      </c>
      <c r="I221">
        <v>0.26312919460249901</v>
      </c>
      <c r="J221">
        <v>0.53965258610599898</v>
      </c>
      <c r="K221">
        <v>1.3833849329205401</v>
      </c>
      <c r="L221" t="s">
        <v>1972</v>
      </c>
      <c r="M221" t="str">
        <f>HYPERLINK("../../3.KEGG_map/SCI_III-vs-NC-Down/rno05220.html","rno05220")</f>
        <v>rno05220</v>
      </c>
    </row>
    <row r="222" spans="1:13" x14ac:dyDescent="0.25">
      <c r="A222" t="s">
        <v>872</v>
      </c>
      <c r="B222" t="s">
        <v>873</v>
      </c>
      <c r="C222" t="s">
        <v>235</v>
      </c>
      <c r="D222" t="s">
        <v>840</v>
      </c>
      <c r="E222">
        <v>5</v>
      </c>
      <c r="F222">
        <v>228</v>
      </c>
      <c r="G222">
        <v>36</v>
      </c>
      <c r="H222">
        <v>2681</v>
      </c>
      <c r="I222">
        <v>0.18654653962408499</v>
      </c>
      <c r="J222">
        <v>0.47231996202693999</v>
      </c>
      <c r="K222">
        <v>1.63316276803119</v>
      </c>
      <c r="L222" t="s">
        <v>1973</v>
      </c>
      <c r="M222" t="str">
        <f>HYPERLINK("../../3.KEGG_map/SCI_III-vs-NC-Down/rno05221.html","rno05221")</f>
        <v>rno05221</v>
      </c>
    </row>
    <row r="223" spans="1:13" x14ac:dyDescent="0.25">
      <c r="A223" t="s">
        <v>875</v>
      </c>
      <c r="B223" t="s">
        <v>876</v>
      </c>
      <c r="C223" t="s">
        <v>235</v>
      </c>
      <c r="D223" t="s">
        <v>840</v>
      </c>
      <c r="E223">
        <v>7</v>
      </c>
      <c r="F223">
        <v>228</v>
      </c>
      <c r="G223">
        <v>62</v>
      </c>
      <c r="H223">
        <v>2681</v>
      </c>
      <c r="I223">
        <v>0.27198541436602902</v>
      </c>
      <c r="J223">
        <v>0.53965258610599898</v>
      </c>
      <c r="K223">
        <v>1.3276032823995501</v>
      </c>
      <c r="L223" t="s">
        <v>1974</v>
      </c>
      <c r="M223" t="str">
        <f>HYPERLINK("../../3.KEGG_map/SCI_III-vs-NC-Down/rno05222.html","rno05222")</f>
        <v>rno05222</v>
      </c>
    </row>
    <row r="224" spans="1:13" x14ac:dyDescent="0.25">
      <c r="A224" t="s">
        <v>878</v>
      </c>
      <c r="B224" t="s">
        <v>879</v>
      </c>
      <c r="C224" t="s">
        <v>235</v>
      </c>
      <c r="D224" t="s">
        <v>840</v>
      </c>
      <c r="E224">
        <v>7</v>
      </c>
      <c r="F224">
        <v>228</v>
      </c>
      <c r="G224">
        <v>47</v>
      </c>
      <c r="H224">
        <v>2681</v>
      </c>
      <c r="I224">
        <v>9.9101748082349297E-2</v>
      </c>
      <c r="J224">
        <v>0.36853462568123602</v>
      </c>
      <c r="K224">
        <v>1.7513064576334501</v>
      </c>
      <c r="L224" t="s">
        <v>1967</v>
      </c>
      <c r="M224" t="str">
        <f>HYPERLINK("../../3.KEGG_map/SCI_III-vs-NC-Down/rno05223.html","rno05223")</f>
        <v>rno05223</v>
      </c>
    </row>
    <row r="225" spans="1:13" x14ac:dyDescent="0.25">
      <c r="A225" t="s">
        <v>881</v>
      </c>
      <c r="B225" t="s">
        <v>882</v>
      </c>
      <c r="C225" t="s">
        <v>235</v>
      </c>
      <c r="D225" t="s">
        <v>840</v>
      </c>
      <c r="E225">
        <v>6</v>
      </c>
      <c r="F225">
        <v>228</v>
      </c>
      <c r="G225">
        <v>57</v>
      </c>
      <c r="H225">
        <v>2681</v>
      </c>
      <c r="I225">
        <v>0.355484472576101</v>
      </c>
      <c r="J225">
        <v>0.61915790999305398</v>
      </c>
      <c r="K225">
        <v>1.2377654662973201</v>
      </c>
      <c r="L225" t="s">
        <v>1975</v>
      </c>
      <c r="M225" t="str">
        <f>HYPERLINK("../../3.KEGG_map/SCI_III-vs-NC-Down/rno05224.html","rno05224")</f>
        <v>rno05224</v>
      </c>
    </row>
    <row r="226" spans="1:13" x14ac:dyDescent="0.25">
      <c r="A226" t="s">
        <v>884</v>
      </c>
      <c r="B226" t="s">
        <v>885</v>
      </c>
      <c r="C226" t="s">
        <v>235</v>
      </c>
      <c r="D226" t="s">
        <v>840</v>
      </c>
      <c r="E226">
        <v>11</v>
      </c>
      <c r="F226">
        <v>228</v>
      </c>
      <c r="G226">
        <v>102</v>
      </c>
      <c r="H226">
        <v>2681</v>
      </c>
      <c r="I226">
        <v>0.246033389262486</v>
      </c>
      <c r="J226">
        <v>0.52742722736119096</v>
      </c>
      <c r="K226">
        <v>1.26810285517716</v>
      </c>
      <c r="L226" t="s">
        <v>1976</v>
      </c>
      <c r="M226" t="str">
        <f>HYPERLINK("../../3.KEGG_map/SCI_III-vs-NC-Down/rno05225.html","rno05225")</f>
        <v>rno05225</v>
      </c>
    </row>
    <row r="227" spans="1:13" x14ac:dyDescent="0.25">
      <c r="A227" t="s">
        <v>887</v>
      </c>
      <c r="B227" t="s">
        <v>888</v>
      </c>
      <c r="C227" t="s">
        <v>235</v>
      </c>
      <c r="D227" t="s">
        <v>840</v>
      </c>
      <c r="E227">
        <v>10</v>
      </c>
      <c r="F227">
        <v>228</v>
      </c>
      <c r="G227">
        <v>76</v>
      </c>
      <c r="H227">
        <v>2681</v>
      </c>
      <c r="I227">
        <v>0.106723877029062</v>
      </c>
      <c r="J227">
        <v>0.37694881205168501</v>
      </c>
      <c r="K227">
        <v>1.54720683287165</v>
      </c>
      <c r="L227" t="s">
        <v>1977</v>
      </c>
      <c r="M227" t="str">
        <f>HYPERLINK("../../3.KEGG_map/SCI_III-vs-NC-Down/rno05226.html","rno05226")</f>
        <v>rno05226</v>
      </c>
    </row>
    <row r="228" spans="1:13" x14ac:dyDescent="0.25">
      <c r="A228" t="s">
        <v>890</v>
      </c>
      <c r="B228" t="s">
        <v>891</v>
      </c>
      <c r="C228" t="s">
        <v>235</v>
      </c>
      <c r="D228" t="s">
        <v>821</v>
      </c>
      <c r="E228">
        <v>5</v>
      </c>
      <c r="F228">
        <v>228</v>
      </c>
      <c r="G228">
        <v>34</v>
      </c>
      <c r="H228">
        <v>2681</v>
      </c>
      <c r="I228">
        <v>0.15736350665026799</v>
      </c>
      <c r="J228">
        <v>0.41613905091959602</v>
      </c>
      <c r="K228">
        <v>1.7292311661506701</v>
      </c>
      <c r="L228" t="s">
        <v>1978</v>
      </c>
      <c r="M228" t="str">
        <f>HYPERLINK("../../3.KEGG_map/SCI_III-vs-NC-Down/rno05230.html","rno05230")</f>
        <v>rno05230</v>
      </c>
    </row>
    <row r="229" spans="1:13" x14ac:dyDescent="0.25">
      <c r="A229" t="s">
        <v>893</v>
      </c>
      <c r="B229" t="s">
        <v>894</v>
      </c>
      <c r="C229" t="s">
        <v>235</v>
      </c>
      <c r="D229" t="s">
        <v>821</v>
      </c>
      <c r="E229">
        <v>12</v>
      </c>
      <c r="F229">
        <v>228</v>
      </c>
      <c r="G229">
        <v>61</v>
      </c>
      <c r="H229">
        <v>2681</v>
      </c>
      <c r="I229">
        <v>4.3353692093455101E-3</v>
      </c>
      <c r="J229">
        <v>0.119340275090458</v>
      </c>
      <c r="K229">
        <v>2.3132010353753198</v>
      </c>
      <c r="L229" t="s">
        <v>1979</v>
      </c>
      <c r="M229" t="str">
        <f>HYPERLINK("../../3.KEGG_map/SCI_III-vs-NC-Down/rno05231.html","rno05231")</f>
        <v>rno05231</v>
      </c>
    </row>
    <row r="230" spans="1:13" x14ac:dyDescent="0.25">
      <c r="A230" t="s">
        <v>900</v>
      </c>
      <c r="B230" t="s">
        <v>901</v>
      </c>
      <c r="C230" t="s">
        <v>235</v>
      </c>
      <c r="D230" t="s">
        <v>898</v>
      </c>
      <c r="E230">
        <v>1</v>
      </c>
      <c r="F230">
        <v>228</v>
      </c>
      <c r="G230">
        <v>11</v>
      </c>
      <c r="H230">
        <v>2681</v>
      </c>
      <c r="I230">
        <v>0.62452787732829296</v>
      </c>
      <c r="J230">
        <v>0.79485366205419095</v>
      </c>
      <c r="K230">
        <v>1.06897926634769</v>
      </c>
      <c r="L230" t="s">
        <v>1463</v>
      </c>
      <c r="M230" t="str">
        <f>HYPERLINK("../../3.KEGG_map/SCI_III-vs-NC-Down/rno05320.html","rno05320")</f>
        <v>rno05320</v>
      </c>
    </row>
    <row r="231" spans="1:13" x14ac:dyDescent="0.25">
      <c r="A231" t="s">
        <v>903</v>
      </c>
      <c r="B231" t="s">
        <v>904</v>
      </c>
      <c r="C231" t="s">
        <v>235</v>
      </c>
      <c r="D231" t="s">
        <v>898</v>
      </c>
      <c r="E231">
        <v>2</v>
      </c>
      <c r="F231">
        <v>228</v>
      </c>
      <c r="G231">
        <v>14</v>
      </c>
      <c r="H231">
        <v>2681</v>
      </c>
      <c r="I231">
        <v>0.337008252458943</v>
      </c>
      <c r="J231">
        <v>0.60306739913705498</v>
      </c>
      <c r="K231">
        <v>1.6798245614035101</v>
      </c>
      <c r="L231" t="s">
        <v>1980</v>
      </c>
      <c r="M231" t="str">
        <f>HYPERLINK("../../3.KEGG_map/SCI_III-vs-NC-Down/rno05321.html","rno05321")</f>
        <v>rno05321</v>
      </c>
    </row>
    <row r="232" spans="1:13" x14ac:dyDescent="0.25">
      <c r="A232" t="s">
        <v>906</v>
      </c>
      <c r="B232" t="s">
        <v>907</v>
      </c>
      <c r="C232" t="s">
        <v>235</v>
      </c>
      <c r="D232" t="s">
        <v>898</v>
      </c>
      <c r="E232">
        <v>2</v>
      </c>
      <c r="F232">
        <v>228</v>
      </c>
      <c r="G232">
        <v>10</v>
      </c>
      <c r="H232">
        <v>2681</v>
      </c>
      <c r="I232">
        <v>0.20651849880456799</v>
      </c>
      <c r="J232">
        <v>0.50154492566823705</v>
      </c>
      <c r="K232">
        <v>2.3517543859649099</v>
      </c>
      <c r="L232" t="s">
        <v>1787</v>
      </c>
      <c r="M232" t="str">
        <f>HYPERLINK("../../3.KEGG_map/SCI_III-vs-NC-Down/rno05322.html","rno05322")</f>
        <v>rno05322</v>
      </c>
    </row>
    <row r="233" spans="1:13" x14ac:dyDescent="0.25">
      <c r="A233" t="s">
        <v>912</v>
      </c>
      <c r="B233" t="s">
        <v>913</v>
      </c>
      <c r="C233" t="s">
        <v>235</v>
      </c>
      <c r="D233" t="s">
        <v>898</v>
      </c>
      <c r="E233">
        <v>1</v>
      </c>
      <c r="F233">
        <v>228</v>
      </c>
      <c r="G233">
        <v>11</v>
      </c>
      <c r="H233">
        <v>2681</v>
      </c>
      <c r="I233">
        <v>0.62452787732829296</v>
      </c>
      <c r="J233">
        <v>0.79485366205419095</v>
      </c>
      <c r="K233">
        <v>1.06897926634769</v>
      </c>
      <c r="L233" t="s">
        <v>1463</v>
      </c>
      <c r="M233" t="str">
        <f>HYPERLINK("../../3.KEGG_map/SCI_III-vs-NC-Down/rno05330.html","rno05330")</f>
        <v>rno05330</v>
      </c>
    </row>
    <row r="234" spans="1:13" x14ac:dyDescent="0.25">
      <c r="A234" t="s">
        <v>915</v>
      </c>
      <c r="B234" t="s">
        <v>916</v>
      </c>
      <c r="C234" t="s">
        <v>235</v>
      </c>
      <c r="D234" t="s">
        <v>898</v>
      </c>
      <c r="E234">
        <v>1</v>
      </c>
      <c r="F234">
        <v>228</v>
      </c>
      <c r="G234">
        <v>11</v>
      </c>
      <c r="H234">
        <v>2681</v>
      </c>
      <c r="I234">
        <v>0.62452787732829296</v>
      </c>
      <c r="J234">
        <v>0.79485366205419095</v>
      </c>
      <c r="K234">
        <v>1.06897926634769</v>
      </c>
      <c r="L234" t="s">
        <v>1463</v>
      </c>
      <c r="M234" t="str">
        <f>HYPERLINK("../../3.KEGG_map/SCI_III-vs-NC-Down/rno05332.html","rno05332")</f>
        <v>rno05332</v>
      </c>
    </row>
    <row r="235" spans="1:13" x14ac:dyDescent="0.25">
      <c r="A235" t="s">
        <v>921</v>
      </c>
      <c r="B235" t="s">
        <v>922</v>
      </c>
      <c r="C235" t="s">
        <v>235</v>
      </c>
      <c r="D235" t="s">
        <v>923</v>
      </c>
      <c r="E235">
        <v>7</v>
      </c>
      <c r="F235">
        <v>228</v>
      </c>
      <c r="G235">
        <v>60</v>
      </c>
      <c r="H235">
        <v>2681</v>
      </c>
      <c r="I235">
        <v>0.24506288310208199</v>
      </c>
      <c r="J235">
        <v>0.52742722736119096</v>
      </c>
      <c r="K235">
        <v>1.3718567251461999</v>
      </c>
      <c r="L235" t="s">
        <v>1981</v>
      </c>
      <c r="M235" t="str">
        <f>HYPERLINK("../../3.KEGG_map/SCI_III-vs-NC-Down/rno05410.html","rno05410")</f>
        <v>rno05410</v>
      </c>
    </row>
    <row r="236" spans="1:13" x14ac:dyDescent="0.25">
      <c r="A236" t="s">
        <v>925</v>
      </c>
      <c r="B236" t="s">
        <v>926</v>
      </c>
      <c r="C236" t="s">
        <v>235</v>
      </c>
      <c r="D236" t="s">
        <v>923</v>
      </c>
      <c r="E236">
        <v>6</v>
      </c>
      <c r="F236">
        <v>228</v>
      </c>
      <c r="G236">
        <v>59</v>
      </c>
      <c r="H236">
        <v>2681</v>
      </c>
      <c r="I236">
        <v>0.38699526591542899</v>
      </c>
      <c r="J236">
        <v>0.64539958472116998</v>
      </c>
      <c r="K236">
        <v>1.19580731489741</v>
      </c>
      <c r="L236" t="s">
        <v>1982</v>
      </c>
      <c r="M236" t="str">
        <f>HYPERLINK("../../3.KEGG_map/SCI_III-vs-NC-Down/rno05412.html","rno05412")</f>
        <v>rno05412</v>
      </c>
    </row>
    <row r="237" spans="1:13" x14ac:dyDescent="0.25">
      <c r="A237" t="s">
        <v>928</v>
      </c>
      <c r="B237" t="s">
        <v>929</v>
      </c>
      <c r="C237" t="s">
        <v>235</v>
      </c>
      <c r="D237" t="s">
        <v>923</v>
      </c>
      <c r="E237">
        <v>12</v>
      </c>
      <c r="F237">
        <v>228</v>
      </c>
      <c r="G237">
        <v>69</v>
      </c>
      <c r="H237">
        <v>2681</v>
      </c>
      <c r="I237">
        <v>1.19146068659725E-2</v>
      </c>
      <c r="J237">
        <v>0.136044764400826</v>
      </c>
      <c r="K237">
        <v>2.0450038138825302</v>
      </c>
      <c r="L237" t="s">
        <v>1983</v>
      </c>
      <c r="M237" t="str">
        <f>HYPERLINK("../../3.KEGG_map/SCI_III-vs-NC-Down/rno05414.html","rno05414")</f>
        <v>rno05414</v>
      </c>
    </row>
    <row r="238" spans="1:13" x14ac:dyDescent="0.25">
      <c r="A238" t="s">
        <v>931</v>
      </c>
      <c r="B238" t="s">
        <v>932</v>
      </c>
      <c r="C238" t="s">
        <v>235</v>
      </c>
      <c r="D238" t="s">
        <v>923</v>
      </c>
      <c r="E238">
        <v>1</v>
      </c>
      <c r="F238">
        <v>228</v>
      </c>
      <c r="G238">
        <v>22</v>
      </c>
      <c r="H238">
        <v>2681</v>
      </c>
      <c r="I238">
        <v>0.85961570893189398</v>
      </c>
      <c r="J238">
        <v>0.90144768047319201</v>
      </c>
      <c r="K238">
        <v>0.53448963317384401</v>
      </c>
      <c r="L238" t="s">
        <v>1463</v>
      </c>
      <c r="M238" t="str">
        <f>HYPERLINK("../../3.KEGG_map/SCI_III-vs-NC-Down/rno05416.html","rno05416")</f>
        <v>rno05416</v>
      </c>
    </row>
    <row r="239" spans="1:13" x14ac:dyDescent="0.25">
      <c r="A239" t="s">
        <v>934</v>
      </c>
      <c r="B239" t="s">
        <v>935</v>
      </c>
      <c r="C239" t="s">
        <v>235</v>
      </c>
      <c r="D239" t="s">
        <v>923</v>
      </c>
      <c r="E239">
        <v>6</v>
      </c>
      <c r="F239">
        <v>228</v>
      </c>
      <c r="G239">
        <v>81</v>
      </c>
      <c r="H239">
        <v>2681</v>
      </c>
      <c r="I239">
        <v>0.69968395123748295</v>
      </c>
      <c r="J239">
        <v>0.82754334727712597</v>
      </c>
      <c r="K239">
        <v>0.87102014294996799</v>
      </c>
      <c r="L239" t="s">
        <v>1984</v>
      </c>
      <c r="M239" t="str">
        <f>HYPERLINK("../../3.KEGG_map/SCI_III-vs-NC-Down/rno05418.html","rno05418")</f>
        <v>rno05418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up-regulated (SSCI–1 vs. sham)</vt:lpstr>
      <vt:lpstr>up-regulated (SSCI–2 vs. sham)</vt:lpstr>
      <vt:lpstr>up-regulated (SSCI–3 vs. sham)</vt:lpstr>
      <vt:lpstr>down-regulated(SSCI–1 vs. sham)</vt:lpstr>
      <vt:lpstr>down-regulated(SSCI–2 vs. sham)</vt:lpstr>
      <vt:lpstr>down-regulated(SSCI–3 vs. sham)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jimeng ruan</dc:creator>
  <cp:lastModifiedBy>jimeng ruan</cp:lastModifiedBy>
  <dcterms:modified xsi:type="dcterms:W3CDTF">2023-05-26T08:46:46Z</dcterms:modified>
</cp:coreProperties>
</file>