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6605" windowHeight="9435" tabRatio="777" firstSheet="3" activeTab="5"/>
  </bookViews>
  <sheets>
    <sheet name="NPK UPTAKES (kg ha-1)" sheetId="12" state="hidden" r:id="rId1"/>
    <sheet name="Sheet2" sheetId="15" state="hidden" r:id="rId2"/>
    <sheet name="Dry mt. new" sheetId="43" r:id="rId3"/>
    <sheet name="Grain Yiled" sheetId="45" r:id="rId4"/>
    <sheet name="DATA" sheetId="36" r:id="rId5"/>
    <sheet name="Nitrogen" sheetId="33" r:id="rId6"/>
    <sheet name="Phosphorous" sheetId="34" r:id="rId7"/>
    <sheet name="Potassium" sheetId="35" r:id="rId8"/>
    <sheet name="NPK at Harvest" sheetId="42" r:id="rId9"/>
  </sheets>
  <calcPr calcId="144525"/>
</workbook>
</file>

<file path=xl/calcChain.xml><?xml version="1.0" encoding="utf-8"?>
<calcChain xmlns="http://schemas.openxmlformats.org/spreadsheetml/2006/main">
  <c r="H301" i="33" l="1"/>
  <c r="H302" i="33"/>
  <c r="H303" i="33"/>
  <c r="H304" i="33"/>
  <c r="H305" i="33" s="1"/>
  <c r="H306" i="33"/>
  <c r="L307" i="33"/>
  <c r="H307" i="33" l="1"/>
  <c r="C213" i="36"/>
  <c r="E213" i="36"/>
  <c r="C215" i="36"/>
  <c r="E215" i="36"/>
  <c r="D216" i="36"/>
  <c r="C217" i="36"/>
  <c r="D217" i="36"/>
  <c r="E217" i="36"/>
  <c r="C219" i="36"/>
  <c r="E219" i="36"/>
  <c r="E221" i="36"/>
  <c r="C223" i="36"/>
  <c r="E223" i="36"/>
  <c r="E225" i="36"/>
  <c r="C226" i="36"/>
  <c r="D228" i="36"/>
  <c r="D229" i="36"/>
  <c r="E229" i="36"/>
  <c r="C212" i="36"/>
  <c r="V236" i="36"/>
  <c r="W236" i="36"/>
  <c r="AB236" i="36" s="1"/>
  <c r="X236" i="36"/>
  <c r="V237" i="36"/>
  <c r="W237" i="36"/>
  <c r="X237" i="36"/>
  <c r="AC237" i="36" s="1"/>
  <c r="V238" i="36"/>
  <c r="W238" i="36"/>
  <c r="X238" i="36"/>
  <c r="AC238" i="36" s="1"/>
  <c r="V239" i="36"/>
  <c r="AA239" i="36" s="1"/>
  <c r="W239" i="36"/>
  <c r="X239" i="36"/>
  <c r="V240" i="36"/>
  <c r="W240" i="36"/>
  <c r="AB240" i="36" s="1"/>
  <c r="X240" i="36"/>
  <c r="V241" i="36"/>
  <c r="W241" i="36"/>
  <c r="AB241" i="36" s="1"/>
  <c r="X241" i="36"/>
  <c r="AC241" i="36" s="1"/>
  <c r="V242" i="36"/>
  <c r="W242" i="36"/>
  <c r="X242" i="36"/>
  <c r="V243" i="36"/>
  <c r="AA243" i="36" s="1"/>
  <c r="W243" i="36"/>
  <c r="X243" i="36"/>
  <c r="V244" i="36"/>
  <c r="AA244" i="36" s="1"/>
  <c r="W244" i="36"/>
  <c r="AB244" i="36" s="1"/>
  <c r="X244" i="36"/>
  <c r="V245" i="36"/>
  <c r="W245" i="36"/>
  <c r="X245" i="36"/>
  <c r="AC245" i="36" s="1"/>
  <c r="V246" i="36"/>
  <c r="W246" i="36"/>
  <c r="X246" i="36"/>
  <c r="AC246" i="36" s="1"/>
  <c r="V247" i="36"/>
  <c r="AA247" i="36" s="1"/>
  <c r="W247" i="36"/>
  <c r="X247" i="36"/>
  <c r="V248" i="36"/>
  <c r="W248" i="36"/>
  <c r="AB248" i="36" s="1"/>
  <c r="X248" i="36"/>
  <c r="V249" i="36"/>
  <c r="W249" i="36"/>
  <c r="AB249" i="36" s="1"/>
  <c r="X249" i="36"/>
  <c r="AC249" i="36" s="1"/>
  <c r="V250" i="36"/>
  <c r="W250" i="36"/>
  <c r="X250" i="36"/>
  <c r="V251" i="36"/>
  <c r="AA251" i="36" s="1"/>
  <c r="W251" i="36"/>
  <c r="X251" i="36"/>
  <c r="V252" i="36"/>
  <c r="AA252" i="36" s="1"/>
  <c r="W252" i="36"/>
  <c r="AB252" i="36" s="1"/>
  <c r="X252" i="36"/>
  <c r="W235" i="36"/>
  <c r="X235" i="36"/>
  <c r="AC235" i="36" s="1"/>
  <c r="V235" i="36"/>
  <c r="AA235" i="36" s="1"/>
  <c r="AC252" i="36"/>
  <c r="AC251" i="36"/>
  <c r="AB251" i="36"/>
  <c r="AC250" i="36"/>
  <c r="AB250" i="36"/>
  <c r="AA250" i="36"/>
  <c r="AA249" i="36"/>
  <c r="AC248" i="36"/>
  <c r="AA248" i="36"/>
  <c r="AC247" i="36"/>
  <c r="AB247" i="36"/>
  <c r="AB246" i="36"/>
  <c r="AA246" i="36"/>
  <c r="AB245" i="36"/>
  <c r="AA245" i="36"/>
  <c r="AC244" i="36"/>
  <c r="AC243" i="36"/>
  <c r="AB243" i="36"/>
  <c r="AC242" i="36"/>
  <c r="AB242" i="36"/>
  <c r="AA242" i="36"/>
  <c r="AA241" i="36"/>
  <c r="AC240" i="36"/>
  <c r="AA240" i="36"/>
  <c r="AC239" i="36"/>
  <c r="AB239" i="36"/>
  <c r="AB238" i="36"/>
  <c r="AA238" i="36"/>
  <c r="AB237" i="36"/>
  <c r="AA237" i="36"/>
  <c r="AC236" i="36"/>
  <c r="AA236" i="36"/>
  <c r="AB235" i="36"/>
  <c r="AA212" i="36"/>
  <c r="AA213" i="36"/>
  <c r="AB213" i="36"/>
  <c r="D213" i="36" s="1"/>
  <c r="AC213" i="36"/>
  <c r="AA214" i="36"/>
  <c r="C214" i="36" s="1"/>
  <c r="AB214" i="36"/>
  <c r="D214" i="36" s="1"/>
  <c r="AC214" i="36"/>
  <c r="E214" i="36" s="1"/>
  <c r="AA215" i="36"/>
  <c r="AB215" i="36"/>
  <c r="D215" i="36" s="1"/>
  <c r="AC215" i="36"/>
  <c r="AA216" i="36"/>
  <c r="C216" i="36" s="1"/>
  <c r="AB216" i="36"/>
  <c r="AC216" i="36"/>
  <c r="E216" i="36" s="1"/>
  <c r="AA217" i="36"/>
  <c r="AB217" i="36"/>
  <c r="AC217" i="36"/>
  <c r="AA218" i="36"/>
  <c r="C218" i="36" s="1"/>
  <c r="AB218" i="36"/>
  <c r="D218" i="36" s="1"/>
  <c r="AC218" i="36"/>
  <c r="E218" i="36" s="1"/>
  <c r="AA219" i="36"/>
  <c r="AB219" i="36"/>
  <c r="D219" i="36" s="1"/>
  <c r="AC219" i="36"/>
  <c r="AA220" i="36"/>
  <c r="C220" i="36" s="1"/>
  <c r="AB220" i="36"/>
  <c r="D220" i="36" s="1"/>
  <c r="AC220" i="36"/>
  <c r="E220" i="36" s="1"/>
  <c r="AA221" i="36"/>
  <c r="C221" i="36" s="1"/>
  <c r="AB221" i="36"/>
  <c r="D221" i="36" s="1"/>
  <c r="AC221" i="36"/>
  <c r="AA222" i="36"/>
  <c r="C222" i="36" s="1"/>
  <c r="AB222" i="36"/>
  <c r="D222" i="36" s="1"/>
  <c r="AC222" i="36"/>
  <c r="E222" i="36" s="1"/>
  <c r="AA223" i="36"/>
  <c r="AB223" i="36"/>
  <c r="D223" i="36" s="1"/>
  <c r="AC223" i="36"/>
  <c r="AA224" i="36"/>
  <c r="C224" i="36" s="1"/>
  <c r="AB224" i="36"/>
  <c r="D224" i="36" s="1"/>
  <c r="AC224" i="36"/>
  <c r="E224" i="36" s="1"/>
  <c r="AA225" i="36"/>
  <c r="C225" i="36" s="1"/>
  <c r="AB225" i="36"/>
  <c r="D225" i="36" s="1"/>
  <c r="AC225" i="36"/>
  <c r="AA226" i="36"/>
  <c r="AB226" i="36"/>
  <c r="D226" i="36" s="1"/>
  <c r="AC226" i="36"/>
  <c r="E226" i="36" s="1"/>
  <c r="AA227" i="36"/>
  <c r="C227" i="36" s="1"/>
  <c r="AB227" i="36"/>
  <c r="D227" i="36" s="1"/>
  <c r="AC227" i="36"/>
  <c r="E227" i="36" s="1"/>
  <c r="AA228" i="36"/>
  <c r="C228" i="36" s="1"/>
  <c r="AB228" i="36"/>
  <c r="AC228" i="36"/>
  <c r="E228" i="36" s="1"/>
  <c r="AA229" i="36"/>
  <c r="C229" i="36" s="1"/>
  <c r="AB229" i="36"/>
  <c r="AC229" i="36"/>
  <c r="AB212" i="36"/>
  <c r="D212" i="36" s="1"/>
  <c r="AC212" i="36"/>
  <c r="E212" i="36" s="1"/>
  <c r="K26" i="45"/>
  <c r="D166" i="36"/>
  <c r="D176" i="36"/>
  <c r="P176" i="36" s="1"/>
  <c r="C165" i="36"/>
  <c r="C117" i="36"/>
  <c r="B9" i="33"/>
  <c r="L242" i="45"/>
  <c r="H241" i="45"/>
  <c r="H239" i="45"/>
  <c r="H238" i="45"/>
  <c r="H240" i="45" s="1"/>
  <c r="H237" i="45"/>
  <c r="H236" i="45"/>
  <c r="H242" i="45" s="1"/>
  <c r="D219" i="45"/>
  <c r="D251" i="45" s="1"/>
  <c r="C219" i="45"/>
  <c r="C251" i="45" s="1"/>
  <c r="B219" i="45"/>
  <c r="D218" i="45"/>
  <c r="D250" i="45" s="1"/>
  <c r="C218" i="45"/>
  <c r="C250" i="45" s="1"/>
  <c r="B218" i="45"/>
  <c r="D217" i="45"/>
  <c r="D249" i="45" s="1"/>
  <c r="C217" i="45"/>
  <c r="C249" i="45" s="1"/>
  <c r="B217" i="45"/>
  <c r="B249" i="45" s="1"/>
  <c r="D216" i="45"/>
  <c r="D248" i="45" s="1"/>
  <c r="C216" i="45"/>
  <c r="C248" i="45" s="1"/>
  <c r="B216" i="45"/>
  <c r="D215" i="45"/>
  <c r="D247" i="45" s="1"/>
  <c r="C215" i="45"/>
  <c r="C247" i="45" s="1"/>
  <c r="B215" i="45"/>
  <c r="B247" i="45" s="1"/>
  <c r="E247" i="45" s="1"/>
  <c r="F247" i="45" s="1"/>
  <c r="D214" i="45"/>
  <c r="D246" i="45" s="1"/>
  <c r="C214" i="45"/>
  <c r="C246" i="45" s="1"/>
  <c r="B214" i="45"/>
  <c r="D213" i="45"/>
  <c r="D245" i="45" s="1"/>
  <c r="C213" i="45"/>
  <c r="C245" i="45" s="1"/>
  <c r="B213" i="45"/>
  <c r="D212" i="45"/>
  <c r="D244" i="45" s="1"/>
  <c r="C212" i="45"/>
  <c r="C244" i="45" s="1"/>
  <c r="B212" i="45"/>
  <c r="E212" i="45" s="1"/>
  <c r="F212" i="45" s="1"/>
  <c r="D211" i="45"/>
  <c r="D243" i="45" s="1"/>
  <c r="C211" i="45"/>
  <c r="C243" i="45" s="1"/>
  <c r="B211" i="45"/>
  <c r="E211" i="45" s="1"/>
  <c r="F211" i="45" s="1"/>
  <c r="L210" i="45"/>
  <c r="D210" i="45"/>
  <c r="D242" i="45" s="1"/>
  <c r="C210" i="45"/>
  <c r="C242" i="45" s="1"/>
  <c r="B210" i="45"/>
  <c r="H209" i="45"/>
  <c r="D209" i="45"/>
  <c r="D241" i="45" s="1"/>
  <c r="C209" i="45"/>
  <c r="C241" i="45" s="1"/>
  <c r="B209" i="45"/>
  <c r="D208" i="45"/>
  <c r="D240" i="45" s="1"/>
  <c r="C208" i="45"/>
  <c r="C240" i="45" s="1"/>
  <c r="B208" i="45"/>
  <c r="B240" i="45" s="1"/>
  <c r="H207" i="45"/>
  <c r="D207" i="45"/>
  <c r="D239" i="45" s="1"/>
  <c r="C207" i="45"/>
  <c r="C239" i="45" s="1"/>
  <c r="B207" i="45"/>
  <c r="B239" i="45" s="1"/>
  <c r="H206" i="45"/>
  <c r="H208" i="45" s="1"/>
  <c r="D206" i="45"/>
  <c r="D238" i="45" s="1"/>
  <c r="C206" i="45"/>
  <c r="C238" i="45" s="1"/>
  <c r="B206" i="45"/>
  <c r="H205" i="45"/>
  <c r="D205" i="45"/>
  <c r="D237" i="45" s="1"/>
  <c r="C205" i="45"/>
  <c r="C237" i="45" s="1"/>
  <c r="B205" i="45"/>
  <c r="H204" i="45"/>
  <c r="H210" i="45" s="1"/>
  <c r="D204" i="45"/>
  <c r="D236" i="45" s="1"/>
  <c r="C204" i="45"/>
  <c r="C236" i="45" s="1"/>
  <c r="B204" i="45"/>
  <c r="D203" i="45"/>
  <c r="C203" i="45"/>
  <c r="C235" i="45" s="1"/>
  <c r="B203" i="45"/>
  <c r="B235" i="45" s="1"/>
  <c r="D202" i="45"/>
  <c r="C202" i="45"/>
  <c r="B202" i="45"/>
  <c r="B234" i="45" s="1"/>
  <c r="L199" i="45"/>
  <c r="K199" i="45"/>
  <c r="J199" i="45"/>
  <c r="L198" i="45"/>
  <c r="K198" i="45"/>
  <c r="J198" i="45"/>
  <c r="L197" i="45"/>
  <c r="K197" i="45"/>
  <c r="J197" i="45"/>
  <c r="L196" i="45"/>
  <c r="K196" i="45"/>
  <c r="J196" i="45"/>
  <c r="L195" i="45"/>
  <c r="K195" i="45"/>
  <c r="J195" i="45"/>
  <c r="L194" i="45"/>
  <c r="K194" i="45"/>
  <c r="J194" i="45"/>
  <c r="L193" i="45"/>
  <c r="K193" i="45"/>
  <c r="J193" i="45"/>
  <c r="L192" i="45"/>
  <c r="K192" i="45"/>
  <c r="J192" i="45"/>
  <c r="L190" i="45"/>
  <c r="K190" i="45"/>
  <c r="J190" i="45"/>
  <c r="L189" i="45"/>
  <c r="K189" i="45"/>
  <c r="J189" i="45"/>
  <c r="B189" i="45"/>
  <c r="L188" i="45"/>
  <c r="K188" i="45"/>
  <c r="J188" i="45"/>
  <c r="F188" i="45"/>
  <c r="D188" i="45"/>
  <c r="D189" i="45" s="1"/>
  <c r="C188" i="45"/>
  <c r="C189" i="45" s="1"/>
  <c r="B188" i="45"/>
  <c r="L187" i="45"/>
  <c r="K187" i="45"/>
  <c r="J187" i="45"/>
  <c r="E187" i="45"/>
  <c r="F187" i="45" s="1"/>
  <c r="L186" i="45"/>
  <c r="K186" i="45"/>
  <c r="J186" i="45"/>
  <c r="E186" i="45"/>
  <c r="F186" i="45" s="1"/>
  <c r="L185" i="45"/>
  <c r="K185" i="45"/>
  <c r="J185" i="45"/>
  <c r="F185" i="45"/>
  <c r="E185" i="45"/>
  <c r="L184" i="45"/>
  <c r="K184" i="45"/>
  <c r="J184" i="45"/>
  <c r="F184" i="45"/>
  <c r="E184" i="45"/>
  <c r="L183" i="45"/>
  <c r="K183" i="45"/>
  <c r="J183" i="45"/>
  <c r="E183" i="45"/>
  <c r="F183" i="45" s="1"/>
  <c r="F182" i="45"/>
  <c r="E182" i="45"/>
  <c r="E181" i="45"/>
  <c r="F181" i="45" s="1"/>
  <c r="E180" i="45"/>
  <c r="F180" i="45" s="1"/>
  <c r="E179" i="45"/>
  <c r="F179" i="45" s="1"/>
  <c r="L178" i="45"/>
  <c r="F178" i="45"/>
  <c r="E178" i="45"/>
  <c r="H177" i="45"/>
  <c r="E177" i="45"/>
  <c r="F177" i="45" s="1"/>
  <c r="F176" i="45"/>
  <c r="E176" i="45"/>
  <c r="H175" i="45"/>
  <c r="E175" i="45"/>
  <c r="F175" i="45" s="1"/>
  <c r="P179" i="45" s="1"/>
  <c r="H174" i="45"/>
  <c r="H176" i="45" s="1"/>
  <c r="L176" i="45" s="1"/>
  <c r="E174" i="45"/>
  <c r="F174" i="45" s="1"/>
  <c r="P178" i="45" s="1"/>
  <c r="H173" i="45"/>
  <c r="F173" i="45"/>
  <c r="P177" i="45" s="1"/>
  <c r="E173" i="45"/>
  <c r="H172" i="45"/>
  <c r="E172" i="45"/>
  <c r="F172" i="45" s="1"/>
  <c r="P176" i="45" s="1"/>
  <c r="E171" i="45"/>
  <c r="F171" i="45" s="1"/>
  <c r="P175" i="45" s="1"/>
  <c r="E170" i="45"/>
  <c r="F156" i="45"/>
  <c r="D156" i="45"/>
  <c r="D157" i="45" s="1"/>
  <c r="C156" i="45"/>
  <c r="C157" i="45" s="1"/>
  <c r="B156" i="45"/>
  <c r="B157" i="45" s="1"/>
  <c r="F155" i="45"/>
  <c r="E155" i="45"/>
  <c r="E154" i="45"/>
  <c r="F154" i="45" s="1"/>
  <c r="F153" i="45"/>
  <c r="E153" i="45"/>
  <c r="E152" i="45"/>
  <c r="F152" i="45" s="1"/>
  <c r="F151" i="45"/>
  <c r="E151" i="45"/>
  <c r="E150" i="45"/>
  <c r="F150" i="45" s="1"/>
  <c r="F149" i="45"/>
  <c r="E149" i="45"/>
  <c r="E148" i="45"/>
  <c r="F148" i="45" s="1"/>
  <c r="E147" i="45"/>
  <c r="F147" i="45" s="1"/>
  <c r="L146" i="45"/>
  <c r="E146" i="45"/>
  <c r="F146" i="45" s="1"/>
  <c r="H145" i="45"/>
  <c r="F145" i="45"/>
  <c r="E145" i="45"/>
  <c r="E144" i="45"/>
  <c r="F144" i="45" s="1"/>
  <c r="P148" i="45" s="1"/>
  <c r="H143" i="45"/>
  <c r="F143" i="45"/>
  <c r="E143" i="45"/>
  <c r="H142" i="45"/>
  <c r="E142" i="45"/>
  <c r="F142" i="45" s="1"/>
  <c r="H141" i="45"/>
  <c r="E141" i="45"/>
  <c r="H140" i="45"/>
  <c r="F140" i="45"/>
  <c r="E140" i="45"/>
  <c r="E139" i="45"/>
  <c r="F139" i="45" s="1"/>
  <c r="P143" i="45" s="1"/>
  <c r="F138" i="45"/>
  <c r="P142" i="45" s="1"/>
  <c r="E138" i="45"/>
  <c r="D118" i="45"/>
  <c r="L113" i="45"/>
  <c r="H112" i="45"/>
  <c r="H110" i="45"/>
  <c r="H109" i="45"/>
  <c r="H111" i="45" s="1"/>
  <c r="H108" i="45"/>
  <c r="H107" i="45"/>
  <c r="D106" i="45"/>
  <c r="D90" i="45"/>
  <c r="D122" i="45" s="1"/>
  <c r="C90" i="45"/>
  <c r="C122" i="45" s="1"/>
  <c r="B90" i="45"/>
  <c r="E90" i="45" s="1"/>
  <c r="F90" i="45" s="1"/>
  <c r="D89" i="45"/>
  <c r="D121" i="45" s="1"/>
  <c r="C89" i="45"/>
  <c r="C121" i="45" s="1"/>
  <c r="B89" i="45"/>
  <c r="D88" i="45"/>
  <c r="D120" i="45" s="1"/>
  <c r="C88" i="45"/>
  <c r="E88" i="45" s="1"/>
  <c r="F88" i="45" s="1"/>
  <c r="B88" i="45"/>
  <c r="B120" i="45" s="1"/>
  <c r="D87" i="45"/>
  <c r="D119" i="45" s="1"/>
  <c r="C87" i="45"/>
  <c r="C119" i="45" s="1"/>
  <c r="B87" i="45"/>
  <c r="B119" i="45" s="1"/>
  <c r="D86" i="45"/>
  <c r="C86" i="45"/>
  <c r="C118" i="45" s="1"/>
  <c r="B86" i="45"/>
  <c r="B118" i="45" s="1"/>
  <c r="E118" i="45" s="1"/>
  <c r="F118" i="45" s="1"/>
  <c r="D85" i="45"/>
  <c r="D117" i="45" s="1"/>
  <c r="C85" i="45"/>
  <c r="C117" i="45" s="1"/>
  <c r="B85" i="45"/>
  <c r="D84" i="45"/>
  <c r="D116" i="45" s="1"/>
  <c r="C84" i="45"/>
  <c r="C116" i="45" s="1"/>
  <c r="B84" i="45"/>
  <c r="D83" i="45"/>
  <c r="D115" i="45" s="1"/>
  <c r="C83" i="45"/>
  <c r="C115" i="45" s="1"/>
  <c r="B83" i="45"/>
  <c r="D82" i="45"/>
  <c r="D114" i="45" s="1"/>
  <c r="C82" i="45"/>
  <c r="C114" i="45" s="1"/>
  <c r="B82" i="45"/>
  <c r="L81" i="45"/>
  <c r="D81" i="45"/>
  <c r="D113" i="45" s="1"/>
  <c r="C81" i="45"/>
  <c r="C113" i="45" s="1"/>
  <c r="B81" i="45"/>
  <c r="E81" i="45" s="1"/>
  <c r="F81" i="45" s="1"/>
  <c r="P85" i="45" s="1"/>
  <c r="H80" i="45"/>
  <c r="D80" i="45"/>
  <c r="D112" i="45" s="1"/>
  <c r="C80" i="45"/>
  <c r="C112" i="45" s="1"/>
  <c r="B80" i="45"/>
  <c r="E79" i="45"/>
  <c r="F79" i="45" s="1"/>
  <c r="P83" i="45" s="1"/>
  <c r="D79" i="45"/>
  <c r="D111" i="45" s="1"/>
  <c r="C79" i="45"/>
  <c r="C111" i="45" s="1"/>
  <c r="B79" i="45"/>
  <c r="B111" i="45" s="1"/>
  <c r="H78" i="45"/>
  <c r="D78" i="45"/>
  <c r="D110" i="45" s="1"/>
  <c r="C78" i="45"/>
  <c r="C110" i="45" s="1"/>
  <c r="B78" i="45"/>
  <c r="H77" i="45"/>
  <c r="D77" i="45"/>
  <c r="D109" i="45" s="1"/>
  <c r="C77" i="45"/>
  <c r="B77" i="45"/>
  <c r="B109" i="45" s="1"/>
  <c r="H76" i="45"/>
  <c r="D76" i="45"/>
  <c r="D108" i="45" s="1"/>
  <c r="C76" i="45"/>
  <c r="C108" i="45" s="1"/>
  <c r="B76" i="45"/>
  <c r="B108" i="45" s="1"/>
  <c r="E108" i="45" s="1"/>
  <c r="F108" i="45" s="1"/>
  <c r="H75" i="45"/>
  <c r="D75" i="45"/>
  <c r="D107" i="45" s="1"/>
  <c r="C75" i="45"/>
  <c r="C107" i="45" s="1"/>
  <c r="B75" i="45"/>
  <c r="B107" i="45" s="1"/>
  <c r="D74" i="45"/>
  <c r="C74" i="45"/>
  <c r="C106" i="45" s="1"/>
  <c r="B74" i="45"/>
  <c r="B106" i="45" s="1"/>
  <c r="D73" i="45"/>
  <c r="D91" i="45" s="1"/>
  <c r="D92" i="45" s="1"/>
  <c r="C73" i="45"/>
  <c r="B73" i="45"/>
  <c r="B105" i="45" s="1"/>
  <c r="K72" i="45"/>
  <c r="J72" i="45"/>
  <c r="I72" i="45"/>
  <c r="K71" i="45"/>
  <c r="J71" i="45"/>
  <c r="I71" i="45"/>
  <c r="K70" i="45"/>
  <c r="J70" i="45"/>
  <c r="I70" i="45"/>
  <c r="K69" i="45"/>
  <c r="J69" i="45"/>
  <c r="I69" i="45"/>
  <c r="K68" i="45"/>
  <c r="J68" i="45"/>
  <c r="I68" i="45"/>
  <c r="K67" i="45"/>
  <c r="J67" i="45"/>
  <c r="I67" i="45"/>
  <c r="K66" i="45"/>
  <c r="J66" i="45"/>
  <c r="I66" i="45"/>
  <c r="K65" i="45"/>
  <c r="J65" i="45"/>
  <c r="I65" i="45"/>
  <c r="K63" i="45"/>
  <c r="J63" i="45"/>
  <c r="I63" i="45"/>
  <c r="K62" i="45"/>
  <c r="J62" i="45"/>
  <c r="I62" i="45"/>
  <c r="K61" i="45"/>
  <c r="J61" i="45"/>
  <c r="I61" i="45"/>
  <c r="K60" i="45"/>
  <c r="J60" i="45"/>
  <c r="I60" i="45"/>
  <c r="C60" i="45"/>
  <c r="K59" i="45"/>
  <c r="J59" i="45"/>
  <c r="I59" i="45"/>
  <c r="F59" i="45"/>
  <c r="D59" i="45"/>
  <c r="C59" i="45"/>
  <c r="B59" i="45"/>
  <c r="B60" i="45" s="1"/>
  <c r="K58" i="45"/>
  <c r="J58" i="45"/>
  <c r="I58" i="45"/>
  <c r="E58" i="45"/>
  <c r="F58" i="45" s="1"/>
  <c r="K57" i="45"/>
  <c r="J57" i="45"/>
  <c r="I57" i="45"/>
  <c r="E57" i="45"/>
  <c r="F57" i="45" s="1"/>
  <c r="K56" i="45"/>
  <c r="J56" i="45"/>
  <c r="I56" i="45"/>
  <c r="E56" i="45"/>
  <c r="F56" i="45" s="1"/>
  <c r="E55" i="45"/>
  <c r="F55" i="45" s="1"/>
  <c r="E54" i="45"/>
  <c r="F54" i="45" s="1"/>
  <c r="E53" i="45"/>
  <c r="F53" i="45" s="1"/>
  <c r="E52" i="45"/>
  <c r="F52" i="45" s="1"/>
  <c r="H57" i="45" s="1"/>
  <c r="E51" i="45"/>
  <c r="F51" i="45" s="1"/>
  <c r="E50" i="45"/>
  <c r="F50" i="45" s="1"/>
  <c r="L49" i="45"/>
  <c r="F49" i="45"/>
  <c r="E49" i="45"/>
  <c r="H48" i="45"/>
  <c r="E48" i="45"/>
  <c r="F48" i="45" s="1"/>
  <c r="P47" i="45"/>
  <c r="F47" i="45"/>
  <c r="E47" i="45"/>
  <c r="H46" i="45"/>
  <c r="H47" i="45" s="1"/>
  <c r="L47" i="45" s="1"/>
  <c r="E46" i="45"/>
  <c r="F46" i="45" s="1"/>
  <c r="H45" i="45"/>
  <c r="F45" i="45"/>
  <c r="E45" i="45"/>
  <c r="H44" i="45"/>
  <c r="E44" i="45"/>
  <c r="F44" i="45" s="1"/>
  <c r="H58" i="45" s="1"/>
  <c r="H43" i="45"/>
  <c r="E43" i="45"/>
  <c r="F43" i="45" s="1"/>
  <c r="E42" i="45"/>
  <c r="F42" i="45" s="1"/>
  <c r="E41" i="45"/>
  <c r="H28" i="45"/>
  <c r="V27" i="45"/>
  <c r="U27" i="45"/>
  <c r="T27" i="45"/>
  <c r="F27" i="45"/>
  <c r="D27" i="45"/>
  <c r="D28" i="45" s="1"/>
  <c r="C27" i="45"/>
  <c r="C28" i="45" s="1"/>
  <c r="B27" i="45"/>
  <c r="B28" i="45" s="1"/>
  <c r="V26" i="45"/>
  <c r="U26" i="45"/>
  <c r="T26" i="45"/>
  <c r="F26" i="45"/>
  <c r="E26" i="45"/>
  <c r="V25" i="45"/>
  <c r="U25" i="45"/>
  <c r="T25" i="45"/>
  <c r="E25" i="45"/>
  <c r="F25" i="45" s="1"/>
  <c r="V24" i="45"/>
  <c r="U24" i="45"/>
  <c r="T24" i="45"/>
  <c r="F24" i="45"/>
  <c r="E24" i="45"/>
  <c r="V23" i="45"/>
  <c r="U23" i="45"/>
  <c r="T23" i="45"/>
  <c r="F23" i="45"/>
  <c r="E23" i="45"/>
  <c r="V22" i="45"/>
  <c r="U22" i="45"/>
  <c r="T22" i="45"/>
  <c r="E22" i="45"/>
  <c r="F22" i="45" s="1"/>
  <c r="V21" i="45"/>
  <c r="U21" i="45"/>
  <c r="T21" i="45"/>
  <c r="E21" i="45"/>
  <c r="F21" i="45" s="1"/>
  <c r="V20" i="45"/>
  <c r="U20" i="45"/>
  <c r="T20" i="45"/>
  <c r="E20" i="45"/>
  <c r="F20" i="45" s="1"/>
  <c r="Y19" i="45"/>
  <c r="V19" i="45"/>
  <c r="U19" i="45"/>
  <c r="T19" i="45"/>
  <c r="F19" i="45"/>
  <c r="E19" i="45"/>
  <c r="Y18" i="45"/>
  <c r="V18" i="45"/>
  <c r="U18" i="45"/>
  <c r="T18" i="45"/>
  <c r="E18" i="45"/>
  <c r="F18" i="45" s="1"/>
  <c r="P10" i="45" s="1"/>
  <c r="Y17" i="45"/>
  <c r="V17" i="45"/>
  <c r="U17" i="45"/>
  <c r="T17" i="45"/>
  <c r="L17" i="45"/>
  <c r="E17" i="45"/>
  <c r="F17" i="45" s="1"/>
  <c r="Y16" i="45"/>
  <c r="V16" i="45"/>
  <c r="U16" i="45"/>
  <c r="T16" i="45"/>
  <c r="H16" i="45"/>
  <c r="E16" i="45"/>
  <c r="F16" i="45" s="1"/>
  <c r="Y15" i="45"/>
  <c r="V15" i="45"/>
  <c r="U15" i="45"/>
  <c r="T15" i="45"/>
  <c r="E15" i="45"/>
  <c r="F15" i="45" s="1"/>
  <c r="V14" i="45"/>
  <c r="U14" i="45"/>
  <c r="T14" i="45"/>
  <c r="H14" i="45"/>
  <c r="F14" i="45"/>
  <c r="P18" i="45" s="1"/>
  <c r="E14" i="45"/>
  <c r="V13" i="45"/>
  <c r="U13" i="45"/>
  <c r="T13" i="45"/>
  <c r="H13" i="45"/>
  <c r="H15" i="45" s="1"/>
  <c r="L15" i="45" s="1"/>
  <c r="E13" i="45"/>
  <c r="F13" i="45" s="1"/>
  <c r="P17" i="45" s="1"/>
  <c r="V12" i="45"/>
  <c r="U12" i="45"/>
  <c r="T12" i="45"/>
  <c r="H12" i="45"/>
  <c r="E12" i="45"/>
  <c r="F12" i="45" s="1"/>
  <c r="AB11" i="45"/>
  <c r="V11" i="45"/>
  <c r="U11" i="45"/>
  <c r="T11" i="45"/>
  <c r="H11" i="45"/>
  <c r="F11" i="45"/>
  <c r="E11" i="45"/>
  <c r="V10" i="45"/>
  <c r="U10" i="45"/>
  <c r="T10" i="45"/>
  <c r="E10" i="45"/>
  <c r="F10" i="45" s="1"/>
  <c r="E9" i="45"/>
  <c r="Q191" i="36"/>
  <c r="O193" i="36"/>
  <c r="Q195" i="36"/>
  <c r="P199" i="36"/>
  <c r="Q200" i="36"/>
  <c r="O201" i="36"/>
  <c r="P201" i="36"/>
  <c r="O202" i="36"/>
  <c r="P203" i="36"/>
  <c r="Q203" i="36"/>
  <c r="Q204" i="36"/>
  <c r="O205" i="36"/>
  <c r="O206" i="36"/>
  <c r="P206" i="36"/>
  <c r="P166" i="36"/>
  <c r="C142" i="36"/>
  <c r="C190" i="36" s="1"/>
  <c r="O190" i="36" s="1"/>
  <c r="D142" i="36"/>
  <c r="E142" i="36"/>
  <c r="E190" i="36" s="1"/>
  <c r="Q190" i="36" s="1"/>
  <c r="C143" i="36"/>
  <c r="D143" i="36"/>
  <c r="D191" i="36" s="1"/>
  <c r="P191" i="36" s="1"/>
  <c r="E143" i="36"/>
  <c r="E191" i="36" s="1"/>
  <c r="C144" i="36"/>
  <c r="C192" i="36" s="1"/>
  <c r="O192" i="36" s="1"/>
  <c r="D144" i="36"/>
  <c r="D192" i="36" s="1"/>
  <c r="P192" i="36" s="1"/>
  <c r="E144" i="36"/>
  <c r="E192" i="36" s="1"/>
  <c r="Q192" i="36" s="1"/>
  <c r="C145" i="36"/>
  <c r="C193" i="36" s="1"/>
  <c r="D145" i="36"/>
  <c r="E145" i="36"/>
  <c r="C146" i="36"/>
  <c r="C194" i="36" s="1"/>
  <c r="O194" i="36" s="1"/>
  <c r="D146" i="36"/>
  <c r="D194" i="36" s="1"/>
  <c r="P194" i="36" s="1"/>
  <c r="E146" i="36"/>
  <c r="E194" i="36" s="1"/>
  <c r="Q194" i="36" s="1"/>
  <c r="C147" i="36"/>
  <c r="C195" i="36" s="1"/>
  <c r="O195" i="36" s="1"/>
  <c r="D147" i="36"/>
  <c r="D195" i="36" s="1"/>
  <c r="P195" i="36" s="1"/>
  <c r="E147" i="36"/>
  <c r="E195" i="36" s="1"/>
  <c r="C148" i="36"/>
  <c r="C196" i="36" s="1"/>
  <c r="O196" i="36" s="1"/>
  <c r="D148" i="36"/>
  <c r="E148" i="36"/>
  <c r="E196" i="36" s="1"/>
  <c r="Q196" i="36" s="1"/>
  <c r="C149" i="36"/>
  <c r="D149" i="36"/>
  <c r="D197" i="36" s="1"/>
  <c r="P197" i="36" s="1"/>
  <c r="E149" i="36"/>
  <c r="C150" i="36"/>
  <c r="C198" i="36" s="1"/>
  <c r="D150" i="36"/>
  <c r="D198" i="36" s="1"/>
  <c r="E150" i="36"/>
  <c r="E198" i="36" s="1"/>
  <c r="C151" i="36"/>
  <c r="O151" i="36" s="1"/>
  <c r="D151" i="36"/>
  <c r="D199" i="36" s="1"/>
  <c r="E151" i="36"/>
  <c r="C152" i="36"/>
  <c r="C200" i="36" s="1"/>
  <c r="O200" i="36" s="1"/>
  <c r="D152" i="36"/>
  <c r="E152" i="36"/>
  <c r="E200" i="36" s="1"/>
  <c r="C153" i="36"/>
  <c r="C201" i="36" s="1"/>
  <c r="D153" i="36"/>
  <c r="D201" i="36" s="1"/>
  <c r="E153" i="36"/>
  <c r="C154" i="36"/>
  <c r="C202" i="36" s="1"/>
  <c r="D154" i="36"/>
  <c r="E154" i="36"/>
  <c r="E202" i="36" s="1"/>
  <c r="Q202" i="36" s="1"/>
  <c r="C155" i="36"/>
  <c r="C203" i="36" s="1"/>
  <c r="O203" i="36" s="1"/>
  <c r="D155" i="36"/>
  <c r="D203" i="36" s="1"/>
  <c r="E155" i="36"/>
  <c r="E203" i="36" s="1"/>
  <c r="C156" i="36"/>
  <c r="C204" i="36" s="1"/>
  <c r="O204" i="36" s="1"/>
  <c r="D156" i="36"/>
  <c r="D204" i="36" s="1"/>
  <c r="P204" i="36" s="1"/>
  <c r="E156" i="36"/>
  <c r="E204" i="36" s="1"/>
  <c r="C157" i="36"/>
  <c r="C205" i="36" s="1"/>
  <c r="D157" i="36"/>
  <c r="E157" i="36"/>
  <c r="C158" i="36"/>
  <c r="C206" i="36" s="1"/>
  <c r="D158" i="36"/>
  <c r="D206" i="36" s="1"/>
  <c r="E158" i="36"/>
  <c r="D141" i="36"/>
  <c r="E141" i="36"/>
  <c r="E189" i="36" s="1"/>
  <c r="C141" i="36"/>
  <c r="C189" i="36" s="1"/>
  <c r="P158" i="36"/>
  <c r="O158" i="36"/>
  <c r="Q154" i="36"/>
  <c r="O153" i="36"/>
  <c r="Q152" i="36"/>
  <c r="P151" i="36"/>
  <c r="Q155" i="36"/>
  <c r="P155" i="36"/>
  <c r="Q148" i="36"/>
  <c r="O148" i="36"/>
  <c r="P147" i="36"/>
  <c r="Q144" i="36"/>
  <c r="O144" i="36"/>
  <c r="Q143" i="36"/>
  <c r="O142" i="36"/>
  <c r="Q147" i="36"/>
  <c r="C118" i="36"/>
  <c r="D118" i="36"/>
  <c r="P118" i="36" s="1"/>
  <c r="E118" i="36"/>
  <c r="C119" i="36"/>
  <c r="D119" i="36"/>
  <c r="E119" i="36"/>
  <c r="C120" i="36"/>
  <c r="D120" i="36"/>
  <c r="E120" i="36"/>
  <c r="C121" i="36"/>
  <c r="D121" i="36"/>
  <c r="E121" i="36"/>
  <c r="C122" i="36"/>
  <c r="D122" i="36"/>
  <c r="E122" i="36"/>
  <c r="C123" i="36"/>
  <c r="D123" i="36"/>
  <c r="E123" i="36"/>
  <c r="C124" i="36"/>
  <c r="D124" i="36"/>
  <c r="E124" i="36"/>
  <c r="C125" i="36"/>
  <c r="D125" i="36"/>
  <c r="E125" i="36"/>
  <c r="C126" i="36"/>
  <c r="C174" i="36" s="1"/>
  <c r="D126" i="36"/>
  <c r="D174" i="36" s="1"/>
  <c r="E126" i="36"/>
  <c r="E174" i="36" s="1"/>
  <c r="C127" i="36"/>
  <c r="D127" i="36"/>
  <c r="E127" i="36"/>
  <c r="C128" i="36"/>
  <c r="D128" i="36"/>
  <c r="E128" i="36"/>
  <c r="C129" i="36"/>
  <c r="D129" i="36"/>
  <c r="E129" i="36"/>
  <c r="C130" i="36"/>
  <c r="D130" i="36"/>
  <c r="E130" i="36"/>
  <c r="C131" i="36"/>
  <c r="D131" i="36"/>
  <c r="E131" i="36"/>
  <c r="C132" i="36"/>
  <c r="D132" i="36"/>
  <c r="E132" i="36"/>
  <c r="C133" i="36"/>
  <c r="D133" i="36"/>
  <c r="E133" i="36"/>
  <c r="E181" i="36" s="1"/>
  <c r="Q181" i="36" s="1"/>
  <c r="C134" i="36"/>
  <c r="D134" i="36"/>
  <c r="E134" i="36"/>
  <c r="D117" i="36"/>
  <c r="D165" i="36" s="1"/>
  <c r="E117" i="36"/>
  <c r="E165" i="36" s="1"/>
  <c r="F252" i="43"/>
  <c r="D252" i="43"/>
  <c r="D253" i="43" s="1"/>
  <c r="C252" i="43"/>
  <c r="C253" i="43" s="1"/>
  <c r="B252" i="43"/>
  <c r="B253" i="43" s="1"/>
  <c r="E251" i="43"/>
  <c r="F251" i="43" s="1"/>
  <c r="E250" i="43"/>
  <c r="F250" i="43" s="1"/>
  <c r="E249" i="43"/>
  <c r="F249" i="43" s="1"/>
  <c r="F248" i="43"/>
  <c r="E248" i="43"/>
  <c r="E247" i="43"/>
  <c r="F247" i="43" s="1"/>
  <c r="E246" i="43"/>
  <c r="F246" i="43" s="1"/>
  <c r="F245" i="43"/>
  <c r="E245" i="43"/>
  <c r="E244" i="43"/>
  <c r="F244" i="43" s="1"/>
  <c r="E243" i="43"/>
  <c r="F243" i="43" s="1"/>
  <c r="P235" i="43" s="1"/>
  <c r="L242" i="43"/>
  <c r="E242" i="43"/>
  <c r="F242" i="43" s="1"/>
  <c r="P246" i="43" s="1"/>
  <c r="H241" i="43"/>
  <c r="F241" i="43"/>
  <c r="P245" i="43" s="1"/>
  <c r="E241" i="43"/>
  <c r="E240" i="43"/>
  <c r="F240" i="43" s="1"/>
  <c r="H239" i="43"/>
  <c r="L239" i="43" s="1"/>
  <c r="F239" i="43"/>
  <c r="P243" i="43" s="1"/>
  <c r="E239" i="43"/>
  <c r="H238" i="43"/>
  <c r="F238" i="43"/>
  <c r="P242" i="43" s="1"/>
  <c r="E238" i="43"/>
  <c r="H237" i="43"/>
  <c r="E237" i="43"/>
  <c r="F237" i="43" s="1"/>
  <c r="H236" i="43"/>
  <c r="L236" i="43" s="1"/>
  <c r="F236" i="43"/>
  <c r="P240" i="43" s="1"/>
  <c r="E236" i="43"/>
  <c r="E235" i="43"/>
  <c r="F235" i="43" s="1"/>
  <c r="P239" i="43" s="1"/>
  <c r="F234" i="43"/>
  <c r="E234" i="43"/>
  <c r="C221" i="43"/>
  <c r="F220" i="43"/>
  <c r="D220" i="43"/>
  <c r="D221" i="43" s="1"/>
  <c r="C220" i="43"/>
  <c r="B220" i="43"/>
  <c r="B221" i="43" s="1"/>
  <c r="E219" i="43"/>
  <c r="F219" i="43" s="1"/>
  <c r="E218" i="43"/>
  <c r="F218" i="43" s="1"/>
  <c r="E217" i="43"/>
  <c r="F217" i="43" s="1"/>
  <c r="E216" i="43"/>
  <c r="F216" i="43" s="1"/>
  <c r="E215" i="43"/>
  <c r="F215" i="43" s="1"/>
  <c r="E214" i="43"/>
  <c r="F214" i="43" s="1"/>
  <c r="E213" i="43"/>
  <c r="F213" i="43" s="1"/>
  <c r="E212" i="43"/>
  <c r="F212" i="43" s="1"/>
  <c r="E211" i="43"/>
  <c r="F211" i="43" s="1"/>
  <c r="L210" i="43"/>
  <c r="E210" i="43"/>
  <c r="F210" i="43" s="1"/>
  <c r="H209" i="43"/>
  <c r="E209" i="43"/>
  <c r="F209" i="43" s="1"/>
  <c r="F208" i="43"/>
  <c r="E208" i="43"/>
  <c r="H207" i="43"/>
  <c r="L207" i="43" s="1"/>
  <c r="F207" i="43"/>
  <c r="E207" i="43"/>
  <c r="H206" i="43"/>
  <c r="E206" i="43"/>
  <c r="F206" i="43" s="1"/>
  <c r="P210" i="43" s="1"/>
  <c r="H205" i="43"/>
  <c r="E205" i="43"/>
  <c r="F205" i="43" s="1"/>
  <c r="P209" i="43" s="1"/>
  <c r="H204" i="43"/>
  <c r="L204" i="43" s="1"/>
  <c r="F204" i="43"/>
  <c r="E204" i="43"/>
  <c r="E203" i="43"/>
  <c r="F203" i="43" s="1"/>
  <c r="P207" i="43" s="1"/>
  <c r="F202" i="43"/>
  <c r="E202" i="43"/>
  <c r="F188" i="43"/>
  <c r="D188" i="43"/>
  <c r="D189" i="43" s="1"/>
  <c r="C188" i="43"/>
  <c r="C189" i="43" s="1"/>
  <c r="B188" i="43"/>
  <c r="B189" i="43" s="1"/>
  <c r="E187" i="43"/>
  <c r="F187" i="43" s="1"/>
  <c r="E186" i="43"/>
  <c r="F186" i="43" s="1"/>
  <c r="E185" i="43"/>
  <c r="F185" i="43" s="1"/>
  <c r="E184" i="43"/>
  <c r="F184" i="43" s="1"/>
  <c r="E183" i="43"/>
  <c r="F183" i="43" s="1"/>
  <c r="E182" i="43"/>
  <c r="F182" i="43" s="1"/>
  <c r="E181" i="43"/>
  <c r="F181" i="43" s="1"/>
  <c r="E180" i="43"/>
  <c r="F180" i="43" s="1"/>
  <c r="F179" i="43"/>
  <c r="E179" i="43"/>
  <c r="L178" i="43"/>
  <c r="E178" i="43"/>
  <c r="F178" i="43" s="1"/>
  <c r="H177" i="43"/>
  <c r="E177" i="43"/>
  <c r="F177" i="43" s="1"/>
  <c r="P181" i="43" s="1"/>
  <c r="F176" i="43"/>
  <c r="P180" i="43" s="1"/>
  <c r="E176" i="43"/>
  <c r="H175" i="43"/>
  <c r="E175" i="43"/>
  <c r="F175" i="43" s="1"/>
  <c r="H174" i="43"/>
  <c r="H176" i="43" s="1"/>
  <c r="E174" i="43"/>
  <c r="F174" i="43" s="1"/>
  <c r="P178" i="43" s="1"/>
  <c r="H173" i="43"/>
  <c r="L173" i="43" s="1"/>
  <c r="E173" i="43"/>
  <c r="F173" i="43" s="1"/>
  <c r="P177" i="43" s="1"/>
  <c r="H172" i="43"/>
  <c r="E172" i="43"/>
  <c r="F172" i="43" s="1"/>
  <c r="P176" i="43" s="1"/>
  <c r="F171" i="43"/>
  <c r="E171" i="43"/>
  <c r="E170" i="43"/>
  <c r="E188" i="43" s="1"/>
  <c r="B190" i="43" s="1"/>
  <c r="F156" i="43"/>
  <c r="D156" i="43"/>
  <c r="D157" i="43" s="1"/>
  <c r="C156" i="43"/>
  <c r="C157" i="43" s="1"/>
  <c r="B156" i="43"/>
  <c r="B157" i="43" s="1"/>
  <c r="E155" i="43"/>
  <c r="F155" i="43" s="1"/>
  <c r="E154" i="43"/>
  <c r="F154" i="43" s="1"/>
  <c r="E153" i="43"/>
  <c r="F153" i="43" s="1"/>
  <c r="F152" i="43"/>
  <c r="E152" i="43"/>
  <c r="E151" i="43"/>
  <c r="F151" i="43" s="1"/>
  <c r="E150" i="43"/>
  <c r="F150" i="43" s="1"/>
  <c r="F149" i="43"/>
  <c r="E149" i="43"/>
  <c r="E148" i="43"/>
  <c r="F148" i="43" s="1"/>
  <c r="F147" i="43"/>
  <c r="P139" i="43" s="1"/>
  <c r="E147" i="43"/>
  <c r="L146" i="43"/>
  <c r="E146" i="43"/>
  <c r="F146" i="43" s="1"/>
  <c r="H145" i="43"/>
  <c r="F145" i="43"/>
  <c r="E145" i="43"/>
  <c r="E144" i="43"/>
  <c r="F144" i="43" s="1"/>
  <c r="H143" i="43"/>
  <c r="E143" i="43"/>
  <c r="F143" i="43" s="1"/>
  <c r="P147" i="43" s="1"/>
  <c r="H142" i="43"/>
  <c r="H144" i="43" s="1"/>
  <c r="F142" i="43"/>
  <c r="E142" i="43"/>
  <c r="H141" i="43"/>
  <c r="L141" i="43" s="1"/>
  <c r="E141" i="43"/>
  <c r="F141" i="43" s="1"/>
  <c r="P145" i="43" s="1"/>
  <c r="H140" i="43"/>
  <c r="E140" i="43"/>
  <c r="F140" i="43" s="1"/>
  <c r="P144" i="43" s="1"/>
  <c r="F139" i="43"/>
  <c r="P143" i="43" s="1"/>
  <c r="E139" i="43"/>
  <c r="E138" i="43"/>
  <c r="K129" i="43"/>
  <c r="J129" i="43"/>
  <c r="I129" i="43"/>
  <c r="K128" i="43"/>
  <c r="J128" i="43"/>
  <c r="I128" i="43"/>
  <c r="K127" i="43"/>
  <c r="J127" i="43"/>
  <c r="I127" i="43"/>
  <c r="K126" i="43"/>
  <c r="J126" i="43"/>
  <c r="I126" i="43"/>
  <c r="K125" i="43"/>
  <c r="J125" i="43"/>
  <c r="I125" i="43"/>
  <c r="K124" i="43"/>
  <c r="J124" i="43"/>
  <c r="I124" i="43"/>
  <c r="K123" i="43"/>
  <c r="J123" i="43"/>
  <c r="I123" i="43"/>
  <c r="F123" i="43"/>
  <c r="D123" i="43"/>
  <c r="D124" i="43" s="1"/>
  <c r="C123" i="43"/>
  <c r="C124" i="43" s="1"/>
  <c r="B123" i="43"/>
  <c r="B124" i="43" s="1"/>
  <c r="K122" i="43"/>
  <c r="J122" i="43"/>
  <c r="I122" i="43"/>
  <c r="E122" i="43"/>
  <c r="F122" i="43" s="1"/>
  <c r="K121" i="43"/>
  <c r="J121" i="43"/>
  <c r="I121" i="43"/>
  <c r="F121" i="43"/>
  <c r="E121" i="43"/>
  <c r="E120" i="43"/>
  <c r="F120" i="43" s="1"/>
  <c r="E119" i="43"/>
  <c r="F119" i="43" s="1"/>
  <c r="F118" i="43"/>
  <c r="E118" i="43"/>
  <c r="E117" i="43"/>
  <c r="F117" i="43" s="1"/>
  <c r="F116" i="43"/>
  <c r="E116" i="43"/>
  <c r="E115" i="43"/>
  <c r="F115" i="43" s="1"/>
  <c r="F114" i="43"/>
  <c r="E114" i="43"/>
  <c r="L113" i="43"/>
  <c r="E113" i="43"/>
  <c r="H112" i="43"/>
  <c r="F112" i="43"/>
  <c r="E112" i="43"/>
  <c r="E111" i="43"/>
  <c r="F111" i="43" s="1"/>
  <c r="H110" i="43"/>
  <c r="E110" i="43"/>
  <c r="F110" i="43" s="1"/>
  <c r="H109" i="43"/>
  <c r="H111" i="43" s="1"/>
  <c r="L111" i="43" s="1"/>
  <c r="F109" i="43"/>
  <c r="P113" i="43" s="1"/>
  <c r="E109" i="43"/>
  <c r="H108" i="43"/>
  <c r="L108" i="43" s="1"/>
  <c r="E108" i="43"/>
  <c r="F108" i="43" s="1"/>
  <c r="H107" i="43"/>
  <c r="E107" i="43"/>
  <c r="F107" i="43" s="1"/>
  <c r="P111" i="43" s="1"/>
  <c r="F106" i="43"/>
  <c r="P110" i="43" s="1"/>
  <c r="E106" i="43"/>
  <c r="E105" i="43"/>
  <c r="F105" i="43" s="1"/>
  <c r="P109" i="43" s="1"/>
  <c r="C92" i="43"/>
  <c r="F91" i="43"/>
  <c r="D91" i="43"/>
  <c r="D92" i="43" s="1"/>
  <c r="C91" i="43"/>
  <c r="B91" i="43"/>
  <c r="B92" i="43" s="1"/>
  <c r="E90" i="43"/>
  <c r="F90" i="43" s="1"/>
  <c r="E89" i="43"/>
  <c r="F89" i="43" s="1"/>
  <c r="E88" i="43"/>
  <c r="F88" i="43" s="1"/>
  <c r="F87" i="43"/>
  <c r="E87" i="43"/>
  <c r="E86" i="43"/>
  <c r="F86" i="43" s="1"/>
  <c r="E85" i="43"/>
  <c r="F85" i="43" s="1"/>
  <c r="F84" i="43"/>
  <c r="E84" i="43"/>
  <c r="E83" i="43"/>
  <c r="F83" i="43" s="1"/>
  <c r="E82" i="43"/>
  <c r="F82" i="43" s="1"/>
  <c r="L81" i="43"/>
  <c r="E81" i="43"/>
  <c r="F81" i="43" s="1"/>
  <c r="H80" i="43"/>
  <c r="F80" i="43"/>
  <c r="P84" i="43" s="1"/>
  <c r="E80" i="43"/>
  <c r="E79" i="43"/>
  <c r="F79" i="43" s="1"/>
  <c r="H78" i="43"/>
  <c r="L78" i="43" s="1"/>
  <c r="F78" i="43"/>
  <c r="E78" i="43"/>
  <c r="H77" i="43"/>
  <c r="F77" i="43"/>
  <c r="P81" i="43" s="1"/>
  <c r="E77" i="43"/>
  <c r="H76" i="43"/>
  <c r="E76" i="43"/>
  <c r="F76" i="43" s="1"/>
  <c r="P80" i="43" s="1"/>
  <c r="H75" i="43"/>
  <c r="L75" i="43" s="1"/>
  <c r="F75" i="43"/>
  <c r="E75" i="43"/>
  <c r="E74" i="43"/>
  <c r="F74" i="43" s="1"/>
  <c r="P78" i="43" s="1"/>
  <c r="F73" i="43"/>
  <c r="E73" i="43"/>
  <c r="C60" i="43"/>
  <c r="F59" i="43"/>
  <c r="D59" i="43"/>
  <c r="D60" i="43" s="1"/>
  <c r="C59" i="43"/>
  <c r="B59" i="43"/>
  <c r="B60" i="43" s="1"/>
  <c r="E58" i="43"/>
  <c r="F58" i="43" s="1"/>
  <c r="E57" i="43"/>
  <c r="F57" i="43" s="1"/>
  <c r="E56" i="43"/>
  <c r="F56" i="43" s="1"/>
  <c r="E55" i="43"/>
  <c r="F55" i="43" s="1"/>
  <c r="E54" i="43"/>
  <c r="F54" i="43" s="1"/>
  <c r="E53" i="43"/>
  <c r="F53" i="43" s="1"/>
  <c r="E52" i="43"/>
  <c r="F52" i="43" s="1"/>
  <c r="E51" i="43"/>
  <c r="F51" i="43" s="1"/>
  <c r="E50" i="43"/>
  <c r="F50" i="43" s="1"/>
  <c r="L49" i="43"/>
  <c r="E49" i="43"/>
  <c r="F49" i="43" s="1"/>
  <c r="H48" i="43"/>
  <c r="E48" i="43"/>
  <c r="F48" i="43" s="1"/>
  <c r="F47" i="43"/>
  <c r="E47" i="43"/>
  <c r="H46" i="43"/>
  <c r="L46" i="43" s="1"/>
  <c r="F46" i="43"/>
  <c r="E46" i="43"/>
  <c r="H45" i="43"/>
  <c r="E45" i="43"/>
  <c r="F45" i="43" s="1"/>
  <c r="P49" i="43" s="1"/>
  <c r="H44" i="43"/>
  <c r="E44" i="43"/>
  <c r="F44" i="43" s="1"/>
  <c r="P48" i="43" s="1"/>
  <c r="H43" i="43"/>
  <c r="L43" i="43" s="1"/>
  <c r="F43" i="43"/>
  <c r="E43" i="43"/>
  <c r="E42" i="43"/>
  <c r="F42" i="43" s="1"/>
  <c r="P46" i="43" s="1"/>
  <c r="F41" i="43"/>
  <c r="E41" i="43"/>
  <c r="F27" i="43"/>
  <c r="D27" i="43"/>
  <c r="D28" i="43" s="1"/>
  <c r="C27" i="43"/>
  <c r="C28" i="43" s="1"/>
  <c r="B27" i="43"/>
  <c r="B28" i="43" s="1"/>
  <c r="E26" i="43"/>
  <c r="F26" i="43" s="1"/>
  <c r="E25" i="43"/>
  <c r="F25" i="43" s="1"/>
  <c r="E24" i="43"/>
  <c r="F24" i="43" s="1"/>
  <c r="E23" i="43"/>
  <c r="F23" i="43" s="1"/>
  <c r="E22" i="43"/>
  <c r="F22" i="43" s="1"/>
  <c r="E21" i="43"/>
  <c r="F21" i="43" s="1"/>
  <c r="E20" i="43"/>
  <c r="F20" i="43" s="1"/>
  <c r="E19" i="43"/>
  <c r="F19" i="43" s="1"/>
  <c r="F18" i="43"/>
  <c r="E18" i="43"/>
  <c r="L17" i="43"/>
  <c r="E17" i="43"/>
  <c r="F17" i="43" s="1"/>
  <c r="P21" i="43" s="1"/>
  <c r="H16" i="43"/>
  <c r="E16" i="43"/>
  <c r="F16" i="43" s="1"/>
  <c r="F15" i="43"/>
  <c r="P19" i="43" s="1"/>
  <c r="E15" i="43"/>
  <c r="H14" i="43"/>
  <c r="E14" i="43"/>
  <c r="F14" i="43" s="1"/>
  <c r="H13" i="43"/>
  <c r="H15" i="43" s="1"/>
  <c r="E13" i="43"/>
  <c r="F13" i="43" s="1"/>
  <c r="H12" i="43"/>
  <c r="L12" i="43" s="1"/>
  <c r="E12" i="43"/>
  <c r="F12" i="43" s="1"/>
  <c r="P16" i="43" s="1"/>
  <c r="H11" i="43"/>
  <c r="E11" i="43"/>
  <c r="F11" i="43" s="1"/>
  <c r="P15" i="43" s="1"/>
  <c r="F10" i="43"/>
  <c r="E10" i="43"/>
  <c r="E9" i="43"/>
  <c r="E27" i="43" s="1"/>
  <c r="B29" i="43" s="1"/>
  <c r="P115" i="43" l="1"/>
  <c r="P18" i="43"/>
  <c r="P179" i="43"/>
  <c r="P206" i="43"/>
  <c r="P208" i="43"/>
  <c r="P211" i="43"/>
  <c r="P131" i="36"/>
  <c r="D179" i="36"/>
  <c r="P179" i="36" s="1"/>
  <c r="Q128" i="36"/>
  <c r="E176" i="36"/>
  <c r="Q176" i="36" s="1"/>
  <c r="Q124" i="36"/>
  <c r="E172" i="36"/>
  <c r="Q172" i="36" s="1"/>
  <c r="Q120" i="36"/>
  <c r="E168" i="36"/>
  <c r="Q168" i="36" s="1"/>
  <c r="C166" i="36"/>
  <c r="O166" i="36" s="1"/>
  <c r="O118" i="36"/>
  <c r="P149" i="36"/>
  <c r="D189" i="36"/>
  <c r="Q157" i="36"/>
  <c r="E205" i="36"/>
  <c r="Q205" i="36" s="1"/>
  <c r="P148" i="36"/>
  <c r="D196" i="36"/>
  <c r="P196" i="36" s="1"/>
  <c r="O143" i="36"/>
  <c r="C191" i="36"/>
  <c r="O191" i="36" s="1"/>
  <c r="B242" i="45"/>
  <c r="E242" i="45" s="1"/>
  <c r="F242" i="45" s="1"/>
  <c r="E210" i="45"/>
  <c r="F210" i="45" s="1"/>
  <c r="P45" i="43"/>
  <c r="P112" i="43"/>
  <c r="O134" i="36"/>
  <c r="C182" i="36"/>
  <c r="O182" i="36" s="1"/>
  <c r="O122" i="36"/>
  <c r="C170" i="36"/>
  <c r="O170" i="36" s="1"/>
  <c r="P119" i="36"/>
  <c r="D167" i="36"/>
  <c r="P167" i="36" s="1"/>
  <c r="Q153" i="36"/>
  <c r="E201" i="36"/>
  <c r="Q201" i="36" s="1"/>
  <c r="Q149" i="36"/>
  <c r="E197" i="36"/>
  <c r="Q197" i="36" s="1"/>
  <c r="E123" i="43"/>
  <c r="B125" i="43" s="1"/>
  <c r="E156" i="43"/>
  <c r="B158" i="43" s="1"/>
  <c r="F170" i="43"/>
  <c r="P174" i="43" s="1"/>
  <c r="P106" i="43"/>
  <c r="Q132" i="36"/>
  <c r="E180" i="36"/>
  <c r="Q180" i="36" s="1"/>
  <c r="O130" i="36"/>
  <c r="C178" i="36"/>
  <c r="O178" i="36" s="1"/>
  <c r="P127" i="36"/>
  <c r="D175" i="36"/>
  <c r="P175" i="36" s="1"/>
  <c r="P123" i="36"/>
  <c r="D171" i="36"/>
  <c r="P171" i="36" s="1"/>
  <c r="P152" i="36"/>
  <c r="D200" i="36"/>
  <c r="P200" i="36" s="1"/>
  <c r="Q145" i="36"/>
  <c r="E193" i="36"/>
  <c r="Q193" i="36" s="1"/>
  <c r="B110" i="45"/>
  <c r="E110" i="45" s="1"/>
  <c r="F110" i="45" s="1"/>
  <c r="E78" i="45"/>
  <c r="F78" i="45" s="1"/>
  <c r="Q158" i="36"/>
  <c r="E206" i="36"/>
  <c r="Q206" i="36" s="1"/>
  <c r="D205" i="36"/>
  <c r="P205" i="36" s="1"/>
  <c r="P157" i="36"/>
  <c r="D193" i="36"/>
  <c r="P193" i="36" s="1"/>
  <c r="P145" i="36"/>
  <c r="L11" i="43"/>
  <c r="L14" i="43"/>
  <c r="H47" i="43"/>
  <c r="L47" i="43" s="1"/>
  <c r="E91" i="43"/>
  <c r="B93" i="43" s="1"/>
  <c r="L76" i="43"/>
  <c r="F138" i="43"/>
  <c r="P142" i="43" s="1"/>
  <c r="L172" i="43"/>
  <c r="L175" i="43"/>
  <c r="H208" i="43"/>
  <c r="L208" i="43" s="1"/>
  <c r="E252" i="43"/>
  <c r="B254" i="43" s="1"/>
  <c r="L237" i="43"/>
  <c r="Q134" i="36"/>
  <c r="E182" i="36"/>
  <c r="Q182" i="36" s="1"/>
  <c r="P133" i="36"/>
  <c r="D181" i="36"/>
  <c r="P181" i="36" s="1"/>
  <c r="O132" i="36"/>
  <c r="C180" i="36"/>
  <c r="O180" i="36" s="1"/>
  <c r="Q130" i="36"/>
  <c r="E178" i="36"/>
  <c r="Q178" i="36" s="1"/>
  <c r="P129" i="36"/>
  <c r="D177" i="36"/>
  <c r="P177" i="36" s="1"/>
  <c r="O128" i="36"/>
  <c r="C176" i="36"/>
  <c r="O176" i="36" s="1"/>
  <c r="P125" i="36"/>
  <c r="D173" i="36"/>
  <c r="P173" i="36" s="1"/>
  <c r="O124" i="36"/>
  <c r="C172" i="36"/>
  <c r="O172" i="36" s="1"/>
  <c r="Q122" i="36"/>
  <c r="E170" i="36"/>
  <c r="Q170" i="36" s="1"/>
  <c r="P121" i="36"/>
  <c r="D169" i="36"/>
  <c r="P169" i="36" s="1"/>
  <c r="O120" i="36"/>
  <c r="C168" i="36"/>
  <c r="O168" i="36" s="1"/>
  <c r="Q118" i="36"/>
  <c r="E166" i="36"/>
  <c r="Q166" i="36" s="1"/>
  <c r="O152" i="36"/>
  <c r="O155" i="36"/>
  <c r="D202" i="36"/>
  <c r="P202" i="36" s="1"/>
  <c r="P154" i="36"/>
  <c r="E199" i="36"/>
  <c r="Q199" i="36" s="1"/>
  <c r="Q151" i="36"/>
  <c r="C197" i="36"/>
  <c r="O197" i="36" s="1"/>
  <c r="O149" i="36"/>
  <c r="D190" i="36"/>
  <c r="P190" i="36" s="1"/>
  <c r="P143" i="36"/>
  <c r="L143" i="45"/>
  <c r="L45" i="45"/>
  <c r="P50" i="45"/>
  <c r="L111" i="45"/>
  <c r="P149" i="45"/>
  <c r="P139" i="45"/>
  <c r="C199" i="36"/>
  <c r="O199" i="36" s="1"/>
  <c r="P47" i="43"/>
  <c r="P50" i="43"/>
  <c r="F9" i="43"/>
  <c r="P13" i="43" s="1"/>
  <c r="H79" i="43"/>
  <c r="H240" i="43"/>
  <c r="E59" i="43"/>
  <c r="B61" i="43" s="1"/>
  <c r="L44" i="43"/>
  <c r="P52" i="43"/>
  <c r="P77" i="43"/>
  <c r="P79" i="43"/>
  <c r="P82" i="43"/>
  <c r="L107" i="43"/>
  <c r="L110" i="43"/>
  <c r="P116" i="43"/>
  <c r="L140" i="43"/>
  <c r="L143" i="43"/>
  <c r="L176" i="43"/>
  <c r="E220" i="43"/>
  <c r="B222" i="43" s="1"/>
  <c r="P213" i="43"/>
  <c r="P238" i="43"/>
  <c r="P134" i="36"/>
  <c r="D182" i="36"/>
  <c r="P182" i="36" s="1"/>
  <c r="O133" i="36"/>
  <c r="C181" i="36"/>
  <c r="O181" i="36" s="1"/>
  <c r="Q131" i="36"/>
  <c r="E179" i="36"/>
  <c r="Q179" i="36" s="1"/>
  <c r="P130" i="36"/>
  <c r="D178" i="36"/>
  <c r="P178" i="36" s="1"/>
  <c r="O129" i="36"/>
  <c r="C177" i="36"/>
  <c r="O177" i="36" s="1"/>
  <c r="Q127" i="36"/>
  <c r="E175" i="36"/>
  <c r="Q175" i="36" s="1"/>
  <c r="O125" i="36"/>
  <c r="C173" i="36"/>
  <c r="O173" i="36" s="1"/>
  <c r="Q123" i="36"/>
  <c r="E171" i="36"/>
  <c r="Q171" i="36" s="1"/>
  <c r="P122" i="36"/>
  <c r="D170" i="36"/>
  <c r="P170" i="36" s="1"/>
  <c r="O121" i="36"/>
  <c r="C169" i="36"/>
  <c r="O169" i="36" s="1"/>
  <c r="Q119" i="36"/>
  <c r="E167" i="36"/>
  <c r="Q167" i="36" s="1"/>
  <c r="Q142" i="36"/>
  <c r="Q146" i="36"/>
  <c r="Q156" i="36"/>
  <c r="H31" i="45"/>
  <c r="P21" i="45"/>
  <c r="H62" i="45"/>
  <c r="P52" i="45"/>
  <c r="E119" i="45"/>
  <c r="F119" i="45" s="1"/>
  <c r="P144" i="45"/>
  <c r="P146" i="45"/>
  <c r="P180" i="45"/>
  <c r="P182" i="45"/>
  <c r="D235" i="45"/>
  <c r="E235" i="45" s="1"/>
  <c r="F235" i="45" s="1"/>
  <c r="E203" i="45"/>
  <c r="F203" i="45" s="1"/>
  <c r="P207" i="45" s="1"/>
  <c r="E106" i="45"/>
  <c r="F106" i="45" s="1"/>
  <c r="E77" i="45"/>
  <c r="F77" i="45" s="1"/>
  <c r="H144" i="45"/>
  <c r="P181" i="45"/>
  <c r="Q133" i="36"/>
  <c r="P132" i="36"/>
  <c r="D180" i="36"/>
  <c r="P180" i="36" s="1"/>
  <c r="O131" i="36"/>
  <c r="C179" i="36"/>
  <c r="O179" i="36" s="1"/>
  <c r="Q129" i="36"/>
  <c r="E177" i="36"/>
  <c r="Q177" i="36" s="1"/>
  <c r="P128" i="36"/>
  <c r="O127" i="36"/>
  <c r="C175" i="36"/>
  <c r="O175" i="36" s="1"/>
  <c r="Q125" i="36"/>
  <c r="E173" i="36"/>
  <c r="Q173" i="36" s="1"/>
  <c r="P124" i="36"/>
  <c r="D172" i="36"/>
  <c r="P172" i="36" s="1"/>
  <c r="O123" i="36"/>
  <c r="C171" i="36"/>
  <c r="O171" i="36" s="1"/>
  <c r="Q121" i="36"/>
  <c r="E169" i="36"/>
  <c r="Q169" i="36" s="1"/>
  <c r="P120" i="36"/>
  <c r="D168" i="36"/>
  <c r="P168" i="36" s="1"/>
  <c r="O119" i="36"/>
  <c r="C167" i="36"/>
  <c r="O167" i="36" s="1"/>
  <c r="P14" i="45"/>
  <c r="L14" i="45"/>
  <c r="P150" i="45"/>
  <c r="E204" i="45"/>
  <c r="F204" i="45" s="1"/>
  <c r="E205" i="45"/>
  <c r="F205" i="45" s="1"/>
  <c r="P209" i="45" s="1"/>
  <c r="E207" i="45"/>
  <c r="F207" i="45" s="1"/>
  <c r="E214" i="45"/>
  <c r="F214" i="45" s="1"/>
  <c r="L12" i="45"/>
  <c r="P20" i="45"/>
  <c r="L44" i="45"/>
  <c r="H79" i="45"/>
  <c r="L79" i="45" s="1"/>
  <c r="L108" i="45"/>
  <c r="P147" i="45"/>
  <c r="E206" i="45"/>
  <c r="F206" i="45" s="1"/>
  <c r="E239" i="45"/>
  <c r="F239" i="45" s="1"/>
  <c r="E213" i="45"/>
  <c r="F213" i="45" s="1"/>
  <c r="P146" i="36"/>
  <c r="P49" i="45"/>
  <c r="E107" i="45"/>
  <c r="F107" i="45" s="1"/>
  <c r="H29" i="45"/>
  <c r="P19" i="45"/>
  <c r="P46" i="45"/>
  <c r="P42" i="45"/>
  <c r="E111" i="45"/>
  <c r="F111" i="45" s="1"/>
  <c r="F9" i="45"/>
  <c r="F41" i="45"/>
  <c r="E216" i="45"/>
  <c r="F216" i="45" s="1"/>
  <c r="B248" i="45"/>
  <c r="E248" i="45" s="1"/>
  <c r="F248" i="45" s="1"/>
  <c r="P243" i="45" s="1"/>
  <c r="H17" i="45"/>
  <c r="L13" i="45"/>
  <c r="L46" i="45"/>
  <c r="H61" i="45"/>
  <c r="H56" i="45"/>
  <c r="D60" i="45"/>
  <c r="C91" i="45"/>
  <c r="C92" i="45" s="1"/>
  <c r="E74" i="45"/>
  <c r="F74" i="45" s="1"/>
  <c r="H81" i="45"/>
  <c r="E76" i="45"/>
  <c r="F76" i="45" s="1"/>
  <c r="E80" i="45"/>
  <c r="F80" i="45" s="1"/>
  <c r="E82" i="45"/>
  <c r="F82" i="45" s="1"/>
  <c r="E84" i="45"/>
  <c r="F84" i="45" s="1"/>
  <c r="E87" i="45"/>
  <c r="F87" i="45" s="1"/>
  <c r="P82" i="45" s="1"/>
  <c r="B91" i="45"/>
  <c r="H113" i="45"/>
  <c r="L110" i="45"/>
  <c r="B112" i="45"/>
  <c r="E112" i="45" s="1"/>
  <c r="F112" i="45" s="1"/>
  <c r="B113" i="45"/>
  <c r="E113" i="45" s="1"/>
  <c r="F113" i="45" s="1"/>
  <c r="C120" i="45"/>
  <c r="E120" i="45" s="1"/>
  <c r="F120" i="45" s="1"/>
  <c r="L144" i="45"/>
  <c r="L172" i="45"/>
  <c r="L208" i="45"/>
  <c r="E249" i="45"/>
  <c r="F249" i="45" s="1"/>
  <c r="B236" i="45"/>
  <c r="E236" i="45" s="1"/>
  <c r="F236" i="45" s="1"/>
  <c r="B237" i="45"/>
  <c r="E237" i="45" s="1"/>
  <c r="F237" i="45" s="1"/>
  <c r="B238" i="45"/>
  <c r="E238" i="45" s="1"/>
  <c r="F238" i="45" s="1"/>
  <c r="P242" i="45" s="1"/>
  <c r="E27" i="45"/>
  <c r="B29" i="45" s="1"/>
  <c r="I14" i="45" s="1"/>
  <c r="J14" i="45" s="1"/>
  <c r="H30" i="45"/>
  <c r="H25" i="45"/>
  <c r="P15" i="45"/>
  <c r="H24" i="45"/>
  <c r="H27" i="45"/>
  <c r="H49" i="45"/>
  <c r="P51" i="45"/>
  <c r="L75" i="45"/>
  <c r="L77" i="45"/>
  <c r="L78" i="45"/>
  <c r="E86" i="45"/>
  <c r="F86" i="45" s="1"/>
  <c r="P81" i="45" s="1"/>
  <c r="E89" i="45"/>
  <c r="F89" i="45" s="1"/>
  <c r="F91" i="45"/>
  <c r="D105" i="45"/>
  <c r="D123" i="45" s="1"/>
  <c r="D124" i="45" s="1"/>
  <c r="L107" i="45"/>
  <c r="C109" i="45"/>
  <c r="E109" i="45" s="1"/>
  <c r="F109" i="45" s="1"/>
  <c r="P113" i="45" s="1"/>
  <c r="B114" i="45"/>
  <c r="E114" i="45" s="1"/>
  <c r="F114" i="45" s="1"/>
  <c r="B116" i="45"/>
  <c r="E116" i="45" s="1"/>
  <c r="F116" i="45" s="1"/>
  <c r="B121" i="45"/>
  <c r="E121" i="45" s="1"/>
  <c r="F121" i="45" s="1"/>
  <c r="B122" i="45"/>
  <c r="E122" i="45" s="1"/>
  <c r="F122" i="45" s="1"/>
  <c r="H146" i="45"/>
  <c r="L174" i="45"/>
  <c r="P171" i="45"/>
  <c r="L207" i="45"/>
  <c r="E209" i="45"/>
  <c r="F209" i="45" s="1"/>
  <c r="E218" i="45"/>
  <c r="F218" i="45" s="1"/>
  <c r="E219" i="45"/>
  <c r="F219" i="45" s="1"/>
  <c r="P214" i="45" s="1"/>
  <c r="B251" i="45"/>
  <c r="E251" i="45" s="1"/>
  <c r="F251" i="45" s="1"/>
  <c r="P246" i="45" s="1"/>
  <c r="H59" i="45"/>
  <c r="P16" i="45"/>
  <c r="H26" i="45"/>
  <c r="L43" i="45"/>
  <c r="P48" i="45"/>
  <c r="E59" i="45"/>
  <c r="B61" i="45" s="1"/>
  <c r="B62" i="45" s="1"/>
  <c r="E73" i="45"/>
  <c r="E75" i="45"/>
  <c r="F75" i="45" s="1"/>
  <c r="E83" i="45"/>
  <c r="F83" i="45" s="1"/>
  <c r="E85" i="45"/>
  <c r="F85" i="45" s="1"/>
  <c r="C105" i="45"/>
  <c r="L140" i="45"/>
  <c r="D220" i="45"/>
  <c r="D221" i="45" s="1"/>
  <c r="L205" i="45"/>
  <c r="P211" i="45"/>
  <c r="E240" i="45"/>
  <c r="F240" i="45" s="1"/>
  <c r="P244" i="45" s="1"/>
  <c r="L237" i="45"/>
  <c r="L240" i="45"/>
  <c r="L239" i="45"/>
  <c r="H63" i="45"/>
  <c r="P53" i="45"/>
  <c r="E188" i="45"/>
  <c r="B190" i="45" s="1"/>
  <c r="B191" i="45" s="1"/>
  <c r="F170" i="45"/>
  <c r="H60" i="45"/>
  <c r="L76" i="45"/>
  <c r="L109" i="45"/>
  <c r="B115" i="45"/>
  <c r="E115" i="45" s="1"/>
  <c r="F115" i="45" s="1"/>
  <c r="P110" i="45" s="1"/>
  <c r="B117" i="45"/>
  <c r="E117" i="45" s="1"/>
  <c r="F117" i="45" s="1"/>
  <c r="P112" i="45" s="1"/>
  <c r="F141" i="45"/>
  <c r="P145" i="45" s="1"/>
  <c r="Q145" i="45" s="1"/>
  <c r="L141" i="45"/>
  <c r="L173" i="45"/>
  <c r="L175" i="45"/>
  <c r="D191" i="45"/>
  <c r="I172" i="45" s="1"/>
  <c r="J172" i="45" s="1"/>
  <c r="C220" i="45"/>
  <c r="C221" i="45" s="1"/>
  <c r="D234" i="45"/>
  <c r="D252" i="45" s="1"/>
  <c r="D253" i="45" s="1"/>
  <c r="H178" i="45"/>
  <c r="E202" i="45"/>
  <c r="L204" i="45"/>
  <c r="L206" i="45"/>
  <c r="E208" i="45"/>
  <c r="F208" i="45" s="1"/>
  <c r="E215" i="45"/>
  <c r="F215" i="45" s="1"/>
  <c r="P210" i="45" s="1"/>
  <c r="E217" i="45"/>
  <c r="F217" i="45" s="1"/>
  <c r="B220" i="45"/>
  <c r="F220" i="45"/>
  <c r="L236" i="45"/>
  <c r="L238" i="45"/>
  <c r="C234" i="45"/>
  <c r="C252" i="45" s="1"/>
  <c r="C253" i="45" s="1"/>
  <c r="B241" i="45"/>
  <c r="E241" i="45" s="1"/>
  <c r="F241" i="45" s="1"/>
  <c r="B243" i="45"/>
  <c r="E243" i="45" s="1"/>
  <c r="F243" i="45" s="1"/>
  <c r="B244" i="45"/>
  <c r="E244" i="45" s="1"/>
  <c r="F244" i="45" s="1"/>
  <c r="B245" i="45"/>
  <c r="E245" i="45" s="1"/>
  <c r="F245" i="45" s="1"/>
  <c r="B246" i="45"/>
  <c r="E246" i="45" s="1"/>
  <c r="F246" i="45" s="1"/>
  <c r="B250" i="45"/>
  <c r="E250" i="45" s="1"/>
  <c r="F250" i="45" s="1"/>
  <c r="L11" i="45"/>
  <c r="L142" i="45"/>
  <c r="E156" i="45"/>
  <c r="B158" i="45" s="1"/>
  <c r="B159" i="45" s="1"/>
  <c r="O146" i="36"/>
  <c r="O156" i="36"/>
  <c r="O147" i="36"/>
  <c r="O154" i="36"/>
  <c r="P153" i="36"/>
  <c r="O157" i="36"/>
  <c r="O145" i="36"/>
  <c r="P156" i="36"/>
  <c r="P142" i="36"/>
  <c r="P144" i="36"/>
  <c r="B95" i="43"/>
  <c r="I76" i="43" s="1"/>
  <c r="I77" i="43"/>
  <c r="J77" i="43" s="1"/>
  <c r="B94" i="43"/>
  <c r="D94" i="43"/>
  <c r="I75" i="43" s="1"/>
  <c r="J75" i="43" s="1"/>
  <c r="B255" i="43"/>
  <c r="D255" i="43"/>
  <c r="I236" i="43" s="1"/>
  <c r="J236" i="43" s="1"/>
  <c r="B256" i="43"/>
  <c r="I237" i="43" s="1"/>
  <c r="I238" i="43"/>
  <c r="J238" i="43" s="1"/>
  <c r="P20" i="43"/>
  <c r="P42" i="43"/>
  <c r="P83" i="43"/>
  <c r="P85" i="43"/>
  <c r="Q85" i="43" s="1"/>
  <c r="P114" i="43"/>
  <c r="P203" i="43"/>
  <c r="P244" i="43"/>
  <c r="B31" i="43"/>
  <c r="I12" i="43" s="1"/>
  <c r="B30" i="43"/>
  <c r="D30" i="43"/>
  <c r="I11" i="43" s="1"/>
  <c r="J11" i="43" s="1"/>
  <c r="I13" i="43"/>
  <c r="J13" i="43" s="1"/>
  <c r="L79" i="43"/>
  <c r="H81" i="43"/>
  <c r="B126" i="43"/>
  <c r="B127" i="43"/>
  <c r="I108" i="43" s="1"/>
  <c r="D126" i="43"/>
  <c r="I107" i="43" s="1"/>
  <c r="J107" i="43" s="1"/>
  <c r="I110" i="43"/>
  <c r="J110" i="43" s="1"/>
  <c r="I109" i="43"/>
  <c r="J109" i="43" s="1"/>
  <c r="B160" i="43"/>
  <c r="I141" i="43" s="1"/>
  <c r="I142" i="43"/>
  <c r="J142" i="43" s="1"/>
  <c r="B159" i="43"/>
  <c r="D159" i="43"/>
  <c r="I140" i="43" s="1"/>
  <c r="J140" i="43" s="1"/>
  <c r="L240" i="43"/>
  <c r="H242" i="43"/>
  <c r="P17" i="43"/>
  <c r="Q78" i="43"/>
  <c r="P74" i="43"/>
  <c r="P148" i="43"/>
  <c r="P150" i="43"/>
  <c r="P241" i="43"/>
  <c r="Q241" i="43" s="1"/>
  <c r="P182" i="43"/>
  <c r="Q182" i="43" s="1"/>
  <c r="Q245" i="43"/>
  <c r="L144" i="43"/>
  <c r="H146" i="43"/>
  <c r="B191" i="43"/>
  <c r="D191" i="43"/>
  <c r="I172" i="43" s="1"/>
  <c r="J172" i="43" s="1"/>
  <c r="I175" i="43"/>
  <c r="J175" i="43" s="1"/>
  <c r="B192" i="43"/>
  <c r="I173" i="43" s="1"/>
  <c r="I174" i="43"/>
  <c r="J174" i="43" s="1"/>
  <c r="L15" i="43"/>
  <c r="H17" i="43"/>
  <c r="B62" i="43"/>
  <c r="I46" i="43"/>
  <c r="J46" i="43" s="1"/>
  <c r="D62" i="43"/>
  <c r="I43" i="43" s="1"/>
  <c r="J43" i="43" s="1"/>
  <c r="B63" i="43"/>
  <c r="I44" i="43" s="1"/>
  <c r="I45" i="43"/>
  <c r="J45" i="43" s="1"/>
  <c r="B224" i="43"/>
  <c r="I205" i="43" s="1"/>
  <c r="I206" i="43"/>
  <c r="J206" i="43" s="1"/>
  <c r="B223" i="43"/>
  <c r="D223" i="43"/>
  <c r="I204" i="43" s="1"/>
  <c r="J204" i="43" s="1"/>
  <c r="I207" i="43"/>
  <c r="J207" i="43" s="1"/>
  <c r="Q81" i="43"/>
  <c r="Q84" i="43"/>
  <c r="P14" i="43"/>
  <c r="Q14" i="43" s="1"/>
  <c r="P10" i="43"/>
  <c r="P51" i="43"/>
  <c r="P53" i="43"/>
  <c r="Q77" i="43"/>
  <c r="Q82" i="43"/>
  <c r="P146" i="43"/>
  <c r="Q146" i="43" s="1"/>
  <c r="P149" i="43"/>
  <c r="P175" i="43"/>
  <c r="P171" i="43"/>
  <c r="H210" i="43"/>
  <c r="P212" i="43"/>
  <c r="P214" i="43"/>
  <c r="Q214" i="43" s="1"/>
  <c r="Q213" i="43"/>
  <c r="Q238" i="43"/>
  <c r="Q243" i="43"/>
  <c r="I14" i="43"/>
  <c r="J14" i="43" s="1"/>
  <c r="H178" i="43"/>
  <c r="L205" i="43"/>
  <c r="H49" i="43"/>
  <c r="I78" i="43"/>
  <c r="J78" i="43" s="1"/>
  <c r="H113" i="43"/>
  <c r="I143" i="43"/>
  <c r="J143" i="43" s="1"/>
  <c r="P9" i="43"/>
  <c r="Q9" i="43" s="1"/>
  <c r="L45" i="43"/>
  <c r="P73" i="43"/>
  <c r="Q73" i="43" s="1"/>
  <c r="L109" i="43"/>
  <c r="F113" i="43"/>
  <c r="P117" i="43" s="1"/>
  <c r="Q117" i="43" s="1"/>
  <c r="P138" i="43"/>
  <c r="Q138" i="43" s="1"/>
  <c r="L174" i="43"/>
  <c r="P202" i="43"/>
  <c r="L238" i="43"/>
  <c r="I239" i="43"/>
  <c r="J239" i="43" s="1"/>
  <c r="L13" i="43"/>
  <c r="P41" i="43"/>
  <c r="L77" i="43"/>
  <c r="P105" i="43"/>
  <c r="L142" i="43"/>
  <c r="P170" i="43"/>
  <c r="L206" i="43"/>
  <c r="P234" i="43"/>
  <c r="Q234" i="43" s="1"/>
  <c r="Q177" i="43" l="1"/>
  <c r="Q51" i="43"/>
  <c r="Q170" i="43"/>
  <c r="Q41" i="43"/>
  <c r="Q202" i="43"/>
  <c r="Q240" i="43"/>
  <c r="Q209" i="43"/>
  <c r="Q79" i="43"/>
  <c r="Q242" i="43"/>
  <c r="Q239" i="43"/>
  <c r="Q80" i="43"/>
  <c r="P79" i="45"/>
  <c r="P114" i="45"/>
  <c r="Q180" i="43"/>
  <c r="Q112" i="43"/>
  <c r="P239" i="45"/>
  <c r="P208" i="45"/>
  <c r="P203" i="45"/>
  <c r="I174" i="45"/>
  <c r="J174" i="45" s="1"/>
  <c r="B63" i="45"/>
  <c r="I44" i="45" s="1"/>
  <c r="P213" i="45"/>
  <c r="P241" i="45"/>
  <c r="P116" i="45"/>
  <c r="P80" i="45"/>
  <c r="B31" i="45"/>
  <c r="I12" i="45" s="1"/>
  <c r="P115" i="45"/>
  <c r="Q144" i="45"/>
  <c r="I146" i="45"/>
  <c r="P174" i="45"/>
  <c r="P170" i="45"/>
  <c r="Q170" i="45" s="1"/>
  <c r="C123" i="45"/>
  <c r="C124" i="45" s="1"/>
  <c r="E105" i="45"/>
  <c r="I77" i="45"/>
  <c r="J77" i="45" s="1"/>
  <c r="F73" i="45"/>
  <c r="E91" i="45"/>
  <c r="B93" i="45" s="1"/>
  <c r="B94" i="45" s="1"/>
  <c r="B92" i="45"/>
  <c r="P13" i="45"/>
  <c r="Q16" i="45" s="1"/>
  <c r="P9" i="45"/>
  <c r="H23" i="45"/>
  <c r="P235" i="45"/>
  <c r="Q149" i="45"/>
  <c r="B123" i="45"/>
  <c r="P106" i="45"/>
  <c r="I143" i="45"/>
  <c r="J143" i="45" s="1"/>
  <c r="P117" i="45"/>
  <c r="P84" i="45"/>
  <c r="F252" i="45"/>
  <c r="Q148" i="45"/>
  <c r="Q147" i="45"/>
  <c r="Q146" i="45"/>
  <c r="P111" i="45"/>
  <c r="B221" i="45"/>
  <c r="P245" i="45"/>
  <c r="P212" i="45"/>
  <c r="I175" i="45"/>
  <c r="J175" i="45" s="1"/>
  <c r="Q150" i="45"/>
  <c r="F123" i="45"/>
  <c r="I46" i="45"/>
  <c r="J46" i="45" s="1"/>
  <c r="I13" i="45"/>
  <c r="J13" i="45" s="1"/>
  <c r="Q171" i="45"/>
  <c r="P138" i="45"/>
  <c r="Q15" i="45"/>
  <c r="P74" i="45"/>
  <c r="P78" i="45"/>
  <c r="B252" i="45"/>
  <c r="I45" i="45"/>
  <c r="J45" i="45" s="1"/>
  <c r="Q19" i="45"/>
  <c r="B192" i="45"/>
  <c r="I173" i="45" s="1"/>
  <c r="D62" i="45"/>
  <c r="I43" i="45" s="1"/>
  <c r="J43" i="45" s="1"/>
  <c r="F202" i="45"/>
  <c r="E220" i="45"/>
  <c r="B222" i="45" s="1"/>
  <c r="B223" i="45" s="1"/>
  <c r="I178" i="45"/>
  <c r="I49" i="45"/>
  <c r="B30" i="45"/>
  <c r="D30" i="45"/>
  <c r="I11" i="45" s="1"/>
  <c r="J11" i="45" s="1"/>
  <c r="H55" i="45"/>
  <c r="P45" i="45"/>
  <c r="Q48" i="45" s="1"/>
  <c r="P41" i="45"/>
  <c r="B160" i="45"/>
  <c r="I141" i="45" s="1"/>
  <c r="D159" i="45"/>
  <c r="I140" i="45" s="1"/>
  <c r="J140" i="45" s="1"/>
  <c r="Q143" i="45"/>
  <c r="P240" i="45"/>
  <c r="I142" i="45"/>
  <c r="J142" i="45" s="1"/>
  <c r="E234" i="45"/>
  <c r="Q142" i="45"/>
  <c r="L116" i="43"/>
  <c r="Q105" i="43"/>
  <c r="D224" i="43"/>
  <c r="I209" i="43" s="1"/>
  <c r="J209" i="43" s="1"/>
  <c r="I210" i="43"/>
  <c r="I47" i="43"/>
  <c r="J47" i="43" s="1"/>
  <c r="J44" i="43"/>
  <c r="I144" i="43"/>
  <c r="J144" i="43" s="1"/>
  <c r="J141" i="43"/>
  <c r="I111" i="43"/>
  <c r="J111" i="43" s="1"/>
  <c r="J108" i="43"/>
  <c r="I242" i="43"/>
  <c r="D256" i="43"/>
  <c r="I241" i="43" s="1"/>
  <c r="J241" i="43" s="1"/>
  <c r="I79" i="43"/>
  <c r="J79" i="43" s="1"/>
  <c r="J76" i="43"/>
  <c r="Q171" i="43"/>
  <c r="Q139" i="43"/>
  <c r="Q211" i="43"/>
  <c r="Q21" i="43"/>
  <c r="Q210" i="43"/>
  <c r="Q150" i="43"/>
  <c r="Q15" i="43"/>
  <c r="Q246" i="43"/>
  <c r="Q207" i="43"/>
  <c r="Q144" i="43"/>
  <c r="Q109" i="43"/>
  <c r="Q48" i="43"/>
  <c r="Q110" i="43"/>
  <c r="I49" i="43"/>
  <c r="D63" i="43"/>
  <c r="I48" i="43" s="1"/>
  <c r="J48" i="43" s="1"/>
  <c r="I176" i="43"/>
  <c r="J176" i="43" s="1"/>
  <c r="J173" i="43"/>
  <c r="I15" i="43"/>
  <c r="J15" i="43" s="1"/>
  <c r="J12" i="43"/>
  <c r="Q149" i="43"/>
  <c r="Q53" i="43"/>
  <c r="Q106" i="43"/>
  <c r="Q45" i="43"/>
  <c r="Q174" i="43"/>
  <c r="Q74" i="43"/>
  <c r="Q18" i="43"/>
  <c r="Q147" i="43"/>
  <c r="Q111" i="43"/>
  <c r="Q42" i="43"/>
  <c r="I208" i="43"/>
  <c r="J208" i="43" s="1"/>
  <c r="K208" i="43" s="1"/>
  <c r="M208" i="43" s="1"/>
  <c r="J205" i="43"/>
  <c r="I178" i="43"/>
  <c r="D192" i="43"/>
  <c r="I177" i="43" s="1"/>
  <c r="J177" i="43" s="1"/>
  <c r="D160" i="43"/>
  <c r="I145" i="43" s="1"/>
  <c r="J145" i="43" s="1"/>
  <c r="I146" i="43"/>
  <c r="D31" i="43"/>
  <c r="I16" i="43" s="1"/>
  <c r="J16" i="43" s="1"/>
  <c r="K78" i="43" s="1"/>
  <c r="M78" i="43" s="1"/>
  <c r="I17" i="43"/>
  <c r="I240" i="43"/>
  <c r="J240" i="43" s="1"/>
  <c r="K240" i="43" s="1"/>
  <c r="M240" i="43" s="1"/>
  <c r="J237" i="43"/>
  <c r="D95" i="43"/>
  <c r="I80" i="43" s="1"/>
  <c r="J80" i="43" s="1"/>
  <c r="I81" i="43"/>
  <c r="K143" i="43"/>
  <c r="M143" i="43" s="1"/>
  <c r="Q212" i="43"/>
  <c r="Q175" i="43"/>
  <c r="Q113" i="43"/>
  <c r="Q52" i="43"/>
  <c r="Q16" i="43"/>
  <c r="Q143" i="43"/>
  <c r="K46" i="43"/>
  <c r="M46" i="43" s="1"/>
  <c r="Q206" i="43"/>
  <c r="Q47" i="43"/>
  <c r="Q176" i="43"/>
  <c r="Q115" i="43"/>
  <c r="Q49" i="43"/>
  <c r="Q17" i="43"/>
  <c r="K110" i="43"/>
  <c r="M110" i="43" s="1"/>
  <c r="Q203" i="43"/>
  <c r="Q178" i="43"/>
  <c r="Q114" i="43"/>
  <c r="Q83" i="43"/>
  <c r="Q20" i="43"/>
  <c r="I113" i="43"/>
  <c r="D127" i="43"/>
  <c r="I112" i="43" s="1"/>
  <c r="J112" i="43" s="1"/>
  <c r="Q116" i="43"/>
  <c r="Q10" i="43"/>
  <c r="Q145" i="43"/>
  <c r="K43" i="43"/>
  <c r="M43" i="43" s="1"/>
  <c r="K172" i="43"/>
  <c r="M172" i="43" s="1"/>
  <c r="Q235" i="43"/>
  <c r="Q208" i="43"/>
  <c r="Q50" i="43"/>
  <c r="Q19" i="43"/>
  <c r="Q179" i="43"/>
  <c r="Q148" i="43"/>
  <c r="Q13" i="43"/>
  <c r="K140" i="43"/>
  <c r="M140" i="43" s="1"/>
  <c r="K109" i="43"/>
  <c r="M109" i="43" s="1"/>
  <c r="K11" i="43"/>
  <c r="M11" i="43" s="1"/>
  <c r="Q244" i="43"/>
  <c r="Q181" i="43"/>
  <c r="Q142" i="43"/>
  <c r="Q46" i="43"/>
  <c r="K238" i="43"/>
  <c r="M238" i="43" s="1"/>
  <c r="K75" i="43"/>
  <c r="M75" i="43" s="1"/>
  <c r="K173" i="43" l="1"/>
  <c r="M173" i="43" s="1"/>
  <c r="K175" i="43"/>
  <c r="M175" i="43" s="1"/>
  <c r="K76" i="43"/>
  <c r="M76" i="43" s="1"/>
  <c r="K108" i="43"/>
  <c r="M108" i="43" s="1"/>
  <c r="K44" i="43"/>
  <c r="M44" i="43" s="1"/>
  <c r="K206" i="43"/>
  <c r="M206" i="43" s="1"/>
  <c r="K207" i="43"/>
  <c r="M207" i="43" s="1"/>
  <c r="K77" i="43"/>
  <c r="M77" i="43" s="1"/>
  <c r="K142" i="43"/>
  <c r="M142" i="43" s="1"/>
  <c r="D192" i="45"/>
  <c r="I177" i="45" s="1"/>
  <c r="J177" i="45" s="1"/>
  <c r="I78" i="45"/>
  <c r="J78" i="45" s="1"/>
  <c r="K204" i="43"/>
  <c r="M204" i="43" s="1"/>
  <c r="K12" i="43"/>
  <c r="M12" i="43" s="1"/>
  <c r="K13" i="43"/>
  <c r="M13" i="43" s="1"/>
  <c r="K174" i="43"/>
  <c r="M174" i="43" s="1"/>
  <c r="K237" i="43"/>
  <c r="M237" i="43" s="1"/>
  <c r="K205" i="43"/>
  <c r="M205" i="43" s="1"/>
  <c r="D94" i="45"/>
  <c r="I75" i="45" s="1"/>
  <c r="J75" i="45" s="1"/>
  <c r="F234" i="45"/>
  <c r="E252" i="45"/>
  <c r="B254" i="45" s="1"/>
  <c r="B255" i="45" s="1"/>
  <c r="Q41" i="45"/>
  <c r="K53" i="45"/>
  <c r="L52" i="45"/>
  <c r="D31" i="45"/>
  <c r="I16" i="45" s="1"/>
  <c r="J16" i="45" s="1"/>
  <c r="K13" i="45" s="1"/>
  <c r="M13" i="45" s="1"/>
  <c r="I17" i="45"/>
  <c r="P206" i="45"/>
  <c r="P202" i="45"/>
  <c r="Q202" i="45" s="1"/>
  <c r="Q138" i="45"/>
  <c r="Q139" i="45"/>
  <c r="B124" i="45"/>
  <c r="L19" i="45"/>
  <c r="Q9" i="45"/>
  <c r="Q10" i="45"/>
  <c r="Q174" i="45"/>
  <c r="Q175" i="45"/>
  <c r="Q177" i="45"/>
  <c r="Q181" i="45"/>
  <c r="Q182" i="45"/>
  <c r="Q179" i="45"/>
  <c r="Q176" i="45"/>
  <c r="Q178" i="45"/>
  <c r="Q180" i="45"/>
  <c r="Q53" i="45"/>
  <c r="I144" i="45"/>
  <c r="J144" i="45" s="1"/>
  <c r="J141" i="45"/>
  <c r="P183" i="45"/>
  <c r="H181" i="45"/>
  <c r="H180" i="45"/>
  <c r="P173" i="45"/>
  <c r="P184" i="45"/>
  <c r="P172" i="45"/>
  <c r="H179" i="45"/>
  <c r="I176" i="45"/>
  <c r="J176" i="45" s="1"/>
  <c r="J173" i="45"/>
  <c r="B253" i="45"/>
  <c r="D255" i="45"/>
  <c r="I236" i="45" s="1"/>
  <c r="J236" i="45" s="1"/>
  <c r="K236" i="45" s="1"/>
  <c r="M236" i="45" s="1"/>
  <c r="P73" i="45"/>
  <c r="Q73" i="45" s="1"/>
  <c r="P77" i="45"/>
  <c r="Q78" i="45" s="1"/>
  <c r="I47" i="45"/>
  <c r="J47" i="45" s="1"/>
  <c r="K47" i="45" s="1"/>
  <c r="M47" i="45" s="1"/>
  <c r="J44" i="45"/>
  <c r="K44" i="45" s="1"/>
  <c r="M44" i="45" s="1"/>
  <c r="Q42" i="45"/>
  <c r="I207" i="45"/>
  <c r="J207" i="45" s="1"/>
  <c r="K207" i="45" s="1"/>
  <c r="M207" i="45" s="1"/>
  <c r="Q51" i="45"/>
  <c r="D223" i="45"/>
  <c r="I204" i="45" s="1"/>
  <c r="J204" i="45" s="1"/>
  <c r="Q84" i="45"/>
  <c r="Q80" i="45"/>
  <c r="I210" i="45"/>
  <c r="I81" i="45"/>
  <c r="K43" i="45"/>
  <c r="M43" i="45" s="1"/>
  <c r="K45" i="45"/>
  <c r="M45" i="45" s="1"/>
  <c r="D160" i="45"/>
  <c r="I145" i="45" s="1"/>
  <c r="J145" i="45" s="1"/>
  <c r="Q213" i="45"/>
  <c r="Q203" i="45"/>
  <c r="Q45" i="45"/>
  <c r="Q52" i="45"/>
  <c r="Q47" i="45"/>
  <c r="Q50" i="45"/>
  <c r="Q13" i="45"/>
  <c r="Q14" i="45"/>
  <c r="Q17" i="45"/>
  <c r="Q21" i="45"/>
  <c r="Q18" i="45"/>
  <c r="Q20" i="45"/>
  <c r="I109" i="45"/>
  <c r="J109" i="45" s="1"/>
  <c r="K109" i="45" s="1"/>
  <c r="M109" i="45" s="1"/>
  <c r="F105" i="45"/>
  <c r="E123" i="45"/>
  <c r="B125" i="45" s="1"/>
  <c r="B126" i="45" s="1"/>
  <c r="I110" i="45"/>
  <c r="J110" i="45" s="1"/>
  <c r="B127" i="45"/>
  <c r="I108" i="45" s="1"/>
  <c r="I15" i="45"/>
  <c r="J15" i="45" s="1"/>
  <c r="K15" i="45" s="1"/>
  <c r="M15" i="45" s="1"/>
  <c r="J12" i="45"/>
  <c r="K140" i="45"/>
  <c r="M140" i="45" s="1"/>
  <c r="D63" i="45"/>
  <c r="I48" i="45" s="1"/>
  <c r="J48" i="45" s="1"/>
  <c r="B224" i="45"/>
  <c r="I205" i="45" s="1"/>
  <c r="I206" i="45"/>
  <c r="J206" i="45" s="1"/>
  <c r="Q46" i="45"/>
  <c r="Q74" i="45"/>
  <c r="Q212" i="45"/>
  <c r="Q49" i="45"/>
  <c r="K143" i="45"/>
  <c r="M143" i="45" s="1"/>
  <c r="B95" i="45"/>
  <c r="I76" i="45" s="1"/>
  <c r="H82" i="43"/>
  <c r="P75" i="43"/>
  <c r="H83" i="43"/>
  <c r="P76" i="43"/>
  <c r="P87" i="43"/>
  <c r="H84" i="43"/>
  <c r="P86" i="43"/>
  <c r="H18" i="43"/>
  <c r="P11" i="43"/>
  <c r="P12" i="43"/>
  <c r="P23" i="43"/>
  <c r="H20" i="43"/>
  <c r="P22" i="43"/>
  <c r="H19" i="43"/>
  <c r="K236" i="43"/>
  <c r="M236" i="43" s="1"/>
  <c r="K107" i="43"/>
  <c r="M107" i="43" s="1"/>
  <c r="K15" i="43"/>
  <c r="M15" i="43" s="1"/>
  <c r="K14" i="43"/>
  <c r="M14" i="43" s="1"/>
  <c r="K79" i="43"/>
  <c r="M79" i="43" s="1"/>
  <c r="K111" i="43"/>
  <c r="M111" i="43" s="1"/>
  <c r="K47" i="43"/>
  <c r="M47" i="43" s="1"/>
  <c r="H147" i="43"/>
  <c r="P140" i="43"/>
  <c r="H148" i="43"/>
  <c r="P141" i="43"/>
  <c r="P152" i="43"/>
  <c r="H149" i="43"/>
  <c r="P151" i="43"/>
  <c r="H211" i="43"/>
  <c r="P204" i="43"/>
  <c r="H212" i="43"/>
  <c r="P205" i="43"/>
  <c r="P216" i="43"/>
  <c r="H213" i="43"/>
  <c r="P215" i="43"/>
  <c r="K45" i="43"/>
  <c r="M45" i="43" s="1"/>
  <c r="K176" i="43"/>
  <c r="M176" i="43" s="1"/>
  <c r="K239" i="43"/>
  <c r="M239" i="43" s="1"/>
  <c r="K144" i="43"/>
  <c r="M144" i="43" s="1"/>
  <c r="H116" i="43"/>
  <c r="P119" i="43"/>
  <c r="P118" i="43"/>
  <c r="H114" i="43"/>
  <c r="P107" i="43"/>
  <c r="H115" i="43"/>
  <c r="P108" i="43"/>
  <c r="P184" i="43"/>
  <c r="H181" i="43"/>
  <c r="P183" i="43"/>
  <c r="H179" i="43"/>
  <c r="P172" i="43"/>
  <c r="H180" i="43"/>
  <c r="P173" i="43"/>
  <c r="P55" i="43"/>
  <c r="H52" i="43"/>
  <c r="P54" i="43"/>
  <c r="H50" i="43"/>
  <c r="P43" i="43"/>
  <c r="H51" i="43"/>
  <c r="P44" i="43"/>
  <c r="P248" i="43"/>
  <c r="H245" i="43"/>
  <c r="P247" i="43"/>
  <c r="H243" i="43"/>
  <c r="P236" i="43"/>
  <c r="H244" i="43"/>
  <c r="P237" i="43"/>
  <c r="K141" i="43"/>
  <c r="M141" i="43" s="1"/>
  <c r="K206" i="45" l="1"/>
  <c r="M206" i="45" s="1"/>
  <c r="K142" i="45"/>
  <c r="M142" i="45" s="1"/>
  <c r="K110" i="45"/>
  <c r="M110" i="45" s="1"/>
  <c r="K204" i="45"/>
  <c r="M204" i="45" s="1"/>
  <c r="K11" i="45"/>
  <c r="M11" i="45" s="1"/>
  <c r="K173" i="45"/>
  <c r="M173" i="45" s="1"/>
  <c r="K174" i="45"/>
  <c r="M174" i="45" s="1"/>
  <c r="K12" i="45"/>
  <c r="M12" i="45" s="1"/>
  <c r="K75" i="45"/>
  <c r="M75" i="45" s="1"/>
  <c r="K176" i="45"/>
  <c r="M176" i="45" s="1"/>
  <c r="I79" i="45"/>
  <c r="J79" i="45" s="1"/>
  <c r="K79" i="45" s="1"/>
  <c r="M79" i="45" s="1"/>
  <c r="J76" i="45"/>
  <c r="K76" i="45" s="1"/>
  <c r="M76" i="45" s="1"/>
  <c r="P55" i="45"/>
  <c r="P54" i="45"/>
  <c r="H51" i="45"/>
  <c r="P44" i="45"/>
  <c r="H52" i="45"/>
  <c r="H50" i="45"/>
  <c r="P43" i="45"/>
  <c r="P105" i="45"/>
  <c r="P109" i="45"/>
  <c r="P23" i="45"/>
  <c r="H19" i="45"/>
  <c r="H20" i="45"/>
  <c r="P22" i="45"/>
  <c r="H18" i="45"/>
  <c r="P11" i="45"/>
  <c r="P12" i="45"/>
  <c r="K14" i="45"/>
  <c r="M14" i="45" s="1"/>
  <c r="K172" i="45"/>
  <c r="M172" i="45" s="1"/>
  <c r="I242" i="45"/>
  <c r="D224" i="45"/>
  <c r="I209" i="45" s="1"/>
  <c r="J209" i="45" s="1"/>
  <c r="I238" i="45"/>
  <c r="J238" i="45" s="1"/>
  <c r="K238" i="45" s="1"/>
  <c r="M238" i="45" s="1"/>
  <c r="J205" i="45"/>
  <c r="K205" i="45" s="1"/>
  <c r="M205" i="45" s="1"/>
  <c r="I208" i="45"/>
  <c r="J208" i="45" s="1"/>
  <c r="K208" i="45" s="1"/>
  <c r="M208" i="45" s="1"/>
  <c r="I113" i="45"/>
  <c r="P238" i="45"/>
  <c r="P234" i="45"/>
  <c r="D95" i="45"/>
  <c r="I80" i="45" s="1"/>
  <c r="J80" i="45" s="1"/>
  <c r="K144" i="45"/>
  <c r="M144" i="45" s="1"/>
  <c r="K78" i="45"/>
  <c r="M78" i="45" s="1"/>
  <c r="K46" i="45"/>
  <c r="M46" i="45" s="1"/>
  <c r="H147" i="45"/>
  <c r="P140" i="45"/>
  <c r="H148" i="45"/>
  <c r="P141" i="45"/>
  <c r="P151" i="45"/>
  <c r="P152" i="45"/>
  <c r="H149" i="45"/>
  <c r="Q206" i="45"/>
  <c r="Q209" i="45"/>
  <c r="Q208" i="45"/>
  <c r="Q207" i="45"/>
  <c r="Q214" i="45"/>
  <c r="Q211" i="45"/>
  <c r="Q210" i="45"/>
  <c r="K141" i="45"/>
  <c r="M141" i="45" s="1"/>
  <c r="K77" i="45"/>
  <c r="M77" i="45" s="1"/>
  <c r="K175" i="45"/>
  <c r="M175" i="45" s="1"/>
  <c r="I239" i="45"/>
  <c r="J239" i="45" s="1"/>
  <c r="K239" i="45" s="1"/>
  <c r="M239" i="45" s="1"/>
  <c r="J108" i="45"/>
  <c r="K108" i="45" s="1"/>
  <c r="M108" i="45" s="1"/>
  <c r="I111" i="45"/>
  <c r="J111" i="45" s="1"/>
  <c r="K111" i="45" s="1"/>
  <c r="M111" i="45" s="1"/>
  <c r="Q77" i="45"/>
  <c r="Q83" i="45"/>
  <c r="Q85" i="45"/>
  <c r="Q81" i="45"/>
  <c r="Q79" i="45"/>
  <c r="Q82" i="45"/>
  <c r="D126" i="45"/>
  <c r="I107" i="45" s="1"/>
  <c r="J107" i="45" s="1"/>
  <c r="K107" i="45" s="1"/>
  <c r="M107" i="45" s="1"/>
  <c r="B256" i="45"/>
  <c r="I237" i="45" s="1"/>
  <c r="C110" i="36"/>
  <c r="F106" i="36"/>
  <c r="E106" i="36"/>
  <c r="C108" i="36" s="1"/>
  <c r="C106" i="36"/>
  <c r="F253" i="42"/>
  <c r="D253" i="42"/>
  <c r="D254" i="42" s="1"/>
  <c r="C253" i="42"/>
  <c r="C254" i="42" s="1"/>
  <c r="B253" i="42"/>
  <c r="B254" i="42" s="1"/>
  <c r="E252" i="42"/>
  <c r="F252" i="42" s="1"/>
  <c r="E251" i="42"/>
  <c r="F251" i="42" s="1"/>
  <c r="E250" i="42"/>
  <c r="F250" i="42" s="1"/>
  <c r="E249" i="42"/>
  <c r="F249" i="42" s="1"/>
  <c r="E248" i="42"/>
  <c r="F248" i="42" s="1"/>
  <c r="E247" i="42"/>
  <c r="F247" i="42" s="1"/>
  <c r="E246" i="42"/>
  <c r="F246" i="42" s="1"/>
  <c r="E245" i="42"/>
  <c r="F245" i="42" s="1"/>
  <c r="E244" i="42"/>
  <c r="F244" i="42" s="1"/>
  <c r="L243" i="42"/>
  <c r="E243" i="42"/>
  <c r="F243" i="42" s="1"/>
  <c r="H242" i="42"/>
  <c r="E242" i="42"/>
  <c r="F242" i="42" s="1"/>
  <c r="E241" i="42"/>
  <c r="F241" i="42" s="1"/>
  <c r="H240" i="42"/>
  <c r="E240" i="42"/>
  <c r="F240" i="42" s="1"/>
  <c r="H239" i="42"/>
  <c r="H241" i="42" s="1"/>
  <c r="E239" i="42"/>
  <c r="F239" i="42" s="1"/>
  <c r="H238" i="42"/>
  <c r="E238" i="42"/>
  <c r="F238" i="42" s="1"/>
  <c r="H237" i="42"/>
  <c r="E237" i="42"/>
  <c r="F237" i="42" s="1"/>
  <c r="P241" i="42" s="1"/>
  <c r="E236" i="42"/>
  <c r="F236" i="42" s="1"/>
  <c r="E235" i="42"/>
  <c r="F235" i="42" s="1"/>
  <c r="F221" i="42"/>
  <c r="D221" i="42"/>
  <c r="D222" i="42" s="1"/>
  <c r="C221" i="42"/>
  <c r="C222" i="42" s="1"/>
  <c r="B221" i="42"/>
  <c r="B222" i="42" s="1"/>
  <c r="E220" i="42"/>
  <c r="F220" i="42" s="1"/>
  <c r="E219" i="42"/>
  <c r="F219" i="42" s="1"/>
  <c r="E218" i="42"/>
  <c r="F218" i="42" s="1"/>
  <c r="E217" i="42"/>
  <c r="F217" i="42" s="1"/>
  <c r="E216" i="42"/>
  <c r="F216" i="42" s="1"/>
  <c r="E215" i="42"/>
  <c r="F215" i="42" s="1"/>
  <c r="E214" i="42"/>
  <c r="F214" i="42" s="1"/>
  <c r="E213" i="42"/>
  <c r="F213" i="42" s="1"/>
  <c r="E212" i="42"/>
  <c r="F212" i="42" s="1"/>
  <c r="L211" i="42"/>
  <c r="E211" i="42"/>
  <c r="F211" i="42" s="1"/>
  <c r="H210" i="42"/>
  <c r="E210" i="42"/>
  <c r="F210" i="42" s="1"/>
  <c r="E209" i="42"/>
  <c r="F209" i="42" s="1"/>
  <c r="H208" i="42"/>
  <c r="E208" i="42"/>
  <c r="F208" i="42" s="1"/>
  <c r="P212" i="42" s="1"/>
  <c r="H207" i="42"/>
  <c r="E207" i="42"/>
  <c r="F207" i="42" s="1"/>
  <c r="H206" i="42"/>
  <c r="E206" i="42"/>
  <c r="F206" i="42" s="1"/>
  <c r="H205" i="42"/>
  <c r="E205" i="42"/>
  <c r="F205" i="42" s="1"/>
  <c r="E204" i="42"/>
  <c r="F204" i="42" s="1"/>
  <c r="E203" i="42"/>
  <c r="F203" i="42" s="1"/>
  <c r="F189" i="42"/>
  <c r="D189" i="42"/>
  <c r="D190" i="42" s="1"/>
  <c r="C189" i="42"/>
  <c r="C190" i="42" s="1"/>
  <c r="B189" i="42"/>
  <c r="B190" i="42" s="1"/>
  <c r="E188" i="42"/>
  <c r="F188" i="42" s="1"/>
  <c r="E187" i="42"/>
  <c r="F187" i="42" s="1"/>
  <c r="E186" i="42"/>
  <c r="F186" i="42" s="1"/>
  <c r="E185" i="42"/>
  <c r="F185" i="42" s="1"/>
  <c r="E184" i="42"/>
  <c r="F184" i="42" s="1"/>
  <c r="E183" i="42"/>
  <c r="F183" i="42" s="1"/>
  <c r="E182" i="42"/>
  <c r="F182" i="42" s="1"/>
  <c r="E181" i="42"/>
  <c r="F181" i="42" s="1"/>
  <c r="E180" i="42"/>
  <c r="F180" i="42" s="1"/>
  <c r="L179" i="42"/>
  <c r="E179" i="42"/>
  <c r="F179" i="42" s="1"/>
  <c r="H178" i="42"/>
  <c r="F178" i="42"/>
  <c r="E178" i="42"/>
  <c r="E177" i="42"/>
  <c r="F177" i="42" s="1"/>
  <c r="H176" i="42"/>
  <c r="E176" i="42"/>
  <c r="F176" i="42" s="1"/>
  <c r="H175" i="42"/>
  <c r="E175" i="42"/>
  <c r="F175" i="42" s="1"/>
  <c r="H174" i="42"/>
  <c r="F174" i="42"/>
  <c r="E174" i="42"/>
  <c r="H173" i="42"/>
  <c r="E173" i="42"/>
  <c r="F173" i="42" s="1"/>
  <c r="E172" i="42"/>
  <c r="F172" i="42" s="1"/>
  <c r="E171" i="42"/>
  <c r="F171" i="42" s="1"/>
  <c r="E154" i="42"/>
  <c r="F154" i="42" s="1"/>
  <c r="E153" i="42"/>
  <c r="F153" i="42" s="1"/>
  <c r="E152" i="42"/>
  <c r="F152" i="42" s="1"/>
  <c r="E151" i="42"/>
  <c r="F151" i="42" s="1"/>
  <c r="E150" i="42"/>
  <c r="F150" i="42" s="1"/>
  <c r="E149" i="42"/>
  <c r="F149" i="42" s="1"/>
  <c r="E148" i="42"/>
  <c r="F148" i="42" s="1"/>
  <c r="E147" i="42"/>
  <c r="F147" i="42" s="1"/>
  <c r="E146" i="42"/>
  <c r="F146" i="42" s="1"/>
  <c r="L145" i="42"/>
  <c r="E145" i="42"/>
  <c r="F145" i="42" s="1"/>
  <c r="P149" i="42" s="1"/>
  <c r="H144" i="42"/>
  <c r="E144" i="42"/>
  <c r="F144" i="42" s="1"/>
  <c r="E143" i="42"/>
  <c r="F143" i="42" s="1"/>
  <c r="H142" i="42"/>
  <c r="E142" i="42"/>
  <c r="F142" i="42" s="1"/>
  <c r="H141" i="42"/>
  <c r="E141" i="42"/>
  <c r="F141" i="42" s="1"/>
  <c r="P145" i="42" s="1"/>
  <c r="H140" i="42"/>
  <c r="E140" i="42"/>
  <c r="F140" i="42" s="1"/>
  <c r="H139" i="42"/>
  <c r="E139" i="42"/>
  <c r="F139" i="42" s="1"/>
  <c r="E138" i="42"/>
  <c r="F138" i="42" s="1"/>
  <c r="P142" i="42" s="1"/>
  <c r="D155" i="42"/>
  <c r="D156" i="42" s="1"/>
  <c r="C155" i="42"/>
  <c r="C156" i="42" s="1"/>
  <c r="F155" i="42"/>
  <c r="F123" i="42"/>
  <c r="D123" i="42"/>
  <c r="D124" i="42" s="1"/>
  <c r="C123" i="42"/>
  <c r="C124" i="42" s="1"/>
  <c r="B123" i="42"/>
  <c r="B124" i="42" s="1"/>
  <c r="E122" i="42"/>
  <c r="F122" i="42" s="1"/>
  <c r="E121" i="42"/>
  <c r="F121" i="42" s="1"/>
  <c r="E120" i="42"/>
  <c r="F120" i="42" s="1"/>
  <c r="E119" i="42"/>
  <c r="F119" i="42" s="1"/>
  <c r="E118" i="42"/>
  <c r="F118" i="42" s="1"/>
  <c r="E117" i="42"/>
  <c r="F117" i="42" s="1"/>
  <c r="E116" i="42"/>
  <c r="F116" i="42" s="1"/>
  <c r="E115" i="42"/>
  <c r="F115" i="42" s="1"/>
  <c r="E114" i="42"/>
  <c r="F114" i="42" s="1"/>
  <c r="L113" i="42"/>
  <c r="E113" i="42"/>
  <c r="F113" i="42" s="1"/>
  <c r="H112" i="42"/>
  <c r="E112" i="42"/>
  <c r="F112" i="42" s="1"/>
  <c r="E111" i="42"/>
  <c r="F111" i="42" s="1"/>
  <c r="H110" i="42"/>
  <c r="E110" i="42"/>
  <c r="F110" i="42" s="1"/>
  <c r="H109" i="42"/>
  <c r="E109" i="42"/>
  <c r="F109" i="42" s="1"/>
  <c r="H108" i="42"/>
  <c r="E108" i="42"/>
  <c r="F108" i="42" s="1"/>
  <c r="H107" i="42"/>
  <c r="E107" i="42"/>
  <c r="F107" i="42" s="1"/>
  <c r="E106" i="42"/>
  <c r="F106" i="42" s="1"/>
  <c r="E105" i="42"/>
  <c r="F105" i="42" s="1"/>
  <c r="F91" i="42"/>
  <c r="D91" i="42"/>
  <c r="D92" i="42" s="1"/>
  <c r="C91" i="42"/>
  <c r="C92" i="42" s="1"/>
  <c r="B91" i="42"/>
  <c r="B92" i="42" s="1"/>
  <c r="E90" i="42"/>
  <c r="F90" i="42" s="1"/>
  <c r="E89" i="42"/>
  <c r="F89" i="42" s="1"/>
  <c r="E88" i="42"/>
  <c r="F88" i="42" s="1"/>
  <c r="E87" i="42"/>
  <c r="F87" i="42" s="1"/>
  <c r="E86" i="42"/>
  <c r="F86" i="42" s="1"/>
  <c r="E85" i="42"/>
  <c r="F85" i="42" s="1"/>
  <c r="E84" i="42"/>
  <c r="F84" i="42" s="1"/>
  <c r="E83" i="42"/>
  <c r="F83" i="42" s="1"/>
  <c r="E82" i="42"/>
  <c r="F82" i="42" s="1"/>
  <c r="L81" i="42"/>
  <c r="E81" i="42"/>
  <c r="F81" i="42" s="1"/>
  <c r="H80" i="42"/>
  <c r="E80" i="42"/>
  <c r="F80" i="42" s="1"/>
  <c r="E79" i="42"/>
  <c r="F79" i="42" s="1"/>
  <c r="H78" i="42"/>
  <c r="E78" i="42"/>
  <c r="F78" i="42" s="1"/>
  <c r="H77" i="42"/>
  <c r="E77" i="42"/>
  <c r="F77" i="42" s="1"/>
  <c r="H76" i="42"/>
  <c r="E76" i="42"/>
  <c r="F76" i="42" s="1"/>
  <c r="H75" i="42"/>
  <c r="E75" i="42"/>
  <c r="F75" i="42" s="1"/>
  <c r="E74" i="42"/>
  <c r="F74" i="42" s="1"/>
  <c r="E73" i="42"/>
  <c r="F73" i="42" s="1"/>
  <c r="F59" i="42"/>
  <c r="D59" i="42"/>
  <c r="D60" i="42" s="1"/>
  <c r="C59" i="42"/>
  <c r="C60" i="42" s="1"/>
  <c r="B59" i="42"/>
  <c r="B60" i="42" s="1"/>
  <c r="E58" i="42"/>
  <c r="F58" i="42" s="1"/>
  <c r="E57" i="42"/>
  <c r="F57" i="42" s="1"/>
  <c r="E56" i="42"/>
  <c r="F56" i="42" s="1"/>
  <c r="E55" i="42"/>
  <c r="F55" i="42" s="1"/>
  <c r="E54" i="42"/>
  <c r="F54" i="42" s="1"/>
  <c r="E53" i="42"/>
  <c r="F53" i="42" s="1"/>
  <c r="E52" i="42"/>
  <c r="F52" i="42" s="1"/>
  <c r="E51" i="42"/>
  <c r="F51" i="42" s="1"/>
  <c r="E50" i="42"/>
  <c r="F50" i="42" s="1"/>
  <c r="L49" i="42"/>
  <c r="E49" i="42"/>
  <c r="F49" i="42" s="1"/>
  <c r="H48" i="42"/>
  <c r="E48" i="42"/>
  <c r="F48" i="42" s="1"/>
  <c r="E47" i="42"/>
  <c r="F47" i="42" s="1"/>
  <c r="H46" i="42"/>
  <c r="E46" i="42"/>
  <c r="F46" i="42" s="1"/>
  <c r="H45" i="42"/>
  <c r="E45" i="42"/>
  <c r="F45" i="42" s="1"/>
  <c r="H44" i="42"/>
  <c r="E44" i="42"/>
  <c r="F44" i="42" s="1"/>
  <c r="H43" i="42"/>
  <c r="E43" i="42"/>
  <c r="F43" i="42" s="1"/>
  <c r="E42" i="42"/>
  <c r="F42" i="42" s="1"/>
  <c r="E41" i="42"/>
  <c r="F41" i="42" s="1"/>
  <c r="F27" i="42"/>
  <c r="D27" i="42"/>
  <c r="D28" i="42" s="1"/>
  <c r="C27" i="42"/>
  <c r="C28" i="42" s="1"/>
  <c r="B27" i="42"/>
  <c r="B28" i="42" s="1"/>
  <c r="E26" i="42"/>
  <c r="F26" i="42" s="1"/>
  <c r="E25" i="42"/>
  <c r="F25" i="42" s="1"/>
  <c r="E24" i="42"/>
  <c r="F24" i="42" s="1"/>
  <c r="E23" i="42"/>
  <c r="F23" i="42" s="1"/>
  <c r="E22" i="42"/>
  <c r="F22" i="42" s="1"/>
  <c r="E21" i="42"/>
  <c r="F21" i="42" s="1"/>
  <c r="E20" i="42"/>
  <c r="F20" i="42" s="1"/>
  <c r="E19" i="42"/>
  <c r="F19" i="42" s="1"/>
  <c r="E18" i="42"/>
  <c r="F18" i="42" s="1"/>
  <c r="L17" i="42"/>
  <c r="E17" i="42"/>
  <c r="F17" i="42" s="1"/>
  <c r="H16" i="42"/>
  <c r="E16" i="42"/>
  <c r="F16" i="42" s="1"/>
  <c r="E15" i="42"/>
  <c r="F15" i="42" s="1"/>
  <c r="H14" i="42"/>
  <c r="E14" i="42"/>
  <c r="F14" i="42" s="1"/>
  <c r="H13" i="42"/>
  <c r="E13" i="42"/>
  <c r="F13" i="42" s="1"/>
  <c r="H12" i="42"/>
  <c r="E12" i="42"/>
  <c r="F12" i="42" s="1"/>
  <c r="H11" i="42"/>
  <c r="E11" i="42"/>
  <c r="F11" i="42" s="1"/>
  <c r="E10" i="42"/>
  <c r="F10" i="42" s="1"/>
  <c r="E9" i="42"/>
  <c r="F9" i="42" s="1"/>
  <c r="O32" i="36"/>
  <c r="B106" i="33" s="1"/>
  <c r="P32" i="36"/>
  <c r="C106" i="33" s="1"/>
  <c r="Q32" i="36"/>
  <c r="D106" i="33" s="1"/>
  <c r="O33" i="36"/>
  <c r="B107" i="33" s="1"/>
  <c r="P33" i="36"/>
  <c r="C107" i="33" s="1"/>
  <c r="Q33" i="36"/>
  <c r="D107" i="33" s="1"/>
  <c r="O34" i="36"/>
  <c r="B108" i="33" s="1"/>
  <c r="P34" i="36"/>
  <c r="C108" i="33" s="1"/>
  <c r="Q34" i="36"/>
  <c r="D108" i="33" s="1"/>
  <c r="O35" i="36"/>
  <c r="B109" i="33" s="1"/>
  <c r="P35" i="36"/>
  <c r="C109" i="33" s="1"/>
  <c r="Q35" i="36"/>
  <c r="D109" i="33" s="1"/>
  <c r="O36" i="36"/>
  <c r="B110" i="33" s="1"/>
  <c r="P36" i="36"/>
  <c r="C110" i="33" s="1"/>
  <c r="Q36" i="36"/>
  <c r="D110" i="33" s="1"/>
  <c r="O37" i="36"/>
  <c r="B111" i="33" s="1"/>
  <c r="P37" i="36"/>
  <c r="C111" i="33" s="1"/>
  <c r="Q37" i="36"/>
  <c r="D111" i="33" s="1"/>
  <c r="O38" i="36"/>
  <c r="B112" i="33" s="1"/>
  <c r="P38" i="36"/>
  <c r="C112" i="33" s="1"/>
  <c r="Q38" i="36"/>
  <c r="D112" i="33" s="1"/>
  <c r="O39" i="36"/>
  <c r="B113" i="33" s="1"/>
  <c r="P39" i="36"/>
  <c r="C113" i="33" s="1"/>
  <c r="Q39" i="36"/>
  <c r="D113" i="33" s="1"/>
  <c r="O40" i="36"/>
  <c r="B114" i="33" s="1"/>
  <c r="P40" i="36"/>
  <c r="C114" i="33" s="1"/>
  <c r="Q40" i="36"/>
  <c r="D114" i="33" s="1"/>
  <c r="O41" i="36"/>
  <c r="B115" i="33" s="1"/>
  <c r="P41" i="36"/>
  <c r="C115" i="33" s="1"/>
  <c r="Q41" i="36"/>
  <c r="D115" i="33" s="1"/>
  <c r="O42" i="36"/>
  <c r="B116" i="33" s="1"/>
  <c r="P42" i="36"/>
  <c r="C116" i="33" s="1"/>
  <c r="Q42" i="36"/>
  <c r="D116" i="33" s="1"/>
  <c r="O43" i="36"/>
  <c r="B117" i="33" s="1"/>
  <c r="P43" i="36"/>
  <c r="C117" i="33" s="1"/>
  <c r="Q43" i="36"/>
  <c r="D117" i="33" s="1"/>
  <c r="O44" i="36"/>
  <c r="B118" i="33" s="1"/>
  <c r="P44" i="36"/>
  <c r="C118" i="33" s="1"/>
  <c r="Q44" i="36"/>
  <c r="D118" i="33" s="1"/>
  <c r="O45" i="36"/>
  <c r="B119" i="33" s="1"/>
  <c r="P45" i="36"/>
  <c r="C119" i="33" s="1"/>
  <c r="Q45" i="36"/>
  <c r="D119" i="33" s="1"/>
  <c r="O46" i="36"/>
  <c r="B120" i="33" s="1"/>
  <c r="P46" i="36"/>
  <c r="C120" i="33" s="1"/>
  <c r="Q46" i="36"/>
  <c r="D120" i="33" s="1"/>
  <c r="O47" i="36"/>
  <c r="B121" i="33" s="1"/>
  <c r="P47" i="36"/>
  <c r="C121" i="33" s="1"/>
  <c r="Q47" i="36"/>
  <c r="D121" i="33" s="1"/>
  <c r="O48" i="36"/>
  <c r="B122" i="33" s="1"/>
  <c r="P48" i="36"/>
  <c r="C122" i="33" s="1"/>
  <c r="Q48" i="36"/>
  <c r="D122" i="33" s="1"/>
  <c r="P31" i="36"/>
  <c r="C105" i="33" s="1"/>
  <c r="Q31" i="36"/>
  <c r="D105" i="33" s="1"/>
  <c r="O31" i="36"/>
  <c r="B105" i="33" s="1"/>
  <c r="C303" i="35"/>
  <c r="D304" i="35"/>
  <c r="D308" i="35"/>
  <c r="B310" i="35"/>
  <c r="B314" i="35"/>
  <c r="C315" i="35"/>
  <c r="C139" i="35"/>
  <c r="D140" i="35"/>
  <c r="D144" i="35"/>
  <c r="B146" i="35"/>
  <c r="B150" i="35"/>
  <c r="C151" i="35"/>
  <c r="D137" i="35"/>
  <c r="BA97" i="36"/>
  <c r="D284" i="35" s="1"/>
  <c r="AZ97" i="36"/>
  <c r="C284" i="35" s="1"/>
  <c r="AY97" i="36"/>
  <c r="B284" i="35" s="1"/>
  <c r="BA96" i="36"/>
  <c r="D283" i="35" s="1"/>
  <c r="D315" i="35" s="1"/>
  <c r="AZ96" i="36"/>
  <c r="C283" i="35" s="1"/>
  <c r="AY96" i="36"/>
  <c r="B283" i="35" s="1"/>
  <c r="BA95" i="36"/>
  <c r="D282" i="35" s="1"/>
  <c r="AZ95" i="36"/>
  <c r="C282" i="35" s="1"/>
  <c r="C314" i="35" s="1"/>
  <c r="AY95" i="36"/>
  <c r="B282" i="35" s="1"/>
  <c r="BA94" i="36"/>
  <c r="D281" i="35" s="1"/>
  <c r="AZ94" i="36"/>
  <c r="C281" i="35" s="1"/>
  <c r="AY94" i="36"/>
  <c r="B281" i="35" s="1"/>
  <c r="B313" i="35" s="1"/>
  <c r="BA93" i="36"/>
  <c r="D280" i="35" s="1"/>
  <c r="AZ93" i="36"/>
  <c r="C280" i="35" s="1"/>
  <c r="AY93" i="36"/>
  <c r="B280" i="35" s="1"/>
  <c r="BA92" i="36"/>
  <c r="D279" i="35" s="1"/>
  <c r="D311" i="35" s="1"/>
  <c r="AZ92" i="36"/>
  <c r="C279" i="35" s="1"/>
  <c r="AY92" i="36"/>
  <c r="B279" i="35" s="1"/>
  <c r="BA91" i="36"/>
  <c r="D278" i="35" s="1"/>
  <c r="AZ91" i="36"/>
  <c r="C278" i="35" s="1"/>
  <c r="C310" i="35" s="1"/>
  <c r="AY91" i="36"/>
  <c r="B278" i="35" s="1"/>
  <c r="BA90" i="36"/>
  <c r="D277" i="35" s="1"/>
  <c r="AZ90" i="36"/>
  <c r="C277" i="35" s="1"/>
  <c r="AY90" i="36"/>
  <c r="B277" i="35" s="1"/>
  <c r="B309" i="35" s="1"/>
  <c r="BA89" i="36"/>
  <c r="D276" i="35" s="1"/>
  <c r="AZ89" i="36"/>
  <c r="C276" i="35" s="1"/>
  <c r="AY89" i="36"/>
  <c r="B276" i="35" s="1"/>
  <c r="BA88" i="36"/>
  <c r="D275" i="35" s="1"/>
  <c r="D307" i="35" s="1"/>
  <c r="AZ88" i="36"/>
  <c r="C275" i="35" s="1"/>
  <c r="AY88" i="36"/>
  <c r="B275" i="35" s="1"/>
  <c r="BA87" i="36"/>
  <c r="D274" i="35" s="1"/>
  <c r="AZ87" i="36"/>
  <c r="C274" i="35" s="1"/>
  <c r="C306" i="35" s="1"/>
  <c r="AY87" i="36"/>
  <c r="B274" i="35" s="1"/>
  <c r="BA86" i="36"/>
  <c r="D273" i="35" s="1"/>
  <c r="AZ86" i="36"/>
  <c r="C273" i="35" s="1"/>
  <c r="AY86" i="36"/>
  <c r="B273" i="35" s="1"/>
  <c r="B305" i="35" s="1"/>
  <c r="BA85" i="36"/>
  <c r="D272" i="35" s="1"/>
  <c r="AZ85" i="36"/>
  <c r="C272" i="35" s="1"/>
  <c r="AY85" i="36"/>
  <c r="B272" i="35" s="1"/>
  <c r="BA84" i="36"/>
  <c r="D271" i="35" s="1"/>
  <c r="D303" i="35" s="1"/>
  <c r="AZ84" i="36"/>
  <c r="C271" i="35" s="1"/>
  <c r="AY84" i="36"/>
  <c r="B271" i="35" s="1"/>
  <c r="BA83" i="36"/>
  <c r="D270" i="35" s="1"/>
  <c r="AZ83" i="36"/>
  <c r="C270" i="35" s="1"/>
  <c r="C302" i="35" s="1"/>
  <c r="AY83" i="36"/>
  <c r="B270" i="35" s="1"/>
  <c r="BA82" i="36"/>
  <c r="D269" i="35" s="1"/>
  <c r="AZ82" i="36"/>
  <c r="C269" i="35" s="1"/>
  <c r="AY82" i="36"/>
  <c r="B269" i="35" s="1"/>
  <c r="B301" i="35" s="1"/>
  <c r="BA81" i="36"/>
  <c r="D268" i="35" s="1"/>
  <c r="AZ81" i="36"/>
  <c r="C268" i="35" s="1"/>
  <c r="AY81" i="36"/>
  <c r="B268" i="35" s="1"/>
  <c r="BA80" i="36"/>
  <c r="D267" i="35" s="1"/>
  <c r="D299" i="35" s="1"/>
  <c r="AZ80" i="36"/>
  <c r="C267" i="35" s="1"/>
  <c r="AY80" i="36"/>
  <c r="B267" i="35" s="1"/>
  <c r="BA73" i="36"/>
  <c r="D252" i="35" s="1"/>
  <c r="D316" i="35" s="1"/>
  <c r="AZ73" i="36"/>
  <c r="C252" i="35" s="1"/>
  <c r="C316" i="35" s="1"/>
  <c r="AY73" i="36"/>
  <c r="B252" i="35" s="1"/>
  <c r="B316" i="35" s="1"/>
  <c r="BA72" i="36"/>
  <c r="D251" i="35" s="1"/>
  <c r="AZ72" i="36"/>
  <c r="C251" i="35" s="1"/>
  <c r="AY72" i="36"/>
  <c r="B251" i="35" s="1"/>
  <c r="B315" i="35" s="1"/>
  <c r="BA71" i="36"/>
  <c r="D250" i="35" s="1"/>
  <c r="D314" i="35" s="1"/>
  <c r="AZ71" i="36"/>
  <c r="C250" i="35" s="1"/>
  <c r="AY71" i="36"/>
  <c r="B250" i="35" s="1"/>
  <c r="BA70" i="36"/>
  <c r="D249" i="35" s="1"/>
  <c r="D313" i="35" s="1"/>
  <c r="AZ70" i="36"/>
  <c r="C249" i="35" s="1"/>
  <c r="C313" i="35" s="1"/>
  <c r="AY70" i="36"/>
  <c r="B249" i="35" s="1"/>
  <c r="BA69" i="36"/>
  <c r="D248" i="35" s="1"/>
  <c r="D312" i="35" s="1"/>
  <c r="AZ69" i="36"/>
  <c r="C248" i="35" s="1"/>
  <c r="C312" i="35" s="1"/>
  <c r="AY69" i="36"/>
  <c r="B248" i="35" s="1"/>
  <c r="B312" i="35" s="1"/>
  <c r="BA68" i="36"/>
  <c r="D247" i="35" s="1"/>
  <c r="AZ68" i="36"/>
  <c r="C247" i="35" s="1"/>
  <c r="C311" i="35" s="1"/>
  <c r="AY68" i="36"/>
  <c r="B247" i="35" s="1"/>
  <c r="B311" i="35" s="1"/>
  <c r="BA67" i="36"/>
  <c r="D246" i="35" s="1"/>
  <c r="D310" i="35" s="1"/>
  <c r="AZ67" i="36"/>
  <c r="C246" i="35" s="1"/>
  <c r="AY67" i="36"/>
  <c r="B246" i="35" s="1"/>
  <c r="BA66" i="36"/>
  <c r="D245" i="35" s="1"/>
  <c r="D309" i="35" s="1"/>
  <c r="AZ66" i="36"/>
  <c r="C245" i="35" s="1"/>
  <c r="C309" i="35" s="1"/>
  <c r="AY66" i="36"/>
  <c r="B245" i="35" s="1"/>
  <c r="BA65" i="36"/>
  <c r="D244" i="35" s="1"/>
  <c r="AZ65" i="36"/>
  <c r="C244" i="35" s="1"/>
  <c r="C308" i="35" s="1"/>
  <c r="AY65" i="36"/>
  <c r="B244" i="35" s="1"/>
  <c r="B308" i="35" s="1"/>
  <c r="BA64" i="36"/>
  <c r="D243" i="35" s="1"/>
  <c r="AZ64" i="36"/>
  <c r="C243" i="35" s="1"/>
  <c r="C307" i="35" s="1"/>
  <c r="AY64" i="36"/>
  <c r="B243" i="35" s="1"/>
  <c r="B307" i="35" s="1"/>
  <c r="BA63" i="36"/>
  <c r="D242" i="35" s="1"/>
  <c r="D306" i="35" s="1"/>
  <c r="AZ63" i="36"/>
  <c r="C242" i="35" s="1"/>
  <c r="AY63" i="36"/>
  <c r="B242" i="35" s="1"/>
  <c r="B306" i="35" s="1"/>
  <c r="BA62" i="36"/>
  <c r="D241" i="35" s="1"/>
  <c r="D305" i="35" s="1"/>
  <c r="AZ62" i="36"/>
  <c r="C241" i="35" s="1"/>
  <c r="C305" i="35" s="1"/>
  <c r="AY62" i="36"/>
  <c r="B241" i="35" s="1"/>
  <c r="BA61" i="36"/>
  <c r="D240" i="35" s="1"/>
  <c r="AZ61" i="36"/>
  <c r="C240" i="35" s="1"/>
  <c r="C304" i="35" s="1"/>
  <c r="AY61" i="36"/>
  <c r="B240" i="35" s="1"/>
  <c r="B304" i="35" s="1"/>
  <c r="BA60" i="36"/>
  <c r="D239" i="35" s="1"/>
  <c r="AZ60" i="36"/>
  <c r="C239" i="35" s="1"/>
  <c r="AY60" i="36"/>
  <c r="B239" i="35" s="1"/>
  <c r="B303" i="35" s="1"/>
  <c r="BA59" i="36"/>
  <c r="D238" i="35" s="1"/>
  <c r="D302" i="35" s="1"/>
  <c r="AZ59" i="36"/>
  <c r="C238" i="35" s="1"/>
  <c r="AY59" i="36"/>
  <c r="B238" i="35" s="1"/>
  <c r="B302" i="35" s="1"/>
  <c r="BA58" i="36"/>
  <c r="D237" i="35" s="1"/>
  <c r="D301" i="35" s="1"/>
  <c r="AZ58" i="36"/>
  <c r="C237" i="35" s="1"/>
  <c r="C301" i="35" s="1"/>
  <c r="AY58" i="36"/>
  <c r="B237" i="35" s="1"/>
  <c r="BA57" i="36"/>
  <c r="D236" i="35" s="1"/>
  <c r="D300" i="35" s="1"/>
  <c r="AZ57" i="36"/>
  <c r="C236" i="35" s="1"/>
  <c r="C300" i="35" s="1"/>
  <c r="AY57" i="36"/>
  <c r="B236" i="35" s="1"/>
  <c r="B300" i="35" s="1"/>
  <c r="BA56" i="36"/>
  <c r="D235" i="35" s="1"/>
  <c r="AZ56" i="36"/>
  <c r="C235" i="35" s="1"/>
  <c r="C299" i="35" s="1"/>
  <c r="AY56" i="36"/>
  <c r="B235" i="35" s="1"/>
  <c r="B299" i="35" s="1"/>
  <c r="BA48" i="36"/>
  <c r="D122" i="35" s="1"/>
  <c r="AZ48" i="36"/>
  <c r="C122" i="35" s="1"/>
  <c r="AY48" i="36"/>
  <c r="B122" i="35" s="1"/>
  <c r="BA47" i="36"/>
  <c r="D121" i="35" s="1"/>
  <c r="AZ47" i="36"/>
  <c r="C121" i="35" s="1"/>
  <c r="AY47" i="36"/>
  <c r="B121" i="35" s="1"/>
  <c r="BA46" i="36"/>
  <c r="D120" i="35" s="1"/>
  <c r="AZ46" i="36"/>
  <c r="C120" i="35" s="1"/>
  <c r="AY46" i="36"/>
  <c r="B120" i="35" s="1"/>
  <c r="BA45" i="36"/>
  <c r="D119" i="35" s="1"/>
  <c r="AZ45" i="36"/>
  <c r="C119" i="35" s="1"/>
  <c r="AY45" i="36"/>
  <c r="B119" i="35" s="1"/>
  <c r="BA44" i="36"/>
  <c r="D118" i="35" s="1"/>
  <c r="AZ44" i="36"/>
  <c r="C118" i="35" s="1"/>
  <c r="AY44" i="36"/>
  <c r="B118" i="35" s="1"/>
  <c r="BA43" i="36"/>
  <c r="D117" i="35" s="1"/>
  <c r="AZ43" i="36"/>
  <c r="C117" i="35" s="1"/>
  <c r="AY43" i="36"/>
  <c r="B117" i="35" s="1"/>
  <c r="BA42" i="36"/>
  <c r="D116" i="35" s="1"/>
  <c r="AZ42" i="36"/>
  <c r="C116" i="35" s="1"/>
  <c r="AY42" i="36"/>
  <c r="B116" i="35" s="1"/>
  <c r="BA41" i="36"/>
  <c r="D115" i="35" s="1"/>
  <c r="AZ41" i="36"/>
  <c r="C115" i="35" s="1"/>
  <c r="AY41" i="36"/>
  <c r="B115" i="35" s="1"/>
  <c r="BA40" i="36"/>
  <c r="D114" i="35" s="1"/>
  <c r="AZ40" i="36"/>
  <c r="C114" i="35" s="1"/>
  <c r="AY40" i="36"/>
  <c r="B114" i="35" s="1"/>
  <c r="BA39" i="36"/>
  <c r="D113" i="35" s="1"/>
  <c r="AZ39" i="36"/>
  <c r="C113" i="35" s="1"/>
  <c r="AY39" i="36"/>
  <c r="B113" i="35" s="1"/>
  <c r="BA38" i="36"/>
  <c r="D112" i="35" s="1"/>
  <c r="AZ38" i="36"/>
  <c r="C112" i="35" s="1"/>
  <c r="AY38" i="36"/>
  <c r="B112" i="35" s="1"/>
  <c r="BA37" i="36"/>
  <c r="D111" i="35" s="1"/>
  <c r="AZ37" i="36"/>
  <c r="C111" i="35" s="1"/>
  <c r="AY37" i="36"/>
  <c r="B111" i="35" s="1"/>
  <c r="BA36" i="36"/>
  <c r="D110" i="35" s="1"/>
  <c r="AZ36" i="36"/>
  <c r="C110" i="35" s="1"/>
  <c r="AY36" i="36"/>
  <c r="B110" i="35" s="1"/>
  <c r="BA35" i="36"/>
  <c r="D109" i="35" s="1"/>
  <c r="AZ35" i="36"/>
  <c r="C109" i="35" s="1"/>
  <c r="AY35" i="36"/>
  <c r="B109" i="35" s="1"/>
  <c r="BA34" i="36"/>
  <c r="D108" i="35" s="1"/>
  <c r="AZ34" i="36"/>
  <c r="C108" i="35" s="1"/>
  <c r="AY34" i="36"/>
  <c r="B108" i="35" s="1"/>
  <c r="BA33" i="36"/>
  <c r="D107" i="35" s="1"/>
  <c r="AZ33" i="36"/>
  <c r="C107" i="35" s="1"/>
  <c r="AY33" i="36"/>
  <c r="B107" i="35" s="1"/>
  <c r="BA32" i="36"/>
  <c r="D106" i="35" s="1"/>
  <c r="AZ32" i="36"/>
  <c r="C106" i="35" s="1"/>
  <c r="AY32" i="36"/>
  <c r="B106" i="35" s="1"/>
  <c r="BA31" i="36"/>
  <c r="D105" i="35" s="1"/>
  <c r="AZ31" i="36"/>
  <c r="C105" i="35" s="1"/>
  <c r="AY31" i="36"/>
  <c r="B105" i="35" s="1"/>
  <c r="AY9" i="36"/>
  <c r="B74" i="35" s="1"/>
  <c r="B138" i="35" s="1"/>
  <c r="AZ9" i="36"/>
  <c r="C74" i="35" s="1"/>
  <c r="C138" i="35" s="1"/>
  <c r="BA9" i="36"/>
  <c r="D74" i="35" s="1"/>
  <c r="D138" i="35" s="1"/>
  <c r="AY10" i="36"/>
  <c r="B75" i="35" s="1"/>
  <c r="B139" i="35" s="1"/>
  <c r="AZ10" i="36"/>
  <c r="C75" i="35" s="1"/>
  <c r="BA10" i="36"/>
  <c r="D75" i="35" s="1"/>
  <c r="D139" i="35" s="1"/>
  <c r="AY11" i="36"/>
  <c r="B76" i="35" s="1"/>
  <c r="B140" i="35" s="1"/>
  <c r="AZ11" i="36"/>
  <c r="C76" i="35" s="1"/>
  <c r="C140" i="35" s="1"/>
  <c r="BA11" i="36"/>
  <c r="D76" i="35" s="1"/>
  <c r="AY12" i="36"/>
  <c r="B77" i="35" s="1"/>
  <c r="B141" i="35" s="1"/>
  <c r="AZ12" i="36"/>
  <c r="C77" i="35" s="1"/>
  <c r="C141" i="35" s="1"/>
  <c r="BA12" i="36"/>
  <c r="D77" i="35" s="1"/>
  <c r="D141" i="35" s="1"/>
  <c r="AY13" i="36"/>
  <c r="B78" i="35" s="1"/>
  <c r="B142" i="35" s="1"/>
  <c r="AZ13" i="36"/>
  <c r="C78" i="35" s="1"/>
  <c r="C142" i="35" s="1"/>
  <c r="BA13" i="36"/>
  <c r="D78" i="35" s="1"/>
  <c r="D142" i="35" s="1"/>
  <c r="AY14" i="36"/>
  <c r="B79" i="35" s="1"/>
  <c r="B143" i="35" s="1"/>
  <c r="AZ14" i="36"/>
  <c r="C79" i="35" s="1"/>
  <c r="C143" i="35" s="1"/>
  <c r="BA14" i="36"/>
  <c r="D79" i="35" s="1"/>
  <c r="D143" i="35" s="1"/>
  <c r="AY15" i="36"/>
  <c r="B80" i="35" s="1"/>
  <c r="B144" i="35" s="1"/>
  <c r="AZ15" i="36"/>
  <c r="C80" i="35" s="1"/>
  <c r="C144" i="35" s="1"/>
  <c r="BA15" i="36"/>
  <c r="D80" i="35" s="1"/>
  <c r="AY16" i="36"/>
  <c r="B81" i="35" s="1"/>
  <c r="B145" i="35" s="1"/>
  <c r="AZ16" i="36"/>
  <c r="C81" i="35" s="1"/>
  <c r="C145" i="35" s="1"/>
  <c r="BA16" i="36"/>
  <c r="D81" i="35" s="1"/>
  <c r="D145" i="35" s="1"/>
  <c r="AY17" i="36"/>
  <c r="B82" i="35" s="1"/>
  <c r="AZ17" i="36"/>
  <c r="C82" i="35" s="1"/>
  <c r="C146" i="35" s="1"/>
  <c r="BA17" i="36"/>
  <c r="D82" i="35" s="1"/>
  <c r="D146" i="35" s="1"/>
  <c r="AY18" i="36"/>
  <c r="B83" i="35" s="1"/>
  <c r="B147" i="35" s="1"/>
  <c r="AZ18" i="36"/>
  <c r="C83" i="35" s="1"/>
  <c r="C147" i="35" s="1"/>
  <c r="BA18" i="36"/>
  <c r="D83" i="35" s="1"/>
  <c r="D147" i="35" s="1"/>
  <c r="AY19" i="36"/>
  <c r="B84" i="35" s="1"/>
  <c r="B148" i="35" s="1"/>
  <c r="AZ19" i="36"/>
  <c r="C84" i="35" s="1"/>
  <c r="C148" i="35" s="1"/>
  <c r="BA19" i="36"/>
  <c r="D84" i="35" s="1"/>
  <c r="D148" i="35" s="1"/>
  <c r="AY20" i="36"/>
  <c r="B85" i="35" s="1"/>
  <c r="B149" i="35" s="1"/>
  <c r="AZ20" i="36"/>
  <c r="C85" i="35" s="1"/>
  <c r="C149" i="35" s="1"/>
  <c r="BA20" i="36"/>
  <c r="D85" i="35" s="1"/>
  <c r="D149" i="35" s="1"/>
  <c r="AY21" i="36"/>
  <c r="B86" i="35" s="1"/>
  <c r="AZ21" i="36"/>
  <c r="C86" i="35" s="1"/>
  <c r="C150" i="35" s="1"/>
  <c r="BA21" i="36"/>
  <c r="D86" i="35" s="1"/>
  <c r="D150" i="35" s="1"/>
  <c r="AY22" i="36"/>
  <c r="B87" i="35" s="1"/>
  <c r="B151" i="35" s="1"/>
  <c r="AZ22" i="36"/>
  <c r="C87" i="35" s="1"/>
  <c r="BA22" i="36"/>
  <c r="D87" i="35" s="1"/>
  <c r="D151" i="35" s="1"/>
  <c r="AY23" i="36"/>
  <c r="B88" i="35" s="1"/>
  <c r="B152" i="35" s="1"/>
  <c r="AZ23" i="36"/>
  <c r="C88" i="35" s="1"/>
  <c r="C152" i="35" s="1"/>
  <c r="BA23" i="36"/>
  <c r="D88" i="35" s="1"/>
  <c r="D152" i="35" s="1"/>
  <c r="AY24" i="36"/>
  <c r="B89" i="35" s="1"/>
  <c r="B153" i="35" s="1"/>
  <c r="AZ24" i="36"/>
  <c r="C89" i="35" s="1"/>
  <c r="C153" i="35" s="1"/>
  <c r="BA24" i="36"/>
  <c r="D89" i="35" s="1"/>
  <c r="D153" i="35" s="1"/>
  <c r="AY25" i="36"/>
  <c r="B90" i="35" s="1"/>
  <c r="B154" i="35" s="1"/>
  <c r="AZ25" i="36"/>
  <c r="C90" i="35" s="1"/>
  <c r="C154" i="35" s="1"/>
  <c r="BA25" i="36"/>
  <c r="D90" i="35" s="1"/>
  <c r="D154" i="35" s="1"/>
  <c r="AZ8" i="36"/>
  <c r="C73" i="35" s="1"/>
  <c r="C137" i="35" s="1"/>
  <c r="BA8" i="36"/>
  <c r="D73" i="35" s="1"/>
  <c r="AY8" i="36"/>
  <c r="B73" i="35" s="1"/>
  <c r="B137" i="35" s="1"/>
  <c r="D300" i="34"/>
  <c r="B302" i="34"/>
  <c r="C303" i="34"/>
  <c r="D304" i="34"/>
  <c r="B306" i="34"/>
  <c r="C307" i="34"/>
  <c r="D308" i="34"/>
  <c r="B310" i="34"/>
  <c r="C311" i="34"/>
  <c r="D312" i="34"/>
  <c r="B314" i="34"/>
  <c r="C315" i="34"/>
  <c r="D316" i="34"/>
  <c r="B138" i="34"/>
  <c r="C139" i="34"/>
  <c r="D140" i="34"/>
  <c r="B142" i="34"/>
  <c r="C143" i="34"/>
  <c r="D144" i="34"/>
  <c r="B146" i="34"/>
  <c r="C147" i="34"/>
  <c r="D148" i="34"/>
  <c r="B150" i="34"/>
  <c r="C151" i="34"/>
  <c r="D152" i="34"/>
  <c r="B154" i="34"/>
  <c r="AO97" i="36"/>
  <c r="D284" i="34" s="1"/>
  <c r="AN97" i="36"/>
  <c r="C284" i="34" s="1"/>
  <c r="AM97" i="36"/>
  <c r="B284" i="34" s="1"/>
  <c r="AO96" i="36"/>
  <c r="D283" i="34" s="1"/>
  <c r="D315" i="34" s="1"/>
  <c r="AN96" i="36"/>
  <c r="C283" i="34" s="1"/>
  <c r="AM96" i="36"/>
  <c r="B283" i="34" s="1"/>
  <c r="AO95" i="36"/>
  <c r="D282" i="34" s="1"/>
  <c r="AN95" i="36"/>
  <c r="C282" i="34" s="1"/>
  <c r="C314" i="34" s="1"/>
  <c r="AM95" i="36"/>
  <c r="B282" i="34" s="1"/>
  <c r="AO94" i="36"/>
  <c r="D281" i="34" s="1"/>
  <c r="AN94" i="36"/>
  <c r="C281" i="34" s="1"/>
  <c r="AM94" i="36"/>
  <c r="B281" i="34" s="1"/>
  <c r="B313" i="34" s="1"/>
  <c r="AO93" i="36"/>
  <c r="D280" i="34" s="1"/>
  <c r="AN93" i="36"/>
  <c r="C280" i="34" s="1"/>
  <c r="AM93" i="36"/>
  <c r="B280" i="34" s="1"/>
  <c r="AO92" i="36"/>
  <c r="D279" i="34" s="1"/>
  <c r="D311" i="34" s="1"/>
  <c r="AN92" i="36"/>
  <c r="C279" i="34" s="1"/>
  <c r="AM92" i="36"/>
  <c r="B279" i="34" s="1"/>
  <c r="AO91" i="36"/>
  <c r="D278" i="34" s="1"/>
  <c r="AN91" i="36"/>
  <c r="C278" i="34" s="1"/>
  <c r="C310" i="34" s="1"/>
  <c r="AM91" i="36"/>
  <c r="B278" i="34" s="1"/>
  <c r="AO90" i="36"/>
  <c r="D277" i="34" s="1"/>
  <c r="AN90" i="36"/>
  <c r="C277" i="34" s="1"/>
  <c r="AM90" i="36"/>
  <c r="B277" i="34" s="1"/>
  <c r="B309" i="34" s="1"/>
  <c r="AO89" i="36"/>
  <c r="D276" i="34" s="1"/>
  <c r="AN89" i="36"/>
  <c r="C276" i="34" s="1"/>
  <c r="AM89" i="36"/>
  <c r="B276" i="34" s="1"/>
  <c r="AO88" i="36"/>
  <c r="D275" i="34" s="1"/>
  <c r="D307" i="34" s="1"/>
  <c r="AN88" i="36"/>
  <c r="C275" i="34" s="1"/>
  <c r="AM88" i="36"/>
  <c r="B275" i="34" s="1"/>
  <c r="AO87" i="36"/>
  <c r="D274" i="34" s="1"/>
  <c r="AN87" i="36"/>
  <c r="C274" i="34" s="1"/>
  <c r="C306" i="34" s="1"/>
  <c r="AM87" i="36"/>
  <c r="B274" i="34" s="1"/>
  <c r="AO86" i="36"/>
  <c r="D273" i="34" s="1"/>
  <c r="AN86" i="36"/>
  <c r="C273" i="34" s="1"/>
  <c r="AM86" i="36"/>
  <c r="B273" i="34" s="1"/>
  <c r="B305" i="34" s="1"/>
  <c r="AO85" i="36"/>
  <c r="D272" i="34" s="1"/>
  <c r="AN85" i="36"/>
  <c r="C272" i="34" s="1"/>
  <c r="AM85" i="36"/>
  <c r="B272" i="34" s="1"/>
  <c r="AO84" i="36"/>
  <c r="D271" i="34" s="1"/>
  <c r="D303" i="34" s="1"/>
  <c r="AN84" i="36"/>
  <c r="C271" i="34" s="1"/>
  <c r="AM84" i="36"/>
  <c r="B271" i="34" s="1"/>
  <c r="AO83" i="36"/>
  <c r="D270" i="34" s="1"/>
  <c r="AN83" i="36"/>
  <c r="C270" i="34" s="1"/>
  <c r="C302" i="34" s="1"/>
  <c r="AM83" i="36"/>
  <c r="B270" i="34" s="1"/>
  <c r="AO82" i="36"/>
  <c r="D269" i="34" s="1"/>
  <c r="AN82" i="36"/>
  <c r="C269" i="34" s="1"/>
  <c r="AM82" i="36"/>
  <c r="B269" i="34" s="1"/>
  <c r="B301" i="34" s="1"/>
  <c r="AO81" i="36"/>
  <c r="D268" i="34" s="1"/>
  <c r="AN81" i="36"/>
  <c r="C268" i="34" s="1"/>
  <c r="AM81" i="36"/>
  <c r="B268" i="34" s="1"/>
  <c r="AO80" i="36"/>
  <c r="D267" i="34" s="1"/>
  <c r="AN80" i="36"/>
  <c r="C267" i="34" s="1"/>
  <c r="C299" i="34" s="1"/>
  <c r="AM80" i="36"/>
  <c r="B267" i="34" s="1"/>
  <c r="AO73" i="36"/>
  <c r="D252" i="34" s="1"/>
  <c r="AN73" i="36"/>
  <c r="C252" i="34" s="1"/>
  <c r="C316" i="34" s="1"/>
  <c r="AM73" i="36"/>
  <c r="B252" i="34" s="1"/>
  <c r="B316" i="34" s="1"/>
  <c r="AO72" i="36"/>
  <c r="D251" i="34" s="1"/>
  <c r="AN72" i="36"/>
  <c r="C251" i="34" s="1"/>
  <c r="AM72" i="36"/>
  <c r="B251" i="34" s="1"/>
  <c r="B315" i="34" s="1"/>
  <c r="AO71" i="36"/>
  <c r="D250" i="34" s="1"/>
  <c r="D314" i="34" s="1"/>
  <c r="AN71" i="36"/>
  <c r="C250" i="34" s="1"/>
  <c r="AM71" i="36"/>
  <c r="B250" i="34" s="1"/>
  <c r="AO70" i="36"/>
  <c r="D249" i="34" s="1"/>
  <c r="D313" i="34" s="1"/>
  <c r="AN70" i="36"/>
  <c r="C249" i="34" s="1"/>
  <c r="C313" i="34" s="1"/>
  <c r="AM70" i="36"/>
  <c r="B249" i="34" s="1"/>
  <c r="AO69" i="36"/>
  <c r="D248" i="34" s="1"/>
  <c r="AN69" i="36"/>
  <c r="C248" i="34" s="1"/>
  <c r="C312" i="34" s="1"/>
  <c r="AM69" i="36"/>
  <c r="B248" i="34" s="1"/>
  <c r="B312" i="34" s="1"/>
  <c r="AO68" i="36"/>
  <c r="D247" i="34" s="1"/>
  <c r="AN68" i="36"/>
  <c r="C247" i="34" s="1"/>
  <c r="AM68" i="36"/>
  <c r="B247" i="34" s="1"/>
  <c r="B311" i="34" s="1"/>
  <c r="AO67" i="36"/>
  <c r="D246" i="34" s="1"/>
  <c r="D310" i="34" s="1"/>
  <c r="AN67" i="36"/>
  <c r="C246" i="34" s="1"/>
  <c r="AM67" i="36"/>
  <c r="B246" i="34" s="1"/>
  <c r="AO66" i="36"/>
  <c r="D245" i="34" s="1"/>
  <c r="D309" i="34" s="1"/>
  <c r="AN66" i="36"/>
  <c r="C245" i="34" s="1"/>
  <c r="C309" i="34" s="1"/>
  <c r="AM66" i="36"/>
  <c r="B245" i="34" s="1"/>
  <c r="AO65" i="36"/>
  <c r="D244" i="34" s="1"/>
  <c r="AN65" i="36"/>
  <c r="C244" i="34" s="1"/>
  <c r="C308" i="34" s="1"/>
  <c r="AM65" i="36"/>
  <c r="B244" i="34" s="1"/>
  <c r="B308" i="34" s="1"/>
  <c r="AO64" i="36"/>
  <c r="D243" i="34" s="1"/>
  <c r="AN64" i="36"/>
  <c r="C243" i="34" s="1"/>
  <c r="AM64" i="36"/>
  <c r="B243" i="34" s="1"/>
  <c r="B307" i="34" s="1"/>
  <c r="AO63" i="36"/>
  <c r="D242" i="34" s="1"/>
  <c r="D306" i="34" s="1"/>
  <c r="AN63" i="36"/>
  <c r="C242" i="34" s="1"/>
  <c r="AM63" i="36"/>
  <c r="B242" i="34" s="1"/>
  <c r="AO62" i="36"/>
  <c r="D241" i="34" s="1"/>
  <c r="D305" i="34" s="1"/>
  <c r="AN62" i="36"/>
  <c r="C241" i="34" s="1"/>
  <c r="C305" i="34" s="1"/>
  <c r="AM62" i="36"/>
  <c r="B241" i="34" s="1"/>
  <c r="AO61" i="36"/>
  <c r="D240" i="34" s="1"/>
  <c r="AN61" i="36"/>
  <c r="C240" i="34" s="1"/>
  <c r="C304" i="34" s="1"/>
  <c r="AM61" i="36"/>
  <c r="B240" i="34" s="1"/>
  <c r="B304" i="34" s="1"/>
  <c r="AO60" i="36"/>
  <c r="D239" i="34" s="1"/>
  <c r="AN60" i="36"/>
  <c r="C239" i="34" s="1"/>
  <c r="AM60" i="36"/>
  <c r="B239" i="34" s="1"/>
  <c r="B303" i="34" s="1"/>
  <c r="AO59" i="36"/>
  <c r="D238" i="34" s="1"/>
  <c r="D302" i="34" s="1"/>
  <c r="AN59" i="36"/>
  <c r="C238" i="34" s="1"/>
  <c r="AM59" i="36"/>
  <c r="B238" i="34" s="1"/>
  <c r="AO58" i="36"/>
  <c r="D237" i="34" s="1"/>
  <c r="D301" i="34" s="1"/>
  <c r="AN58" i="36"/>
  <c r="C237" i="34" s="1"/>
  <c r="C301" i="34" s="1"/>
  <c r="AM58" i="36"/>
  <c r="B237" i="34" s="1"/>
  <c r="AO57" i="36"/>
  <c r="D236" i="34" s="1"/>
  <c r="AN57" i="36"/>
  <c r="C236" i="34" s="1"/>
  <c r="C300" i="34" s="1"/>
  <c r="AM57" i="36"/>
  <c r="B236" i="34" s="1"/>
  <c r="B300" i="34" s="1"/>
  <c r="AO56" i="36"/>
  <c r="D235" i="34" s="1"/>
  <c r="D299" i="34" s="1"/>
  <c r="AN56" i="36"/>
  <c r="C235" i="34" s="1"/>
  <c r="AM56" i="36"/>
  <c r="B235" i="34" s="1"/>
  <c r="B299" i="34" s="1"/>
  <c r="AO48" i="36"/>
  <c r="D122" i="34" s="1"/>
  <c r="AN48" i="36"/>
  <c r="C122" i="34" s="1"/>
  <c r="AM48" i="36"/>
  <c r="B122" i="34" s="1"/>
  <c r="AO47" i="36"/>
  <c r="D121" i="34" s="1"/>
  <c r="AN47" i="36"/>
  <c r="C121" i="34" s="1"/>
  <c r="AM47" i="36"/>
  <c r="B121" i="34" s="1"/>
  <c r="AO46" i="36"/>
  <c r="D120" i="34" s="1"/>
  <c r="AN46" i="36"/>
  <c r="C120" i="34" s="1"/>
  <c r="AM46" i="36"/>
  <c r="B120" i="34" s="1"/>
  <c r="AO45" i="36"/>
  <c r="D119" i="34" s="1"/>
  <c r="AN45" i="36"/>
  <c r="C119" i="34" s="1"/>
  <c r="AM45" i="36"/>
  <c r="B119" i="34" s="1"/>
  <c r="AO44" i="36"/>
  <c r="D118" i="34" s="1"/>
  <c r="AN44" i="36"/>
  <c r="C118" i="34" s="1"/>
  <c r="AM44" i="36"/>
  <c r="B118" i="34" s="1"/>
  <c r="AO43" i="36"/>
  <c r="D117" i="34" s="1"/>
  <c r="AN43" i="36"/>
  <c r="C117" i="34" s="1"/>
  <c r="AM43" i="36"/>
  <c r="B117" i="34" s="1"/>
  <c r="AO42" i="36"/>
  <c r="D116" i="34" s="1"/>
  <c r="AN42" i="36"/>
  <c r="C116" i="34" s="1"/>
  <c r="AM42" i="36"/>
  <c r="B116" i="34" s="1"/>
  <c r="AO41" i="36"/>
  <c r="D115" i="34" s="1"/>
  <c r="AN41" i="36"/>
  <c r="C115" i="34" s="1"/>
  <c r="AM41" i="36"/>
  <c r="B115" i="34" s="1"/>
  <c r="AO40" i="36"/>
  <c r="D114" i="34" s="1"/>
  <c r="AN40" i="36"/>
  <c r="C114" i="34" s="1"/>
  <c r="AM40" i="36"/>
  <c r="B114" i="34" s="1"/>
  <c r="AO39" i="36"/>
  <c r="D113" i="34" s="1"/>
  <c r="AN39" i="36"/>
  <c r="C113" i="34" s="1"/>
  <c r="AM39" i="36"/>
  <c r="B113" i="34" s="1"/>
  <c r="AO38" i="36"/>
  <c r="D112" i="34" s="1"/>
  <c r="AN38" i="36"/>
  <c r="C112" i="34" s="1"/>
  <c r="AM38" i="36"/>
  <c r="B112" i="34" s="1"/>
  <c r="AO37" i="36"/>
  <c r="D111" i="34" s="1"/>
  <c r="AN37" i="36"/>
  <c r="C111" i="34" s="1"/>
  <c r="AM37" i="36"/>
  <c r="B111" i="34" s="1"/>
  <c r="AO36" i="36"/>
  <c r="D110" i="34" s="1"/>
  <c r="AN36" i="36"/>
  <c r="C110" i="34" s="1"/>
  <c r="AM36" i="36"/>
  <c r="B110" i="34" s="1"/>
  <c r="AO35" i="36"/>
  <c r="D109" i="34" s="1"/>
  <c r="AN35" i="36"/>
  <c r="C109" i="34" s="1"/>
  <c r="AM35" i="36"/>
  <c r="B109" i="34" s="1"/>
  <c r="AO34" i="36"/>
  <c r="D108" i="34" s="1"/>
  <c r="AN34" i="36"/>
  <c r="C108" i="34" s="1"/>
  <c r="AM34" i="36"/>
  <c r="B108" i="34" s="1"/>
  <c r="AO33" i="36"/>
  <c r="D107" i="34" s="1"/>
  <c r="AN33" i="36"/>
  <c r="C107" i="34" s="1"/>
  <c r="AM33" i="36"/>
  <c r="B107" i="34" s="1"/>
  <c r="AO32" i="36"/>
  <c r="D106" i="34" s="1"/>
  <c r="AN32" i="36"/>
  <c r="C106" i="34" s="1"/>
  <c r="AM32" i="36"/>
  <c r="B106" i="34" s="1"/>
  <c r="AO31" i="36"/>
  <c r="D105" i="34" s="1"/>
  <c r="D137" i="34" s="1"/>
  <c r="AN31" i="36"/>
  <c r="C105" i="34" s="1"/>
  <c r="AM31" i="36"/>
  <c r="B105" i="34" s="1"/>
  <c r="AM9" i="36"/>
  <c r="B74" i="34" s="1"/>
  <c r="AN9" i="36"/>
  <c r="C74" i="34" s="1"/>
  <c r="C138" i="34" s="1"/>
  <c r="AO9" i="36"/>
  <c r="D74" i="34" s="1"/>
  <c r="D138" i="34" s="1"/>
  <c r="AM10" i="36"/>
  <c r="B75" i="34" s="1"/>
  <c r="AN10" i="36"/>
  <c r="C75" i="34" s="1"/>
  <c r="AO10" i="36"/>
  <c r="D75" i="34" s="1"/>
  <c r="D139" i="34" s="1"/>
  <c r="AM11" i="36"/>
  <c r="B76" i="34" s="1"/>
  <c r="B140" i="34" s="1"/>
  <c r="AN11" i="36"/>
  <c r="C76" i="34" s="1"/>
  <c r="AO11" i="36"/>
  <c r="D76" i="34" s="1"/>
  <c r="AM12" i="36"/>
  <c r="B77" i="34" s="1"/>
  <c r="B141" i="34" s="1"/>
  <c r="AN12" i="36"/>
  <c r="C77" i="34" s="1"/>
  <c r="C141" i="34" s="1"/>
  <c r="AO12" i="36"/>
  <c r="D77" i="34" s="1"/>
  <c r="AM13" i="36"/>
  <c r="B78" i="34" s="1"/>
  <c r="AN13" i="36"/>
  <c r="C78" i="34" s="1"/>
  <c r="C142" i="34" s="1"/>
  <c r="AO13" i="36"/>
  <c r="D78" i="34" s="1"/>
  <c r="D142" i="34" s="1"/>
  <c r="AM14" i="36"/>
  <c r="B79" i="34" s="1"/>
  <c r="AN14" i="36"/>
  <c r="C79" i="34" s="1"/>
  <c r="AO14" i="36"/>
  <c r="D79" i="34" s="1"/>
  <c r="D143" i="34" s="1"/>
  <c r="AM15" i="36"/>
  <c r="B80" i="34" s="1"/>
  <c r="B144" i="34" s="1"/>
  <c r="AN15" i="36"/>
  <c r="C80" i="34" s="1"/>
  <c r="AO15" i="36"/>
  <c r="D80" i="34" s="1"/>
  <c r="AM16" i="36"/>
  <c r="B81" i="34" s="1"/>
  <c r="B145" i="34" s="1"/>
  <c r="AN16" i="36"/>
  <c r="C81" i="34" s="1"/>
  <c r="C145" i="34" s="1"/>
  <c r="AO16" i="36"/>
  <c r="D81" i="34" s="1"/>
  <c r="AM17" i="36"/>
  <c r="B82" i="34" s="1"/>
  <c r="AN17" i="36"/>
  <c r="C82" i="34" s="1"/>
  <c r="C146" i="34" s="1"/>
  <c r="AO17" i="36"/>
  <c r="D82" i="34" s="1"/>
  <c r="D146" i="34" s="1"/>
  <c r="AM18" i="36"/>
  <c r="B83" i="34" s="1"/>
  <c r="AN18" i="36"/>
  <c r="C83" i="34" s="1"/>
  <c r="AO18" i="36"/>
  <c r="D83" i="34" s="1"/>
  <c r="D147" i="34" s="1"/>
  <c r="AM19" i="36"/>
  <c r="B84" i="34" s="1"/>
  <c r="B148" i="34" s="1"/>
  <c r="AN19" i="36"/>
  <c r="C84" i="34" s="1"/>
  <c r="AO19" i="36"/>
  <c r="D84" i="34" s="1"/>
  <c r="AM20" i="36"/>
  <c r="B85" i="34" s="1"/>
  <c r="B149" i="34" s="1"/>
  <c r="AN20" i="36"/>
  <c r="C85" i="34" s="1"/>
  <c r="C149" i="34" s="1"/>
  <c r="AO20" i="36"/>
  <c r="D85" i="34" s="1"/>
  <c r="AM21" i="36"/>
  <c r="B86" i="34" s="1"/>
  <c r="AN21" i="36"/>
  <c r="C86" i="34" s="1"/>
  <c r="C150" i="34" s="1"/>
  <c r="AO21" i="36"/>
  <c r="D86" i="34" s="1"/>
  <c r="D150" i="34" s="1"/>
  <c r="AM22" i="36"/>
  <c r="B87" i="34" s="1"/>
  <c r="AN22" i="36"/>
  <c r="C87" i="34" s="1"/>
  <c r="AO22" i="36"/>
  <c r="D87" i="34" s="1"/>
  <c r="D151" i="34" s="1"/>
  <c r="AM23" i="36"/>
  <c r="B88" i="34" s="1"/>
  <c r="B152" i="34" s="1"/>
  <c r="AN23" i="36"/>
  <c r="C88" i="34" s="1"/>
  <c r="AO23" i="36"/>
  <c r="D88" i="34" s="1"/>
  <c r="AM24" i="36"/>
  <c r="B89" i="34" s="1"/>
  <c r="B153" i="34" s="1"/>
  <c r="AN24" i="36"/>
  <c r="C89" i="34" s="1"/>
  <c r="C153" i="34" s="1"/>
  <c r="AO24" i="36"/>
  <c r="D89" i="34" s="1"/>
  <c r="AM25" i="36"/>
  <c r="B90" i="34" s="1"/>
  <c r="AN25" i="36"/>
  <c r="C90" i="34" s="1"/>
  <c r="C154" i="34" s="1"/>
  <c r="AO25" i="36"/>
  <c r="D90" i="34" s="1"/>
  <c r="D154" i="34" s="1"/>
  <c r="AN8" i="36"/>
  <c r="C73" i="34" s="1"/>
  <c r="C137" i="34" s="1"/>
  <c r="AO8" i="36"/>
  <c r="D73" i="34" s="1"/>
  <c r="O8" i="36"/>
  <c r="B73" i="33" s="1"/>
  <c r="B137" i="33" s="1"/>
  <c r="I212" i="36" s="1"/>
  <c r="I259" i="36" s="1"/>
  <c r="AM8" i="36"/>
  <c r="B73" i="34" s="1"/>
  <c r="B137" i="34" s="1"/>
  <c r="AC8" i="36"/>
  <c r="U57" i="36"/>
  <c r="AA57" i="36" s="1"/>
  <c r="V57" i="36"/>
  <c r="AB57" i="36" s="1"/>
  <c r="W57" i="36"/>
  <c r="AC57" i="36" s="1"/>
  <c r="U58" i="36"/>
  <c r="AA58" i="36" s="1"/>
  <c r="V58" i="36"/>
  <c r="AB58" i="36" s="1"/>
  <c r="W58" i="36"/>
  <c r="AC58" i="36" s="1"/>
  <c r="U59" i="36"/>
  <c r="AA59" i="36" s="1"/>
  <c r="V59" i="36"/>
  <c r="AB59" i="36" s="1"/>
  <c r="W59" i="36"/>
  <c r="AC59" i="36" s="1"/>
  <c r="U60" i="36"/>
  <c r="AA60" i="36" s="1"/>
  <c r="V60" i="36"/>
  <c r="AB60" i="36" s="1"/>
  <c r="W60" i="36"/>
  <c r="AC60" i="36" s="1"/>
  <c r="U61" i="36"/>
  <c r="AA61" i="36" s="1"/>
  <c r="V61" i="36"/>
  <c r="AB61" i="36" s="1"/>
  <c r="W61" i="36"/>
  <c r="AC61" i="36" s="1"/>
  <c r="U62" i="36"/>
  <c r="AA62" i="36" s="1"/>
  <c r="V62" i="36"/>
  <c r="AB62" i="36" s="1"/>
  <c r="W62" i="36"/>
  <c r="AC62" i="36" s="1"/>
  <c r="U63" i="36"/>
  <c r="AA63" i="36" s="1"/>
  <c r="V63" i="36"/>
  <c r="AB63" i="36" s="1"/>
  <c r="W63" i="36"/>
  <c r="AC63" i="36" s="1"/>
  <c r="U64" i="36"/>
  <c r="AA64" i="36" s="1"/>
  <c r="V64" i="36"/>
  <c r="AB64" i="36" s="1"/>
  <c r="W64" i="36"/>
  <c r="AC64" i="36" s="1"/>
  <c r="U65" i="36"/>
  <c r="AA65" i="36" s="1"/>
  <c r="V65" i="36"/>
  <c r="AB65" i="36" s="1"/>
  <c r="W65" i="36"/>
  <c r="AC65" i="36" s="1"/>
  <c r="U66" i="36"/>
  <c r="AA66" i="36" s="1"/>
  <c r="V66" i="36"/>
  <c r="AB66" i="36" s="1"/>
  <c r="W66" i="36"/>
  <c r="AC66" i="36" s="1"/>
  <c r="U67" i="36"/>
  <c r="AA67" i="36" s="1"/>
  <c r="V67" i="36"/>
  <c r="AB67" i="36" s="1"/>
  <c r="W67" i="36"/>
  <c r="AC67" i="36" s="1"/>
  <c r="U68" i="36"/>
  <c r="AA68" i="36" s="1"/>
  <c r="V68" i="36"/>
  <c r="AB68" i="36" s="1"/>
  <c r="W68" i="36"/>
  <c r="AC68" i="36" s="1"/>
  <c r="U69" i="36"/>
  <c r="AA69" i="36" s="1"/>
  <c r="V69" i="36"/>
  <c r="AB69" i="36" s="1"/>
  <c r="W69" i="36"/>
  <c r="AC69" i="36" s="1"/>
  <c r="U70" i="36"/>
  <c r="AA70" i="36" s="1"/>
  <c r="V70" i="36"/>
  <c r="AB70" i="36" s="1"/>
  <c r="W70" i="36"/>
  <c r="AC70" i="36" s="1"/>
  <c r="U71" i="36"/>
  <c r="AA71" i="36" s="1"/>
  <c r="V71" i="36"/>
  <c r="AB71" i="36" s="1"/>
  <c r="W71" i="36"/>
  <c r="AC71" i="36" s="1"/>
  <c r="U72" i="36"/>
  <c r="AA72" i="36" s="1"/>
  <c r="V72" i="36"/>
  <c r="AB72" i="36" s="1"/>
  <c r="W72" i="36"/>
  <c r="AC72" i="36" s="1"/>
  <c r="U73" i="36"/>
  <c r="AA73" i="36" s="1"/>
  <c r="V73" i="36"/>
  <c r="AB73" i="36" s="1"/>
  <c r="W73" i="36"/>
  <c r="AC73" i="36" s="1"/>
  <c r="V56" i="36"/>
  <c r="AB56" i="36" s="1"/>
  <c r="W56" i="36"/>
  <c r="AC56" i="36" s="1"/>
  <c r="U56" i="36"/>
  <c r="AA56" i="36" s="1"/>
  <c r="U9" i="36"/>
  <c r="AA9" i="36" s="1"/>
  <c r="V9" i="36"/>
  <c r="AB9" i="36" s="1"/>
  <c r="W9" i="36"/>
  <c r="AC9" i="36" s="1"/>
  <c r="U10" i="36"/>
  <c r="AA10" i="36" s="1"/>
  <c r="V10" i="36"/>
  <c r="AB10" i="36" s="1"/>
  <c r="W10" i="36"/>
  <c r="AC10" i="36" s="1"/>
  <c r="U11" i="36"/>
  <c r="AA11" i="36" s="1"/>
  <c r="V11" i="36"/>
  <c r="AB11" i="36" s="1"/>
  <c r="W11" i="36"/>
  <c r="AC11" i="36" s="1"/>
  <c r="U12" i="36"/>
  <c r="AA12" i="36" s="1"/>
  <c r="V12" i="36"/>
  <c r="AB12" i="36" s="1"/>
  <c r="W12" i="36"/>
  <c r="AC12" i="36" s="1"/>
  <c r="U13" i="36"/>
  <c r="AA13" i="36" s="1"/>
  <c r="V13" i="36"/>
  <c r="AB13" i="36" s="1"/>
  <c r="W13" i="36"/>
  <c r="AC13" i="36" s="1"/>
  <c r="U14" i="36"/>
  <c r="AA14" i="36" s="1"/>
  <c r="V14" i="36"/>
  <c r="AB14" i="36" s="1"/>
  <c r="W14" i="36"/>
  <c r="AC14" i="36" s="1"/>
  <c r="U15" i="36"/>
  <c r="AA15" i="36" s="1"/>
  <c r="V15" i="36"/>
  <c r="AB15" i="36" s="1"/>
  <c r="W15" i="36"/>
  <c r="AC15" i="36" s="1"/>
  <c r="U16" i="36"/>
  <c r="AA16" i="36" s="1"/>
  <c r="V16" i="36"/>
  <c r="AB16" i="36" s="1"/>
  <c r="W16" i="36"/>
  <c r="AC16" i="36" s="1"/>
  <c r="U17" i="36"/>
  <c r="AA17" i="36" s="1"/>
  <c r="V17" i="36"/>
  <c r="AB17" i="36" s="1"/>
  <c r="W17" i="36"/>
  <c r="AC17" i="36" s="1"/>
  <c r="U18" i="36"/>
  <c r="AA18" i="36" s="1"/>
  <c r="V18" i="36"/>
  <c r="AB18" i="36" s="1"/>
  <c r="W18" i="36"/>
  <c r="AC18" i="36" s="1"/>
  <c r="U19" i="36"/>
  <c r="AA19" i="36" s="1"/>
  <c r="V19" i="36"/>
  <c r="AB19" i="36" s="1"/>
  <c r="W19" i="36"/>
  <c r="AC19" i="36" s="1"/>
  <c r="U20" i="36"/>
  <c r="AA20" i="36" s="1"/>
  <c r="V20" i="36"/>
  <c r="AB20" i="36" s="1"/>
  <c r="W20" i="36"/>
  <c r="AC20" i="36" s="1"/>
  <c r="U21" i="36"/>
  <c r="AA21" i="36" s="1"/>
  <c r="V21" i="36"/>
  <c r="AB21" i="36" s="1"/>
  <c r="W21" i="36"/>
  <c r="AC21" i="36" s="1"/>
  <c r="U22" i="36"/>
  <c r="AA22" i="36" s="1"/>
  <c r="V22" i="36"/>
  <c r="AB22" i="36" s="1"/>
  <c r="W22" i="36"/>
  <c r="AC22" i="36" s="1"/>
  <c r="U23" i="36"/>
  <c r="AA23" i="36" s="1"/>
  <c r="V23" i="36"/>
  <c r="AB23" i="36" s="1"/>
  <c r="W23" i="36"/>
  <c r="AC23" i="36" s="1"/>
  <c r="U24" i="36"/>
  <c r="AA24" i="36" s="1"/>
  <c r="V24" i="36"/>
  <c r="AB24" i="36" s="1"/>
  <c r="W24" i="36"/>
  <c r="AC24" i="36" s="1"/>
  <c r="U25" i="36"/>
  <c r="AA25" i="36" s="1"/>
  <c r="V25" i="36"/>
  <c r="AB25" i="36" s="1"/>
  <c r="W25" i="36"/>
  <c r="AC25" i="36" s="1"/>
  <c r="V8" i="36"/>
  <c r="AB8" i="36" s="1"/>
  <c r="W8" i="36"/>
  <c r="U8" i="36"/>
  <c r="AA8" i="36" s="1"/>
  <c r="Q97" i="36"/>
  <c r="D284" i="33" s="1"/>
  <c r="P97" i="36"/>
  <c r="C284" i="33" s="1"/>
  <c r="O97" i="36"/>
  <c r="B284" i="33" s="1"/>
  <c r="Q96" i="36"/>
  <c r="D283" i="33" s="1"/>
  <c r="P96" i="36"/>
  <c r="C283" i="33" s="1"/>
  <c r="O96" i="36"/>
  <c r="B283" i="33" s="1"/>
  <c r="Q95" i="36"/>
  <c r="D282" i="33" s="1"/>
  <c r="P95" i="36"/>
  <c r="C282" i="33" s="1"/>
  <c r="O95" i="36"/>
  <c r="B282" i="33" s="1"/>
  <c r="Q94" i="36"/>
  <c r="D281" i="33" s="1"/>
  <c r="P94" i="36"/>
  <c r="C281" i="33" s="1"/>
  <c r="O94" i="36"/>
  <c r="B281" i="33" s="1"/>
  <c r="Q93" i="36"/>
  <c r="D280" i="33" s="1"/>
  <c r="P93" i="36"/>
  <c r="C280" i="33" s="1"/>
  <c r="O93" i="36"/>
  <c r="B280" i="33" s="1"/>
  <c r="Q92" i="36"/>
  <c r="D279" i="33" s="1"/>
  <c r="P92" i="36"/>
  <c r="C279" i="33" s="1"/>
  <c r="O92" i="36"/>
  <c r="B279" i="33" s="1"/>
  <c r="Q91" i="36"/>
  <c r="D278" i="33" s="1"/>
  <c r="P91" i="36"/>
  <c r="C278" i="33" s="1"/>
  <c r="O91" i="36"/>
  <c r="B278" i="33" s="1"/>
  <c r="Q90" i="36"/>
  <c r="D277" i="33" s="1"/>
  <c r="P90" i="36"/>
  <c r="C277" i="33" s="1"/>
  <c r="O90" i="36"/>
  <c r="B277" i="33" s="1"/>
  <c r="Q89" i="36"/>
  <c r="D276" i="33" s="1"/>
  <c r="P89" i="36"/>
  <c r="C276" i="33" s="1"/>
  <c r="O89" i="36"/>
  <c r="B276" i="33" s="1"/>
  <c r="Q88" i="36"/>
  <c r="D275" i="33" s="1"/>
  <c r="P88" i="36"/>
  <c r="C275" i="33" s="1"/>
  <c r="O88" i="36"/>
  <c r="B275" i="33" s="1"/>
  <c r="Q87" i="36"/>
  <c r="D274" i="33" s="1"/>
  <c r="P87" i="36"/>
  <c r="C274" i="33" s="1"/>
  <c r="O87" i="36"/>
  <c r="B274" i="33" s="1"/>
  <c r="Q86" i="36"/>
  <c r="D273" i="33" s="1"/>
  <c r="P86" i="36"/>
  <c r="C273" i="33" s="1"/>
  <c r="O86" i="36"/>
  <c r="B273" i="33" s="1"/>
  <c r="Q85" i="36"/>
  <c r="D272" i="33" s="1"/>
  <c r="P85" i="36"/>
  <c r="C272" i="33" s="1"/>
  <c r="O85" i="36"/>
  <c r="B272" i="33" s="1"/>
  <c r="Q84" i="36"/>
  <c r="D271" i="33" s="1"/>
  <c r="P84" i="36"/>
  <c r="C271" i="33" s="1"/>
  <c r="O84" i="36"/>
  <c r="B271" i="33" s="1"/>
  <c r="Q83" i="36"/>
  <c r="D270" i="33" s="1"/>
  <c r="P83" i="36"/>
  <c r="C270" i="33" s="1"/>
  <c r="O83" i="36"/>
  <c r="B270" i="33" s="1"/>
  <c r="Q82" i="36"/>
  <c r="D269" i="33" s="1"/>
  <c r="P82" i="36"/>
  <c r="C269" i="33" s="1"/>
  <c r="O82" i="36"/>
  <c r="B269" i="33" s="1"/>
  <c r="Q81" i="36"/>
  <c r="D268" i="33" s="1"/>
  <c r="P81" i="36"/>
  <c r="C268" i="33" s="1"/>
  <c r="O81" i="36"/>
  <c r="B268" i="33" s="1"/>
  <c r="Q80" i="36"/>
  <c r="D267" i="33" s="1"/>
  <c r="P80" i="36"/>
  <c r="C267" i="33" s="1"/>
  <c r="O80" i="36"/>
  <c r="B267" i="33" s="1"/>
  <c r="Q73" i="36"/>
  <c r="D252" i="33" s="1"/>
  <c r="D316" i="33" s="1"/>
  <c r="P73" i="36"/>
  <c r="C252" i="33" s="1"/>
  <c r="O73" i="36"/>
  <c r="B252" i="33" s="1"/>
  <c r="Q72" i="36"/>
  <c r="D251" i="33" s="1"/>
  <c r="P72" i="36"/>
  <c r="C251" i="33" s="1"/>
  <c r="C315" i="33" s="1"/>
  <c r="O72" i="36"/>
  <c r="B251" i="33" s="1"/>
  <c r="Q71" i="36"/>
  <c r="D250" i="33" s="1"/>
  <c r="P71" i="36"/>
  <c r="C250" i="33" s="1"/>
  <c r="O71" i="36"/>
  <c r="B250" i="33" s="1"/>
  <c r="B314" i="33" s="1"/>
  <c r="Q70" i="36"/>
  <c r="D249" i="33" s="1"/>
  <c r="P70" i="36"/>
  <c r="C249" i="33" s="1"/>
  <c r="O70" i="36"/>
  <c r="B249" i="33" s="1"/>
  <c r="Q69" i="36"/>
  <c r="D248" i="33" s="1"/>
  <c r="D312" i="33" s="1"/>
  <c r="P69" i="36"/>
  <c r="C248" i="33" s="1"/>
  <c r="O69" i="36"/>
  <c r="B248" i="33" s="1"/>
  <c r="Q68" i="36"/>
  <c r="D247" i="33" s="1"/>
  <c r="P68" i="36"/>
  <c r="C247" i="33" s="1"/>
  <c r="C311" i="33" s="1"/>
  <c r="O68" i="36"/>
  <c r="B247" i="33" s="1"/>
  <c r="Q67" i="36"/>
  <c r="D246" i="33" s="1"/>
  <c r="P67" i="36"/>
  <c r="C246" i="33" s="1"/>
  <c r="O67" i="36"/>
  <c r="B246" i="33" s="1"/>
  <c r="B310" i="33" s="1"/>
  <c r="Q66" i="36"/>
  <c r="D245" i="33" s="1"/>
  <c r="P66" i="36"/>
  <c r="C245" i="33" s="1"/>
  <c r="O66" i="36"/>
  <c r="B245" i="33" s="1"/>
  <c r="Q65" i="36"/>
  <c r="D244" i="33" s="1"/>
  <c r="D308" i="33" s="1"/>
  <c r="P65" i="36"/>
  <c r="C244" i="33" s="1"/>
  <c r="O65" i="36"/>
  <c r="B244" i="33" s="1"/>
  <c r="Q64" i="36"/>
  <c r="D243" i="33" s="1"/>
  <c r="P64" i="36"/>
  <c r="C243" i="33" s="1"/>
  <c r="C307" i="33" s="1"/>
  <c r="O64" i="36"/>
  <c r="B243" i="33" s="1"/>
  <c r="Q63" i="36"/>
  <c r="D242" i="33" s="1"/>
  <c r="P63" i="36"/>
  <c r="C242" i="33" s="1"/>
  <c r="O63" i="36"/>
  <c r="B242" i="33" s="1"/>
  <c r="B306" i="33" s="1"/>
  <c r="Q62" i="36"/>
  <c r="D241" i="33" s="1"/>
  <c r="P62" i="36"/>
  <c r="C241" i="33" s="1"/>
  <c r="O62" i="36"/>
  <c r="B241" i="33" s="1"/>
  <c r="Q61" i="36"/>
  <c r="D240" i="33" s="1"/>
  <c r="D304" i="33" s="1"/>
  <c r="P61" i="36"/>
  <c r="C240" i="33" s="1"/>
  <c r="O61" i="36"/>
  <c r="B240" i="33" s="1"/>
  <c r="Q60" i="36"/>
  <c r="D239" i="33" s="1"/>
  <c r="P60" i="36"/>
  <c r="C239" i="33" s="1"/>
  <c r="C303" i="33" s="1"/>
  <c r="O60" i="36"/>
  <c r="B239" i="33" s="1"/>
  <c r="Q59" i="36"/>
  <c r="D238" i="33" s="1"/>
  <c r="P59" i="36"/>
  <c r="C238" i="33" s="1"/>
  <c r="O59" i="36"/>
  <c r="B238" i="33" s="1"/>
  <c r="B302" i="33" s="1"/>
  <c r="Q58" i="36"/>
  <c r="D237" i="33" s="1"/>
  <c r="P58" i="36"/>
  <c r="C237" i="33" s="1"/>
  <c r="O58" i="36"/>
  <c r="B237" i="33" s="1"/>
  <c r="Q57" i="36"/>
  <c r="D236" i="33" s="1"/>
  <c r="D300" i="33" s="1"/>
  <c r="P57" i="36"/>
  <c r="C236" i="33" s="1"/>
  <c r="O57" i="36"/>
  <c r="B236" i="33" s="1"/>
  <c r="Q56" i="36"/>
  <c r="D235" i="33" s="1"/>
  <c r="P56" i="36"/>
  <c r="C235" i="33" s="1"/>
  <c r="C299" i="33" s="1"/>
  <c r="O56" i="36"/>
  <c r="B235" i="33" s="1"/>
  <c r="O9" i="36"/>
  <c r="B74" i="33" s="1"/>
  <c r="B138" i="33" s="1"/>
  <c r="I213" i="36" s="1"/>
  <c r="P9" i="36"/>
  <c r="C74" i="33" s="1"/>
  <c r="C138" i="33" s="1"/>
  <c r="J213" i="36" s="1"/>
  <c r="Q9" i="36"/>
  <c r="D74" i="33" s="1"/>
  <c r="D138" i="33" s="1"/>
  <c r="K213" i="36" s="1"/>
  <c r="O10" i="36"/>
  <c r="B75" i="33" s="1"/>
  <c r="B139" i="33" s="1"/>
  <c r="I214" i="36" s="1"/>
  <c r="P10" i="36"/>
  <c r="C75" i="33" s="1"/>
  <c r="C139" i="33" s="1"/>
  <c r="J214" i="36" s="1"/>
  <c r="Q10" i="36"/>
  <c r="D75" i="33" s="1"/>
  <c r="D139" i="33" s="1"/>
  <c r="K214" i="36" s="1"/>
  <c r="O11" i="36"/>
  <c r="B76" i="33" s="1"/>
  <c r="B140" i="33" s="1"/>
  <c r="I215" i="36" s="1"/>
  <c r="P11" i="36"/>
  <c r="C76" i="33" s="1"/>
  <c r="C140" i="33" s="1"/>
  <c r="J215" i="36" s="1"/>
  <c r="Q11" i="36"/>
  <c r="D76" i="33" s="1"/>
  <c r="D140" i="33" s="1"/>
  <c r="K215" i="36" s="1"/>
  <c r="O12" i="36"/>
  <c r="B77" i="33" s="1"/>
  <c r="B141" i="33" s="1"/>
  <c r="I216" i="36" s="1"/>
  <c r="P12" i="36"/>
  <c r="C77" i="33" s="1"/>
  <c r="C141" i="33" s="1"/>
  <c r="J216" i="36" s="1"/>
  <c r="Q12" i="36"/>
  <c r="D77" i="33" s="1"/>
  <c r="D141" i="33" s="1"/>
  <c r="K216" i="36" s="1"/>
  <c r="O13" i="36"/>
  <c r="B78" i="33" s="1"/>
  <c r="B142" i="33" s="1"/>
  <c r="I217" i="36" s="1"/>
  <c r="P13" i="36"/>
  <c r="C78" i="33" s="1"/>
  <c r="C142" i="33" s="1"/>
  <c r="J217" i="36" s="1"/>
  <c r="Q13" i="36"/>
  <c r="D78" i="33" s="1"/>
  <c r="D142" i="33" s="1"/>
  <c r="K217" i="36" s="1"/>
  <c r="O14" i="36"/>
  <c r="B79" i="33" s="1"/>
  <c r="B143" i="33" s="1"/>
  <c r="I218" i="36" s="1"/>
  <c r="P14" i="36"/>
  <c r="C79" i="33" s="1"/>
  <c r="C143" i="33" s="1"/>
  <c r="J218" i="36" s="1"/>
  <c r="Q14" i="36"/>
  <c r="D79" i="33" s="1"/>
  <c r="D143" i="33" s="1"/>
  <c r="K218" i="36" s="1"/>
  <c r="O15" i="36"/>
  <c r="B80" i="33" s="1"/>
  <c r="B144" i="33" s="1"/>
  <c r="I219" i="36" s="1"/>
  <c r="P15" i="36"/>
  <c r="C80" i="33" s="1"/>
  <c r="C144" i="33" s="1"/>
  <c r="J219" i="36" s="1"/>
  <c r="Q15" i="36"/>
  <c r="D80" i="33" s="1"/>
  <c r="D144" i="33" s="1"/>
  <c r="K219" i="36" s="1"/>
  <c r="O16" i="36"/>
  <c r="B81" i="33" s="1"/>
  <c r="B145" i="33" s="1"/>
  <c r="I220" i="36" s="1"/>
  <c r="P16" i="36"/>
  <c r="C81" i="33" s="1"/>
  <c r="C145" i="33" s="1"/>
  <c r="J220" i="36" s="1"/>
  <c r="Q16" i="36"/>
  <c r="D81" i="33" s="1"/>
  <c r="D145" i="33" s="1"/>
  <c r="K220" i="36" s="1"/>
  <c r="O17" i="36"/>
  <c r="B82" i="33" s="1"/>
  <c r="B146" i="33" s="1"/>
  <c r="I221" i="36" s="1"/>
  <c r="I268" i="36" s="1"/>
  <c r="P17" i="36"/>
  <c r="C82" i="33" s="1"/>
  <c r="C146" i="33" s="1"/>
  <c r="J221" i="36" s="1"/>
  <c r="J268" i="36" s="1"/>
  <c r="Q17" i="36"/>
  <c r="D82" i="33" s="1"/>
  <c r="D146" i="33" s="1"/>
  <c r="K221" i="36" s="1"/>
  <c r="K268" i="36" s="1"/>
  <c r="O18" i="36"/>
  <c r="B83" i="33" s="1"/>
  <c r="B147" i="33" s="1"/>
  <c r="I222" i="36" s="1"/>
  <c r="P18" i="36"/>
  <c r="C83" i="33" s="1"/>
  <c r="C147" i="33" s="1"/>
  <c r="J222" i="36" s="1"/>
  <c r="Q18" i="36"/>
  <c r="D83" i="33" s="1"/>
  <c r="D147" i="33" s="1"/>
  <c r="K222" i="36" s="1"/>
  <c r="O19" i="36"/>
  <c r="B84" i="33" s="1"/>
  <c r="B148" i="33" s="1"/>
  <c r="I223" i="36" s="1"/>
  <c r="P19" i="36"/>
  <c r="C84" i="33" s="1"/>
  <c r="C148" i="33" s="1"/>
  <c r="J223" i="36" s="1"/>
  <c r="Q19" i="36"/>
  <c r="D84" i="33" s="1"/>
  <c r="D148" i="33" s="1"/>
  <c r="K223" i="36" s="1"/>
  <c r="O20" i="36"/>
  <c r="B85" i="33" s="1"/>
  <c r="B149" i="33" s="1"/>
  <c r="I224" i="36" s="1"/>
  <c r="P20" i="36"/>
  <c r="C85" i="33" s="1"/>
  <c r="C149" i="33" s="1"/>
  <c r="J224" i="36" s="1"/>
  <c r="Q20" i="36"/>
  <c r="D85" i="33" s="1"/>
  <c r="D149" i="33" s="1"/>
  <c r="K224" i="36" s="1"/>
  <c r="O21" i="36"/>
  <c r="B86" i="33" s="1"/>
  <c r="B150" i="33" s="1"/>
  <c r="I225" i="36" s="1"/>
  <c r="P21" i="36"/>
  <c r="C86" i="33" s="1"/>
  <c r="C150" i="33" s="1"/>
  <c r="J225" i="36" s="1"/>
  <c r="Q21" i="36"/>
  <c r="D86" i="33" s="1"/>
  <c r="D150" i="33" s="1"/>
  <c r="K225" i="36" s="1"/>
  <c r="O22" i="36"/>
  <c r="B87" i="33" s="1"/>
  <c r="B151" i="33" s="1"/>
  <c r="I226" i="36" s="1"/>
  <c r="P22" i="36"/>
  <c r="C87" i="33" s="1"/>
  <c r="C151" i="33" s="1"/>
  <c r="J226" i="36" s="1"/>
  <c r="Q22" i="36"/>
  <c r="D87" i="33" s="1"/>
  <c r="D151" i="33" s="1"/>
  <c r="K226" i="36" s="1"/>
  <c r="O23" i="36"/>
  <c r="B88" i="33" s="1"/>
  <c r="B152" i="33" s="1"/>
  <c r="I227" i="36" s="1"/>
  <c r="P23" i="36"/>
  <c r="C88" i="33" s="1"/>
  <c r="C152" i="33" s="1"/>
  <c r="J227" i="36" s="1"/>
  <c r="Q23" i="36"/>
  <c r="D88" i="33" s="1"/>
  <c r="D152" i="33" s="1"/>
  <c r="K227" i="36" s="1"/>
  <c r="O24" i="36"/>
  <c r="B89" i="33" s="1"/>
  <c r="B153" i="33" s="1"/>
  <c r="I228" i="36" s="1"/>
  <c r="P24" i="36"/>
  <c r="C89" i="33" s="1"/>
  <c r="C153" i="33" s="1"/>
  <c r="J228" i="36" s="1"/>
  <c r="Q24" i="36"/>
  <c r="D89" i="33" s="1"/>
  <c r="D153" i="33" s="1"/>
  <c r="K228" i="36" s="1"/>
  <c r="O25" i="36"/>
  <c r="B90" i="33" s="1"/>
  <c r="B154" i="33" s="1"/>
  <c r="I229" i="36" s="1"/>
  <c r="P25" i="36"/>
  <c r="C90" i="33" s="1"/>
  <c r="C154" i="33" s="1"/>
  <c r="J229" i="36" s="1"/>
  <c r="Q25" i="36"/>
  <c r="D90" i="33" s="1"/>
  <c r="D154" i="33" s="1"/>
  <c r="K229" i="36" s="1"/>
  <c r="P8" i="36"/>
  <c r="C73" i="33" s="1"/>
  <c r="C137" i="33" s="1"/>
  <c r="J212" i="36" s="1"/>
  <c r="J259" i="36" s="1"/>
  <c r="Q8" i="36"/>
  <c r="D73" i="33" s="1"/>
  <c r="D137" i="33" s="1"/>
  <c r="K212" i="36" s="1"/>
  <c r="K259" i="36" s="1"/>
  <c r="D299" i="33" l="1"/>
  <c r="B301" i="33"/>
  <c r="C302" i="33"/>
  <c r="J238" i="36" s="1"/>
  <c r="D303" i="33"/>
  <c r="K239" i="36" s="1"/>
  <c r="B305" i="33"/>
  <c r="C306" i="33"/>
  <c r="D307" i="33"/>
  <c r="K243" i="36" s="1"/>
  <c r="B309" i="33"/>
  <c r="E309" i="33" s="1"/>
  <c r="F309" i="33" s="1"/>
  <c r="C310" i="33"/>
  <c r="J246" i="36" s="1"/>
  <c r="D311" i="33"/>
  <c r="B313" i="33"/>
  <c r="C314" i="33"/>
  <c r="J250" i="36" s="1"/>
  <c r="D315" i="33"/>
  <c r="K251" i="36" s="1"/>
  <c r="B300" i="33"/>
  <c r="J237" i="36"/>
  <c r="J284" i="36" s="1"/>
  <c r="P284" i="36" s="1"/>
  <c r="C301" i="33"/>
  <c r="D302" i="33"/>
  <c r="K238" i="36" s="1"/>
  <c r="I240" i="36"/>
  <c r="O240" i="36" s="1"/>
  <c r="B304" i="33"/>
  <c r="E304" i="33" s="1"/>
  <c r="F304" i="33" s="1"/>
  <c r="C305" i="33"/>
  <c r="J241" i="36" s="1"/>
  <c r="K242" i="36"/>
  <c r="K289" i="36" s="1"/>
  <c r="D306" i="33"/>
  <c r="B308" i="33"/>
  <c r="J245" i="36"/>
  <c r="J292" i="36" s="1"/>
  <c r="C309" i="33"/>
  <c r="D310" i="33"/>
  <c r="E310" i="33" s="1"/>
  <c r="F310" i="33" s="1"/>
  <c r="I248" i="36"/>
  <c r="B312" i="33"/>
  <c r="E312" i="33" s="1"/>
  <c r="F312" i="33" s="1"/>
  <c r="C313" i="33"/>
  <c r="J249" i="36" s="1"/>
  <c r="K250" i="36"/>
  <c r="D314" i="33"/>
  <c r="B316" i="33"/>
  <c r="J235" i="36"/>
  <c r="J282" i="36" s="1"/>
  <c r="I235" i="36"/>
  <c r="I282" i="36" s="1"/>
  <c r="B299" i="33"/>
  <c r="C300" i="33"/>
  <c r="C317" i="33" s="1"/>
  <c r="C318" i="33" s="1"/>
  <c r="K237" i="36"/>
  <c r="D301" i="33"/>
  <c r="B303" i="33"/>
  <c r="E303" i="33" s="1"/>
  <c r="F303" i="33" s="1"/>
  <c r="P307" i="33" s="1"/>
  <c r="J240" i="36"/>
  <c r="C304" i="33"/>
  <c r="D305" i="33"/>
  <c r="K241" i="36" s="1"/>
  <c r="I243" i="36"/>
  <c r="B307" i="33"/>
  <c r="C308" i="33"/>
  <c r="J244" i="36" s="1"/>
  <c r="K245" i="36"/>
  <c r="D309" i="33"/>
  <c r="B311" i="33"/>
  <c r="E311" i="33" s="1"/>
  <c r="F311" i="33" s="1"/>
  <c r="J248" i="36"/>
  <c r="C312" i="33"/>
  <c r="D313" i="33"/>
  <c r="K249" i="36" s="1"/>
  <c r="K296" i="36" s="1"/>
  <c r="I251" i="36"/>
  <c r="B315" i="33"/>
  <c r="C316" i="33"/>
  <c r="J252" i="36" s="1"/>
  <c r="J242" i="36"/>
  <c r="K247" i="36"/>
  <c r="K294" i="36" s="1"/>
  <c r="E302" i="33"/>
  <c r="F302" i="33" s="1"/>
  <c r="E306" i="33"/>
  <c r="F306" i="33" s="1"/>
  <c r="J289" i="36"/>
  <c r="I287" i="36"/>
  <c r="O287" i="36" s="1"/>
  <c r="I295" i="36"/>
  <c r="K297" i="36"/>
  <c r="I272" i="36"/>
  <c r="O272" i="36" s="1"/>
  <c r="O225" i="36"/>
  <c r="K266" i="36"/>
  <c r="Q266" i="36" s="1"/>
  <c r="Q219" i="36"/>
  <c r="K262" i="36"/>
  <c r="Q262" i="36" s="1"/>
  <c r="Q215" i="36"/>
  <c r="J275" i="36"/>
  <c r="P275" i="36" s="1"/>
  <c r="P228" i="36"/>
  <c r="K264" i="36"/>
  <c r="Q264" i="36" s="1"/>
  <c r="Q217" i="36"/>
  <c r="K275" i="36"/>
  <c r="Q275" i="36" s="1"/>
  <c r="Q228" i="36"/>
  <c r="I273" i="36"/>
  <c r="O273" i="36" s="1"/>
  <c r="O226" i="36"/>
  <c r="K271" i="36"/>
  <c r="Q271" i="36" s="1"/>
  <c r="Q224" i="36"/>
  <c r="J270" i="36"/>
  <c r="P270" i="36" s="1"/>
  <c r="P223" i="36"/>
  <c r="I269" i="36"/>
  <c r="O269" i="36" s="1"/>
  <c r="O222" i="36"/>
  <c r="K267" i="36"/>
  <c r="Q267" i="36" s="1"/>
  <c r="Q220" i="36"/>
  <c r="J266" i="36"/>
  <c r="P266" i="36" s="1"/>
  <c r="P219" i="36"/>
  <c r="I265" i="36"/>
  <c r="O265" i="36" s="1"/>
  <c r="O218" i="36"/>
  <c r="K263" i="36"/>
  <c r="Q263" i="36" s="1"/>
  <c r="Q216" i="36"/>
  <c r="J262" i="36"/>
  <c r="P262" i="36" s="1"/>
  <c r="P215" i="36"/>
  <c r="I261" i="36"/>
  <c r="O261" i="36" s="1"/>
  <c r="O214" i="36"/>
  <c r="K284" i="36"/>
  <c r="J287" i="36"/>
  <c r="P240" i="36"/>
  <c r="I290" i="36"/>
  <c r="O290" i="36" s="1"/>
  <c r="O243" i="36"/>
  <c r="K292" i="36"/>
  <c r="J295" i="36"/>
  <c r="I298" i="36"/>
  <c r="I275" i="36"/>
  <c r="O275" i="36" s="1"/>
  <c r="O228" i="36"/>
  <c r="J272" i="36"/>
  <c r="P272" i="36" s="1"/>
  <c r="P225" i="36"/>
  <c r="K269" i="36"/>
  <c r="Q269" i="36" s="1"/>
  <c r="Q222" i="36"/>
  <c r="I267" i="36"/>
  <c r="O267" i="36" s="1"/>
  <c r="O220" i="36"/>
  <c r="J264" i="36"/>
  <c r="P264" i="36" s="1"/>
  <c r="P217" i="36"/>
  <c r="K261" i="36"/>
  <c r="Q261" i="36" s="1"/>
  <c r="Q214" i="36"/>
  <c r="J273" i="36"/>
  <c r="P273" i="36" s="1"/>
  <c r="P226" i="36"/>
  <c r="J269" i="36"/>
  <c r="P269" i="36" s="1"/>
  <c r="P222" i="36"/>
  <c r="I264" i="36"/>
  <c r="O264" i="36" s="1"/>
  <c r="O217" i="36"/>
  <c r="K272" i="36"/>
  <c r="Q272" i="36" s="1"/>
  <c r="Q225" i="36"/>
  <c r="J267" i="36"/>
  <c r="P267" i="36" s="1"/>
  <c r="P220" i="36"/>
  <c r="I262" i="36"/>
  <c r="O262" i="36" s="1"/>
  <c r="O215" i="36"/>
  <c r="J274" i="36"/>
  <c r="P274" i="36" s="1"/>
  <c r="P227" i="36"/>
  <c r="K236" i="36"/>
  <c r="I238" i="36"/>
  <c r="J239" i="36"/>
  <c r="K240" i="36"/>
  <c r="I242" i="36"/>
  <c r="J243" i="36"/>
  <c r="K244" i="36"/>
  <c r="K291" i="36" s="1"/>
  <c r="I246" i="36"/>
  <c r="J247" i="36"/>
  <c r="K248" i="36"/>
  <c r="I250" i="36"/>
  <c r="J251" i="36"/>
  <c r="K252" i="36"/>
  <c r="K276" i="36"/>
  <c r="Q276" i="36" s="1"/>
  <c r="Q229" i="36"/>
  <c r="I274" i="36"/>
  <c r="O274" i="36" s="1"/>
  <c r="O227" i="36"/>
  <c r="J271" i="36"/>
  <c r="P271" i="36" s="1"/>
  <c r="P224" i="36"/>
  <c r="I266" i="36"/>
  <c r="O266" i="36" s="1"/>
  <c r="O219" i="36"/>
  <c r="J263" i="36"/>
  <c r="P263" i="36" s="1"/>
  <c r="P216" i="36"/>
  <c r="K260" i="36"/>
  <c r="Q260" i="36" s="1"/>
  <c r="Q213" i="36"/>
  <c r="D153" i="34"/>
  <c r="C152" i="34"/>
  <c r="B151" i="34"/>
  <c r="D149" i="34"/>
  <c r="C148" i="34"/>
  <c r="B147" i="34"/>
  <c r="D145" i="34"/>
  <c r="C144" i="34"/>
  <c r="B143" i="34"/>
  <c r="D141" i="34"/>
  <c r="C140" i="34"/>
  <c r="B139" i="34"/>
  <c r="K274" i="36"/>
  <c r="Q274" i="36" s="1"/>
  <c r="Q227" i="36"/>
  <c r="K270" i="36"/>
  <c r="Q270" i="36" s="1"/>
  <c r="Q223" i="36"/>
  <c r="I260" i="36"/>
  <c r="O260" i="36" s="1"/>
  <c r="O213" i="36"/>
  <c r="J276" i="36"/>
  <c r="P276" i="36" s="1"/>
  <c r="P229" i="36"/>
  <c r="K273" i="36"/>
  <c r="Q273" i="36" s="1"/>
  <c r="Q226" i="36"/>
  <c r="I271" i="36"/>
  <c r="O271" i="36" s="1"/>
  <c r="O224" i="36"/>
  <c r="K265" i="36"/>
  <c r="Q265" i="36" s="1"/>
  <c r="Q218" i="36"/>
  <c r="I263" i="36"/>
  <c r="O263" i="36" s="1"/>
  <c r="O216" i="36"/>
  <c r="J260" i="36"/>
  <c r="P260" i="36" s="1"/>
  <c r="P213" i="36"/>
  <c r="K298" i="36"/>
  <c r="Q251" i="36"/>
  <c r="J293" i="36"/>
  <c r="K290" i="36"/>
  <c r="J285" i="36"/>
  <c r="P285" i="36" s="1"/>
  <c r="I276" i="36"/>
  <c r="O276" i="36" s="1"/>
  <c r="O229" i="36"/>
  <c r="J265" i="36"/>
  <c r="P265" i="36" s="1"/>
  <c r="P218" i="36"/>
  <c r="J261" i="36"/>
  <c r="P261" i="36" s="1"/>
  <c r="P214" i="36"/>
  <c r="I270" i="36"/>
  <c r="O270" i="36" s="1"/>
  <c r="O223" i="36"/>
  <c r="C109" i="36"/>
  <c r="C107" i="36"/>
  <c r="L12" i="42"/>
  <c r="P78" i="42"/>
  <c r="Q238" i="45"/>
  <c r="Q242" i="45"/>
  <c r="Q246" i="45"/>
  <c r="Q239" i="45"/>
  <c r="Q243" i="45"/>
  <c r="Q244" i="45"/>
  <c r="Q240" i="45"/>
  <c r="Q245" i="45"/>
  <c r="Q241" i="45"/>
  <c r="J237" i="45"/>
  <c r="K237" i="45" s="1"/>
  <c r="M237" i="45" s="1"/>
  <c r="I240" i="45"/>
  <c r="J240" i="45" s="1"/>
  <c r="K240" i="45" s="1"/>
  <c r="M240" i="45" s="1"/>
  <c r="Q234" i="45"/>
  <c r="Q235" i="45"/>
  <c r="Q105" i="45"/>
  <c r="Q106" i="45"/>
  <c r="D256" i="45"/>
  <c r="I241" i="45" s="1"/>
  <c r="J241" i="45" s="1"/>
  <c r="P87" i="45"/>
  <c r="H83" i="45"/>
  <c r="P76" i="45"/>
  <c r="P86" i="45"/>
  <c r="H84" i="45"/>
  <c r="H82" i="45"/>
  <c r="P75" i="45"/>
  <c r="P215" i="45"/>
  <c r="P205" i="45"/>
  <c r="P204" i="45"/>
  <c r="P216" i="45"/>
  <c r="H213" i="45"/>
  <c r="H212" i="45"/>
  <c r="H211" i="45"/>
  <c r="Q109" i="45"/>
  <c r="Q114" i="45"/>
  <c r="Q110" i="45"/>
  <c r="Q113" i="45"/>
  <c r="Q112" i="45"/>
  <c r="Q117" i="45"/>
  <c r="Q115" i="45"/>
  <c r="Q111" i="45"/>
  <c r="Q116" i="45"/>
  <c r="D127" i="45"/>
  <c r="I112" i="45" s="1"/>
  <c r="J112" i="45" s="1"/>
  <c r="P117" i="42"/>
  <c r="P81" i="42"/>
  <c r="P80" i="42"/>
  <c r="P113" i="42"/>
  <c r="P211" i="42"/>
  <c r="P84" i="42"/>
  <c r="P143" i="42"/>
  <c r="P242" i="42"/>
  <c r="P246" i="42"/>
  <c r="H209" i="42"/>
  <c r="P114" i="42"/>
  <c r="H15" i="42"/>
  <c r="P19" i="42"/>
  <c r="P82" i="42"/>
  <c r="P112" i="42"/>
  <c r="P106" i="42"/>
  <c r="P177" i="42"/>
  <c r="P209" i="42"/>
  <c r="P115" i="42"/>
  <c r="P176" i="42"/>
  <c r="P180" i="42"/>
  <c r="P111" i="42"/>
  <c r="P116" i="42"/>
  <c r="L44" i="42"/>
  <c r="L46" i="42"/>
  <c r="L140" i="42"/>
  <c r="L205" i="42"/>
  <c r="L238" i="42"/>
  <c r="P244" i="42"/>
  <c r="H79" i="42"/>
  <c r="L79" i="42" s="1"/>
  <c r="P83" i="42"/>
  <c r="P85" i="42"/>
  <c r="P110" i="42"/>
  <c r="H111" i="42"/>
  <c r="L111" i="42" s="1"/>
  <c r="P144" i="42"/>
  <c r="P146" i="42"/>
  <c r="H177" i="42"/>
  <c r="L177" i="42" s="1"/>
  <c r="H211" i="42"/>
  <c r="E253" i="42"/>
  <c r="B255" i="42" s="1"/>
  <c r="D256" i="42" s="1"/>
  <c r="I237" i="42" s="1"/>
  <c r="J237" i="42" s="1"/>
  <c r="P247" i="42"/>
  <c r="L75" i="42"/>
  <c r="L78" i="42"/>
  <c r="L139" i="42"/>
  <c r="L141" i="42"/>
  <c r="H143" i="42"/>
  <c r="L143" i="42" s="1"/>
  <c r="L209" i="42"/>
  <c r="P240" i="42"/>
  <c r="L241" i="42"/>
  <c r="P245" i="42"/>
  <c r="L11" i="42"/>
  <c r="L43" i="42"/>
  <c r="H47" i="42"/>
  <c r="L47" i="42" s="1"/>
  <c r="L176" i="42"/>
  <c r="L14" i="42"/>
  <c r="P79" i="42"/>
  <c r="H81" i="42"/>
  <c r="L107" i="42"/>
  <c r="L110" i="42"/>
  <c r="L174" i="42"/>
  <c r="E221" i="42"/>
  <c r="B223" i="42" s="1"/>
  <c r="B225" i="42" s="1"/>
  <c r="I206" i="42" s="1"/>
  <c r="L208" i="42"/>
  <c r="H243" i="42"/>
  <c r="L240" i="42"/>
  <c r="P77" i="42"/>
  <c r="E91" i="42"/>
  <c r="B93" i="42" s="1"/>
  <c r="D94" i="42" s="1"/>
  <c r="I75" i="42" s="1"/>
  <c r="J75" i="42" s="1"/>
  <c r="P46" i="42"/>
  <c r="P50" i="42"/>
  <c r="P47" i="42"/>
  <c r="E59" i="42"/>
  <c r="B61" i="42" s="1"/>
  <c r="B62" i="42" s="1"/>
  <c r="P17" i="42"/>
  <c r="P14" i="42"/>
  <c r="P13" i="42"/>
  <c r="P9" i="42"/>
  <c r="P15" i="42"/>
  <c r="P51" i="42"/>
  <c r="P215" i="42"/>
  <c r="P147" i="42"/>
  <c r="P148" i="42"/>
  <c r="P49" i="42"/>
  <c r="P41" i="42"/>
  <c r="P45" i="42"/>
  <c r="P42" i="42"/>
  <c r="L15" i="42"/>
  <c r="H17" i="42"/>
  <c r="P18" i="42"/>
  <c r="P179" i="42"/>
  <c r="P171" i="42"/>
  <c r="P207" i="42"/>
  <c r="P204" i="42"/>
  <c r="H179" i="42"/>
  <c r="P20" i="42"/>
  <c r="P181" i="42"/>
  <c r="P175" i="42"/>
  <c r="P172" i="42"/>
  <c r="I239" i="42"/>
  <c r="J239" i="42" s="1"/>
  <c r="P53" i="42"/>
  <c r="P109" i="42"/>
  <c r="P105" i="42"/>
  <c r="P243" i="42"/>
  <c r="P235" i="42"/>
  <c r="P239" i="42"/>
  <c r="P236" i="42"/>
  <c r="P16" i="42"/>
  <c r="P10" i="42"/>
  <c r="Q10" i="42" s="1"/>
  <c r="P138" i="42"/>
  <c r="P183" i="42"/>
  <c r="P208" i="42"/>
  <c r="P214" i="42"/>
  <c r="I240" i="42"/>
  <c r="J240" i="42" s="1"/>
  <c r="L109" i="42"/>
  <c r="E123" i="42"/>
  <c r="B125" i="42" s="1"/>
  <c r="I110" i="42" s="1"/>
  <c r="J110" i="42" s="1"/>
  <c r="L173" i="42"/>
  <c r="L13" i="42"/>
  <c r="E27" i="42"/>
  <c r="B29" i="42" s="1"/>
  <c r="P48" i="42"/>
  <c r="H49" i="42"/>
  <c r="P73" i="42"/>
  <c r="P74" i="42"/>
  <c r="L108" i="42"/>
  <c r="P178" i="42"/>
  <c r="P203" i="42"/>
  <c r="P213" i="42"/>
  <c r="L237" i="42"/>
  <c r="L76" i="42"/>
  <c r="L206" i="42"/>
  <c r="P21" i="42"/>
  <c r="L45" i="42"/>
  <c r="L142" i="42"/>
  <c r="L175" i="42"/>
  <c r="E189" i="42"/>
  <c r="B191" i="42" s="1"/>
  <c r="P210" i="42"/>
  <c r="P52" i="42"/>
  <c r="L77" i="42"/>
  <c r="E137" i="42"/>
  <c r="B155" i="42"/>
  <c r="B156" i="42" s="1"/>
  <c r="P182" i="42"/>
  <c r="L207" i="42"/>
  <c r="L239" i="42"/>
  <c r="K286" i="36" l="1"/>
  <c r="J297" i="36"/>
  <c r="P250" i="36"/>
  <c r="J299" i="36"/>
  <c r="P299" i="36" s="1"/>
  <c r="P252" i="36"/>
  <c r="K288" i="36"/>
  <c r="P241" i="36"/>
  <c r="J288" i="36"/>
  <c r="P288" i="36" s="1"/>
  <c r="J291" i="36"/>
  <c r="P292" i="36" s="1"/>
  <c r="P248" i="36"/>
  <c r="P246" i="36"/>
  <c r="J296" i="36"/>
  <c r="P296" i="36" s="1"/>
  <c r="P249" i="36"/>
  <c r="K285" i="36"/>
  <c r="P287" i="36"/>
  <c r="P289" i="36"/>
  <c r="P245" i="36"/>
  <c r="P306" i="33"/>
  <c r="I245" i="36"/>
  <c r="I247" i="36"/>
  <c r="I239" i="36"/>
  <c r="J236" i="36"/>
  <c r="E316" i="33"/>
  <c r="F316" i="33" s="1"/>
  <c r="E308" i="33"/>
  <c r="F308" i="33" s="1"/>
  <c r="E300" i="33"/>
  <c r="F300" i="33" s="1"/>
  <c r="P304" i="33" s="1"/>
  <c r="E313" i="33"/>
  <c r="F313" i="33" s="1"/>
  <c r="I249" i="36"/>
  <c r="P295" i="36"/>
  <c r="P310" i="33"/>
  <c r="P293" i="36"/>
  <c r="Q298" i="36"/>
  <c r="P237" i="36"/>
  <c r="P242" i="36"/>
  <c r="E314" i="33"/>
  <c r="F314" i="33" s="1"/>
  <c r="E315" i="33"/>
  <c r="F315" i="33" s="1"/>
  <c r="E307" i="33"/>
  <c r="F307" i="33" s="1"/>
  <c r="P311" i="33" s="1"/>
  <c r="E299" i="33"/>
  <c r="B317" i="33"/>
  <c r="B318" i="33" s="1"/>
  <c r="F317" i="33"/>
  <c r="I252" i="36"/>
  <c r="K246" i="36"/>
  <c r="K293" i="36" s="1"/>
  <c r="I244" i="36"/>
  <c r="O248" i="36" s="1"/>
  <c r="I236" i="36"/>
  <c r="E301" i="33"/>
  <c r="F301" i="33" s="1"/>
  <c r="P305" i="33" s="1"/>
  <c r="I237" i="36"/>
  <c r="P238" i="36"/>
  <c r="P308" i="33"/>
  <c r="E305" i="33"/>
  <c r="F305" i="33" s="1"/>
  <c r="I241" i="36"/>
  <c r="D317" i="33"/>
  <c r="D318" i="33" s="1"/>
  <c r="K235" i="36"/>
  <c r="I208" i="42"/>
  <c r="J208" i="42" s="1"/>
  <c r="I297" i="36"/>
  <c r="O250" i="36"/>
  <c r="J286" i="36"/>
  <c r="P286" i="36" s="1"/>
  <c r="P239" i="36"/>
  <c r="Q249" i="36"/>
  <c r="Q250" i="36"/>
  <c r="Q247" i="36"/>
  <c r="K295" i="36"/>
  <c r="Q295" i="36" s="1"/>
  <c r="Q248" i="36"/>
  <c r="J290" i="36"/>
  <c r="P290" i="36" s="1"/>
  <c r="P243" i="36"/>
  <c r="I285" i="36"/>
  <c r="O285" i="36" s="1"/>
  <c r="O238" i="36"/>
  <c r="Q296" i="36"/>
  <c r="Q297" i="36"/>
  <c r="Q294" i="36"/>
  <c r="Q172" i="42"/>
  <c r="Q252" i="36"/>
  <c r="K299" i="36"/>
  <c r="Q299" i="36" s="1"/>
  <c r="J294" i="36"/>
  <c r="P294" i="36" s="1"/>
  <c r="P247" i="36"/>
  <c r="I289" i="36"/>
  <c r="O289" i="36" s="1"/>
  <c r="O242" i="36"/>
  <c r="K283" i="36"/>
  <c r="Q236" i="36"/>
  <c r="Q245" i="36"/>
  <c r="Q246" i="36"/>
  <c r="J298" i="36"/>
  <c r="P298" i="36" s="1"/>
  <c r="P251" i="36"/>
  <c r="I293" i="36"/>
  <c r="O246" i="36"/>
  <c r="K287" i="36"/>
  <c r="Q240" i="36"/>
  <c r="Q292" i="36"/>
  <c r="Q293" i="36"/>
  <c r="H115" i="45"/>
  <c r="P108" i="45"/>
  <c r="P118" i="45"/>
  <c r="P119" i="45"/>
  <c r="H116" i="45"/>
  <c r="H114" i="45"/>
  <c r="P107" i="45"/>
  <c r="P247" i="45"/>
  <c r="P237" i="45"/>
  <c r="P236" i="45"/>
  <c r="H245" i="45"/>
  <c r="H244" i="45"/>
  <c r="H243" i="45"/>
  <c r="P248" i="45"/>
  <c r="B257" i="42"/>
  <c r="I238" i="42" s="1"/>
  <c r="Q247" i="42"/>
  <c r="Q243" i="42"/>
  <c r="B256" i="42"/>
  <c r="Q115" i="42"/>
  <c r="Q109" i="42"/>
  <c r="D224" i="42"/>
  <c r="I205" i="42" s="1"/>
  <c r="J205" i="42" s="1"/>
  <c r="Q210" i="42"/>
  <c r="I207" i="42"/>
  <c r="J207" i="42" s="1"/>
  <c r="B224" i="42"/>
  <c r="Q84" i="42"/>
  <c r="Q182" i="42"/>
  <c r="Q85" i="42"/>
  <c r="Q79" i="42"/>
  <c r="Q82" i="42"/>
  <c r="Q77" i="42"/>
  <c r="Q81" i="42"/>
  <c r="Q78" i="42"/>
  <c r="Q83" i="42"/>
  <c r="Q80" i="42"/>
  <c r="I46" i="42"/>
  <c r="J46" i="42" s="1"/>
  <c r="Q52" i="42"/>
  <c r="Q105" i="42"/>
  <c r="B95" i="42"/>
  <c r="I76" i="42" s="1"/>
  <c r="Q235" i="42"/>
  <c r="I45" i="42"/>
  <c r="J45" i="42" s="1"/>
  <c r="Q41" i="42"/>
  <c r="Q74" i="42"/>
  <c r="B63" i="42"/>
  <c r="I44" i="42" s="1"/>
  <c r="J44" i="42" s="1"/>
  <c r="Q47" i="42"/>
  <c r="Q117" i="42"/>
  <c r="Q244" i="42"/>
  <c r="D62" i="42"/>
  <c r="I43" i="42" s="1"/>
  <c r="J43" i="42" s="1"/>
  <c r="H113" i="42"/>
  <c r="Q236" i="42"/>
  <c r="B94" i="42"/>
  <c r="D95" i="42" s="1"/>
  <c r="I80" i="42" s="1"/>
  <c r="J80" i="42" s="1"/>
  <c r="Q176" i="42"/>
  <c r="H145" i="42"/>
  <c r="I77" i="42"/>
  <c r="J77" i="42" s="1"/>
  <c r="I78" i="42"/>
  <c r="J78" i="42" s="1"/>
  <c r="Q21" i="42"/>
  <c r="B193" i="42"/>
  <c r="I174" i="42" s="1"/>
  <c r="B192" i="42"/>
  <c r="I175" i="42"/>
  <c r="J175" i="42" s="1"/>
  <c r="D192" i="42"/>
  <c r="I173" i="42" s="1"/>
  <c r="J173" i="42" s="1"/>
  <c r="Q73" i="42"/>
  <c r="J206" i="42"/>
  <c r="Q207" i="42"/>
  <c r="Q209" i="42"/>
  <c r="Q178" i="42"/>
  <c r="Q246" i="42"/>
  <c r="Q180" i="42"/>
  <c r="Q241" i="42"/>
  <c r="Q245" i="42"/>
  <c r="Q106" i="42"/>
  <c r="Q18" i="42"/>
  <c r="Q116" i="42"/>
  <c r="Q177" i="42"/>
  <c r="Q113" i="42"/>
  <c r="Q51" i="42"/>
  <c r="Q9" i="42"/>
  <c r="F137" i="42"/>
  <c r="E155" i="42"/>
  <c r="B157" i="42" s="1"/>
  <c r="I142" i="42" s="1"/>
  <c r="J142" i="42" s="1"/>
  <c r="Q203" i="42"/>
  <c r="D30" i="42"/>
  <c r="I11" i="42" s="1"/>
  <c r="J11" i="42" s="1"/>
  <c r="B30" i="42"/>
  <c r="B31" i="42"/>
  <c r="I12" i="42" s="1"/>
  <c r="I13" i="42"/>
  <c r="J13" i="42" s="1"/>
  <c r="I49" i="42"/>
  <c r="Q183" i="42"/>
  <c r="Q19" i="42"/>
  <c r="Q175" i="42"/>
  <c r="Q20" i="42"/>
  <c r="Q204" i="42"/>
  <c r="Q179" i="42"/>
  <c r="Q45" i="42"/>
  <c r="Q49" i="42"/>
  <c r="Q212" i="42"/>
  <c r="Q46" i="42"/>
  <c r="Q50" i="42"/>
  <c r="Q215" i="42"/>
  <c r="Q15" i="42"/>
  <c r="Q14" i="42"/>
  <c r="I109" i="42"/>
  <c r="J109" i="42" s="1"/>
  <c r="B127" i="42"/>
  <c r="I108" i="42" s="1"/>
  <c r="B126" i="42"/>
  <c r="D126" i="42"/>
  <c r="I107" i="42" s="1"/>
  <c r="J107" i="42" s="1"/>
  <c r="Q213" i="42"/>
  <c r="Q48" i="42"/>
  <c r="Q208" i="42"/>
  <c r="Q16" i="42"/>
  <c r="Q17" i="42"/>
  <c r="Q110" i="42"/>
  <c r="Q171" i="42"/>
  <c r="Q42" i="42"/>
  <c r="Q111" i="42"/>
  <c r="I241" i="42"/>
  <c r="J241" i="42" s="1"/>
  <c r="J238" i="42"/>
  <c r="Q214" i="42"/>
  <c r="Q211" i="42"/>
  <c r="Q242" i="42"/>
  <c r="Q239" i="42"/>
  <c r="Q53" i="42"/>
  <c r="Q181" i="42"/>
  <c r="Q240" i="42"/>
  <c r="Q112" i="42"/>
  <c r="Q114" i="42"/>
  <c r="I176" i="42"/>
  <c r="J176" i="42" s="1"/>
  <c r="I14" i="42"/>
  <c r="J14" i="42" s="1"/>
  <c r="Q13" i="42"/>
  <c r="K282" i="36" l="1"/>
  <c r="Q243" i="36"/>
  <c r="Q237" i="36"/>
  <c r="I299" i="36"/>
  <c r="O252" i="36"/>
  <c r="P300" i="33"/>
  <c r="I294" i="36"/>
  <c r="O247" i="36"/>
  <c r="Q238" i="36"/>
  <c r="Q283" i="36"/>
  <c r="I283" i="36"/>
  <c r="O283" i="36" s="1"/>
  <c r="O236" i="36"/>
  <c r="O249" i="36"/>
  <c r="I296" i="36"/>
  <c r="O245" i="36"/>
  <c r="I292" i="36"/>
  <c r="Q242" i="36"/>
  <c r="Q285" i="36"/>
  <c r="Q286" i="36"/>
  <c r="Q287" i="36"/>
  <c r="I288" i="36"/>
  <c r="O288" i="36" s="1"/>
  <c r="O241" i="36"/>
  <c r="I291" i="36"/>
  <c r="O251" i="36"/>
  <c r="J283" i="36"/>
  <c r="P283" i="36" s="1"/>
  <c r="P236" i="36"/>
  <c r="Q241" i="36"/>
  <c r="Q239" i="36"/>
  <c r="O297" i="36"/>
  <c r="P309" i="33"/>
  <c r="I284" i="36"/>
  <c r="O284" i="36" s="1"/>
  <c r="O237" i="36"/>
  <c r="F299" i="33"/>
  <c r="E317" i="33"/>
  <c r="B319" i="33" s="1"/>
  <c r="I304" i="33"/>
  <c r="J304" i="33" s="1"/>
  <c r="I286" i="36"/>
  <c r="O286" i="36" s="1"/>
  <c r="O239" i="36"/>
  <c r="Q288" i="36"/>
  <c r="P297" i="36"/>
  <c r="D257" i="42"/>
  <c r="I242" i="42" s="1"/>
  <c r="J242" i="42" s="1"/>
  <c r="H244" i="42" s="1"/>
  <c r="I243" i="42"/>
  <c r="D225" i="42"/>
  <c r="I210" i="42" s="1"/>
  <c r="J210" i="42" s="1"/>
  <c r="P205" i="42" s="1"/>
  <c r="I211" i="42"/>
  <c r="I209" i="42"/>
  <c r="J209" i="42" s="1"/>
  <c r="I81" i="42"/>
  <c r="I79" i="42"/>
  <c r="J79" i="42" s="1"/>
  <c r="J76" i="42"/>
  <c r="I47" i="42"/>
  <c r="J47" i="42" s="1"/>
  <c r="D63" i="42"/>
  <c r="I48" i="42" s="1"/>
  <c r="J48" i="42" s="1"/>
  <c r="P54" i="42" s="1"/>
  <c r="P217" i="42"/>
  <c r="H246" i="42"/>
  <c r="J12" i="42"/>
  <c r="I15" i="42"/>
  <c r="J15" i="42" s="1"/>
  <c r="I177" i="42"/>
  <c r="J177" i="42" s="1"/>
  <c r="J174" i="42"/>
  <c r="P141" i="42"/>
  <c r="P137" i="42"/>
  <c r="D193" i="42"/>
  <c r="I178" i="42" s="1"/>
  <c r="J178" i="42" s="1"/>
  <c r="I179" i="42"/>
  <c r="P86" i="42"/>
  <c r="H82" i="42"/>
  <c r="P75" i="42"/>
  <c r="P87" i="42"/>
  <c r="H83" i="42"/>
  <c r="P76" i="42"/>
  <c r="H84" i="42"/>
  <c r="I111" i="42"/>
  <c r="J111" i="42" s="1"/>
  <c r="J108" i="42"/>
  <c r="B159" i="42"/>
  <c r="I140" i="42" s="1"/>
  <c r="B158" i="42"/>
  <c r="I141" i="42"/>
  <c r="J141" i="42" s="1"/>
  <c r="D158" i="42"/>
  <c r="I139" i="42" s="1"/>
  <c r="J139" i="42" s="1"/>
  <c r="D127" i="42"/>
  <c r="I112" i="42" s="1"/>
  <c r="J112" i="42" s="1"/>
  <c r="I113" i="42"/>
  <c r="I17" i="42"/>
  <c r="D31" i="42"/>
  <c r="I16" i="42" s="1"/>
  <c r="J16" i="42" s="1"/>
  <c r="K173" i="42" s="1"/>
  <c r="M173" i="42" s="1"/>
  <c r="Q289" i="36" l="1"/>
  <c r="Q284" i="36"/>
  <c r="Q290" i="36"/>
  <c r="O295" i="36"/>
  <c r="O298" i="36"/>
  <c r="O292" i="36"/>
  <c r="I303" i="33"/>
  <c r="J303" i="33" s="1"/>
  <c r="B320" i="33"/>
  <c r="D320" i="33"/>
  <c r="I301" i="33" s="1"/>
  <c r="J301" i="33" s="1"/>
  <c r="B321" i="33"/>
  <c r="I302" i="33" s="1"/>
  <c r="O293" i="36"/>
  <c r="P299" i="33"/>
  <c r="Q299" i="33" s="1"/>
  <c r="P303" i="33"/>
  <c r="Q309" i="33" s="1"/>
  <c r="O296" i="36"/>
  <c r="O294" i="36"/>
  <c r="O299" i="36"/>
  <c r="P237" i="42"/>
  <c r="P248" i="42"/>
  <c r="H245" i="42"/>
  <c r="P238" i="42"/>
  <c r="P249" i="42"/>
  <c r="H213" i="42"/>
  <c r="P206" i="42"/>
  <c r="P216" i="42"/>
  <c r="H214" i="42"/>
  <c r="H212" i="42"/>
  <c r="P44" i="42"/>
  <c r="H50" i="42"/>
  <c r="P43" i="42"/>
  <c r="H52" i="42"/>
  <c r="P55" i="42"/>
  <c r="H51" i="42"/>
  <c r="K238" i="42"/>
  <c r="M238" i="42" s="1"/>
  <c r="K47" i="42"/>
  <c r="M47" i="42" s="1"/>
  <c r="K175" i="42"/>
  <c r="M175" i="42" s="1"/>
  <c r="K142" i="42"/>
  <c r="M142" i="42" s="1"/>
  <c r="K14" i="42"/>
  <c r="M14" i="42" s="1"/>
  <c r="K111" i="42"/>
  <c r="M111" i="42" s="1"/>
  <c r="K108" i="42"/>
  <c r="M108" i="42" s="1"/>
  <c r="H115" i="42"/>
  <c r="P108" i="42"/>
  <c r="P119" i="42"/>
  <c r="H116" i="42"/>
  <c r="P118" i="42"/>
  <c r="H114" i="42"/>
  <c r="P107" i="42"/>
  <c r="Q141" i="42"/>
  <c r="Q149" i="42"/>
  <c r="Q145" i="42"/>
  <c r="Q143" i="42"/>
  <c r="Q144" i="42"/>
  <c r="Q146" i="42"/>
  <c r="Q142" i="42"/>
  <c r="Q147" i="42"/>
  <c r="Q148" i="42"/>
  <c r="K76" i="42"/>
  <c r="M76" i="42" s="1"/>
  <c r="K141" i="42"/>
  <c r="M141" i="42" s="1"/>
  <c r="K13" i="42"/>
  <c r="M13" i="42" s="1"/>
  <c r="K176" i="42"/>
  <c r="M176" i="42" s="1"/>
  <c r="K174" i="42"/>
  <c r="M174" i="42" s="1"/>
  <c r="K15" i="42"/>
  <c r="M15" i="42" s="1"/>
  <c r="H20" i="42"/>
  <c r="P23" i="42"/>
  <c r="P22" i="42"/>
  <c r="H19" i="42"/>
  <c r="H18" i="42"/>
  <c r="P11" i="42"/>
  <c r="P12" i="42"/>
  <c r="K239" i="42"/>
  <c r="M239" i="42" s="1"/>
  <c r="K237" i="42"/>
  <c r="M237" i="42" s="1"/>
  <c r="K110" i="42"/>
  <c r="M110" i="42" s="1"/>
  <c r="K43" i="42"/>
  <c r="M43" i="42" s="1"/>
  <c r="K75" i="42"/>
  <c r="M75" i="42" s="1"/>
  <c r="K45" i="42"/>
  <c r="M45" i="42" s="1"/>
  <c r="K208" i="42"/>
  <c r="M208" i="42" s="1"/>
  <c r="K77" i="42"/>
  <c r="M77" i="42" s="1"/>
  <c r="K78" i="42"/>
  <c r="M78" i="42" s="1"/>
  <c r="K205" i="42"/>
  <c r="M205" i="42" s="1"/>
  <c r="K207" i="42"/>
  <c r="M207" i="42" s="1"/>
  <c r="K46" i="42"/>
  <c r="M46" i="42" s="1"/>
  <c r="K240" i="42"/>
  <c r="M240" i="42" s="1"/>
  <c r="Q137" i="42"/>
  <c r="Q138" i="42"/>
  <c r="K11" i="42"/>
  <c r="M11" i="42" s="1"/>
  <c r="K139" i="42"/>
  <c r="M139" i="42" s="1"/>
  <c r="K241" i="42"/>
  <c r="M241" i="42" s="1"/>
  <c r="K209" i="42"/>
  <c r="M209" i="42" s="1"/>
  <c r="I143" i="42"/>
  <c r="J143" i="42" s="1"/>
  <c r="K143" i="42" s="1"/>
  <c r="M143" i="42" s="1"/>
  <c r="J140" i="42"/>
  <c r="K140" i="42" s="1"/>
  <c r="M140" i="42" s="1"/>
  <c r="P185" i="42"/>
  <c r="P184" i="42"/>
  <c r="H180" i="42"/>
  <c r="P173" i="42"/>
  <c r="H181" i="42"/>
  <c r="P174" i="42"/>
  <c r="H182" i="42"/>
  <c r="K206" i="42"/>
  <c r="M206" i="42" s="1"/>
  <c r="K79" i="42"/>
  <c r="M79" i="42" s="1"/>
  <c r="K44" i="42"/>
  <c r="M44" i="42" s="1"/>
  <c r="D159" i="42"/>
  <c r="I144" i="42" s="1"/>
  <c r="J144" i="42" s="1"/>
  <c r="I145" i="42"/>
  <c r="K109" i="42"/>
  <c r="M109" i="42" s="1"/>
  <c r="K107" i="42"/>
  <c r="M107" i="42" s="1"/>
  <c r="K177" i="42"/>
  <c r="M177" i="42" s="1"/>
  <c r="K12" i="42"/>
  <c r="M12" i="42" s="1"/>
  <c r="I307" i="33" l="1"/>
  <c r="D321" i="33"/>
  <c r="I306" i="33" s="1"/>
  <c r="J306" i="33" s="1"/>
  <c r="Q300" i="33"/>
  <c r="Q303" i="33"/>
  <c r="Q307" i="33"/>
  <c r="Q310" i="33"/>
  <c r="Q308" i="33"/>
  <c r="Q311" i="33"/>
  <c r="Q305" i="33"/>
  <c r="Q306" i="33"/>
  <c r="Q304" i="33"/>
  <c r="J302" i="33"/>
  <c r="I305" i="33"/>
  <c r="J305" i="33" s="1"/>
  <c r="P151" i="42"/>
  <c r="H147" i="42"/>
  <c r="H146" i="42"/>
  <c r="P150" i="42"/>
  <c r="P140" i="42"/>
  <c r="P139" i="42"/>
  <c r="H148" i="42"/>
  <c r="P301" i="33" l="1"/>
  <c r="P302" i="33"/>
  <c r="P312" i="33"/>
  <c r="H308" i="33"/>
  <c r="H309" i="33"/>
  <c r="H310" i="33"/>
  <c r="P313" i="33"/>
  <c r="F27" i="33"/>
  <c r="D27" i="33"/>
  <c r="D28" i="33" s="1"/>
  <c r="C27" i="33"/>
  <c r="C28" i="33" s="1"/>
  <c r="B27" i="33"/>
  <c r="B28" i="33" s="1"/>
  <c r="E26" i="33"/>
  <c r="F26" i="33" s="1"/>
  <c r="E25" i="33"/>
  <c r="F25" i="33" s="1"/>
  <c r="E24" i="33"/>
  <c r="F24" i="33" s="1"/>
  <c r="E23" i="33"/>
  <c r="F23" i="33" s="1"/>
  <c r="E22" i="33"/>
  <c r="F22" i="33" s="1"/>
  <c r="E21" i="33"/>
  <c r="F21" i="33" s="1"/>
  <c r="E20" i="33"/>
  <c r="F20" i="33" s="1"/>
  <c r="E19" i="33"/>
  <c r="F19" i="33" s="1"/>
  <c r="E18" i="33"/>
  <c r="F18" i="33" s="1"/>
  <c r="L17" i="33"/>
  <c r="E17" i="33"/>
  <c r="F17" i="33" s="1"/>
  <c r="H16" i="33"/>
  <c r="E16" i="33"/>
  <c r="F16" i="33" s="1"/>
  <c r="E15" i="33"/>
  <c r="F15" i="33" s="1"/>
  <c r="H14" i="33"/>
  <c r="E14" i="33"/>
  <c r="F14" i="33" s="1"/>
  <c r="H13" i="33"/>
  <c r="H15" i="33" s="1"/>
  <c r="E13" i="33"/>
  <c r="F13" i="33" s="1"/>
  <c r="H12" i="33"/>
  <c r="E12" i="33"/>
  <c r="H11" i="33"/>
  <c r="L11" i="33" s="1"/>
  <c r="E11" i="33"/>
  <c r="F11" i="33" s="1"/>
  <c r="E10" i="33"/>
  <c r="F10" i="33" s="1"/>
  <c r="P14" i="33" s="1"/>
  <c r="E9" i="33"/>
  <c r="F9" i="33" s="1"/>
  <c r="E73" i="33"/>
  <c r="C59" i="34"/>
  <c r="L12" i="33" l="1"/>
  <c r="L301" i="33"/>
  <c r="L302" i="33"/>
  <c r="L303" i="33"/>
  <c r="L305" i="33"/>
  <c r="L304" i="33"/>
  <c r="L15" i="33"/>
  <c r="L14" i="33"/>
  <c r="P17" i="33"/>
  <c r="P18" i="33"/>
  <c r="P10" i="33"/>
  <c r="P21" i="33"/>
  <c r="F12" i="33"/>
  <c r="P9" i="33" s="1"/>
  <c r="P13" i="33"/>
  <c r="P15" i="33"/>
  <c r="P19" i="33"/>
  <c r="H17" i="33"/>
  <c r="L13" i="33"/>
  <c r="E27" i="33"/>
  <c r="B29" i="33" s="1"/>
  <c r="D30" i="33" s="1"/>
  <c r="I11" i="33" s="1"/>
  <c r="J11" i="33" s="1"/>
  <c r="P20" i="33"/>
  <c r="Q9" i="33" l="1"/>
  <c r="B30" i="33"/>
  <c r="I14" i="33"/>
  <c r="J14" i="33" s="1"/>
  <c r="B31" i="33"/>
  <c r="I12" i="33" s="1"/>
  <c r="P16" i="33"/>
  <c r="Q16" i="33" s="1"/>
  <c r="I13" i="33"/>
  <c r="J13" i="33" s="1"/>
  <c r="Q10" i="33"/>
  <c r="F317" i="35"/>
  <c r="D317" i="35"/>
  <c r="D318" i="35" s="1"/>
  <c r="C317" i="35"/>
  <c r="B317" i="35"/>
  <c r="B318" i="35" s="1"/>
  <c r="E316" i="35"/>
  <c r="F316" i="35" s="1"/>
  <c r="E315" i="35"/>
  <c r="F315" i="35" s="1"/>
  <c r="E314" i="35"/>
  <c r="F314" i="35" s="1"/>
  <c r="E313" i="35"/>
  <c r="F313" i="35" s="1"/>
  <c r="E312" i="35"/>
  <c r="F312" i="35" s="1"/>
  <c r="E311" i="35"/>
  <c r="F311" i="35" s="1"/>
  <c r="E310" i="35"/>
  <c r="F310" i="35" s="1"/>
  <c r="E309" i="35"/>
  <c r="F309" i="35" s="1"/>
  <c r="E308" i="35"/>
  <c r="F308" i="35" s="1"/>
  <c r="L307" i="35"/>
  <c r="E307" i="35"/>
  <c r="F307" i="35" s="1"/>
  <c r="H306" i="35"/>
  <c r="E306" i="35"/>
  <c r="F306" i="35" s="1"/>
  <c r="P310" i="35" s="1"/>
  <c r="E305" i="35"/>
  <c r="F305" i="35" s="1"/>
  <c r="P309" i="35" s="1"/>
  <c r="H304" i="35"/>
  <c r="E304" i="35"/>
  <c r="F304" i="35" s="1"/>
  <c r="H303" i="35"/>
  <c r="F303" i="35"/>
  <c r="E303" i="35"/>
  <c r="H302" i="35"/>
  <c r="E302" i="35"/>
  <c r="F302" i="35" s="1"/>
  <c r="H301" i="35"/>
  <c r="E301" i="35"/>
  <c r="F301" i="35" s="1"/>
  <c r="E300" i="35"/>
  <c r="F300" i="35" s="1"/>
  <c r="P304" i="35" s="1"/>
  <c r="E299" i="35"/>
  <c r="F285" i="35"/>
  <c r="D285" i="35"/>
  <c r="D286" i="35" s="1"/>
  <c r="C285" i="35"/>
  <c r="C286" i="35" s="1"/>
  <c r="B285" i="35"/>
  <c r="B286" i="35" s="1"/>
  <c r="E284" i="35"/>
  <c r="F284" i="35" s="1"/>
  <c r="E283" i="35"/>
  <c r="F283" i="35" s="1"/>
  <c r="E282" i="35"/>
  <c r="F282" i="35" s="1"/>
  <c r="E281" i="35"/>
  <c r="F281" i="35" s="1"/>
  <c r="E280" i="35"/>
  <c r="F280" i="35" s="1"/>
  <c r="E279" i="35"/>
  <c r="F279" i="35" s="1"/>
  <c r="E278" i="35"/>
  <c r="F278" i="35" s="1"/>
  <c r="E277" i="35"/>
  <c r="F277" i="35" s="1"/>
  <c r="E276" i="35"/>
  <c r="F276" i="35" s="1"/>
  <c r="L275" i="35"/>
  <c r="E275" i="35"/>
  <c r="F275" i="35" s="1"/>
  <c r="H274" i="35"/>
  <c r="E274" i="35"/>
  <c r="F274" i="35" s="1"/>
  <c r="P278" i="35" s="1"/>
  <c r="E273" i="35"/>
  <c r="F273" i="35" s="1"/>
  <c r="H272" i="35"/>
  <c r="E272" i="35"/>
  <c r="F272" i="35" s="1"/>
  <c r="H271" i="35"/>
  <c r="H273" i="35" s="1"/>
  <c r="E271" i="35"/>
  <c r="F271" i="35" s="1"/>
  <c r="P275" i="35" s="1"/>
  <c r="H270" i="35"/>
  <c r="E270" i="35"/>
  <c r="H269" i="35"/>
  <c r="F269" i="35"/>
  <c r="E269" i="35"/>
  <c r="E268" i="35"/>
  <c r="F268" i="35" s="1"/>
  <c r="E267" i="35"/>
  <c r="F267" i="35" s="1"/>
  <c r="F253" i="35"/>
  <c r="D253" i="35"/>
  <c r="C253" i="35"/>
  <c r="C254" i="35" s="1"/>
  <c r="B253" i="35"/>
  <c r="B254" i="35" s="1"/>
  <c r="E252" i="35"/>
  <c r="F252" i="35" s="1"/>
  <c r="E251" i="35"/>
  <c r="F251" i="35" s="1"/>
  <c r="E250" i="35"/>
  <c r="F250" i="35" s="1"/>
  <c r="E249" i="35"/>
  <c r="F249" i="35" s="1"/>
  <c r="E248" i="35"/>
  <c r="F248" i="35" s="1"/>
  <c r="E247" i="35"/>
  <c r="F247" i="35" s="1"/>
  <c r="E246" i="35"/>
  <c r="F246" i="35" s="1"/>
  <c r="E245" i="35"/>
  <c r="F245" i="35" s="1"/>
  <c r="E244" i="35"/>
  <c r="F244" i="35" s="1"/>
  <c r="L243" i="35"/>
  <c r="E243" i="35"/>
  <c r="F243" i="35" s="1"/>
  <c r="H242" i="35"/>
  <c r="E242" i="35"/>
  <c r="F242" i="35" s="1"/>
  <c r="E241" i="35"/>
  <c r="F241" i="35" s="1"/>
  <c r="H240" i="35"/>
  <c r="E240" i="35"/>
  <c r="F240" i="35" s="1"/>
  <c r="H239" i="35"/>
  <c r="E239" i="35"/>
  <c r="F239" i="35" s="1"/>
  <c r="P243" i="35" s="1"/>
  <c r="H238" i="35"/>
  <c r="E238" i="35"/>
  <c r="F238" i="35" s="1"/>
  <c r="P242" i="35" s="1"/>
  <c r="H237" i="35"/>
  <c r="E237" i="35"/>
  <c r="F237" i="35" s="1"/>
  <c r="E236" i="35"/>
  <c r="F236" i="35" s="1"/>
  <c r="E235" i="35"/>
  <c r="F235" i="35" s="1"/>
  <c r="P239" i="35" s="1"/>
  <c r="F221" i="35"/>
  <c r="D221" i="35"/>
  <c r="D222" i="35" s="1"/>
  <c r="C221" i="35"/>
  <c r="B221" i="35"/>
  <c r="B222" i="35" s="1"/>
  <c r="E220" i="35"/>
  <c r="F220" i="35" s="1"/>
  <c r="E219" i="35"/>
  <c r="F219" i="35" s="1"/>
  <c r="E218" i="35"/>
  <c r="F218" i="35" s="1"/>
  <c r="E217" i="35"/>
  <c r="F217" i="35" s="1"/>
  <c r="E216" i="35"/>
  <c r="F216" i="35" s="1"/>
  <c r="E215" i="35"/>
  <c r="F215" i="35" s="1"/>
  <c r="E214" i="35"/>
  <c r="F214" i="35" s="1"/>
  <c r="E213" i="35"/>
  <c r="F213" i="35" s="1"/>
  <c r="E212" i="35"/>
  <c r="F212" i="35" s="1"/>
  <c r="L211" i="35"/>
  <c r="E211" i="35"/>
  <c r="F211" i="35" s="1"/>
  <c r="H210" i="35"/>
  <c r="E210" i="35"/>
  <c r="F210" i="35" s="1"/>
  <c r="E209" i="35"/>
  <c r="F209" i="35" s="1"/>
  <c r="H208" i="35"/>
  <c r="E208" i="35"/>
  <c r="F208" i="35" s="1"/>
  <c r="H207" i="35"/>
  <c r="H209" i="35" s="1"/>
  <c r="E207" i="35"/>
  <c r="F207" i="35" s="1"/>
  <c r="H206" i="35"/>
  <c r="E206" i="35"/>
  <c r="F206" i="35" s="1"/>
  <c r="H205" i="35"/>
  <c r="E205" i="35"/>
  <c r="F205" i="35" s="1"/>
  <c r="E204" i="35"/>
  <c r="F204" i="35" s="1"/>
  <c r="E203" i="35"/>
  <c r="F203" i="35" s="1"/>
  <c r="F189" i="35"/>
  <c r="D189" i="35"/>
  <c r="D190" i="35" s="1"/>
  <c r="C189" i="35"/>
  <c r="B189" i="35"/>
  <c r="B190" i="35" s="1"/>
  <c r="E188" i="35"/>
  <c r="F188" i="35" s="1"/>
  <c r="E187" i="35"/>
  <c r="F187" i="35" s="1"/>
  <c r="E186" i="35"/>
  <c r="F186" i="35" s="1"/>
  <c r="E185" i="35"/>
  <c r="F185" i="35" s="1"/>
  <c r="E184" i="35"/>
  <c r="F184" i="35" s="1"/>
  <c r="E183" i="35"/>
  <c r="F183" i="35" s="1"/>
  <c r="E182" i="35"/>
  <c r="F182" i="35" s="1"/>
  <c r="E181" i="35"/>
  <c r="F181" i="35" s="1"/>
  <c r="E180" i="35"/>
  <c r="F180" i="35" s="1"/>
  <c r="L179" i="35"/>
  <c r="E179" i="35"/>
  <c r="F179" i="35" s="1"/>
  <c r="H178" i="35"/>
  <c r="E178" i="35"/>
  <c r="F178" i="35" s="1"/>
  <c r="E177" i="35"/>
  <c r="F177" i="35" s="1"/>
  <c r="H176" i="35"/>
  <c r="E176" i="35"/>
  <c r="F176" i="35" s="1"/>
  <c r="H175" i="35"/>
  <c r="H177" i="35" s="1"/>
  <c r="E175" i="35"/>
  <c r="F175" i="35" s="1"/>
  <c r="H174" i="35"/>
  <c r="E174" i="35"/>
  <c r="F174" i="35" s="1"/>
  <c r="H173" i="35"/>
  <c r="E173" i="35"/>
  <c r="F173" i="35" s="1"/>
  <c r="E172" i="35"/>
  <c r="F172" i="35" s="1"/>
  <c r="E171" i="35"/>
  <c r="F155" i="35"/>
  <c r="D155" i="35"/>
  <c r="D156" i="35" s="1"/>
  <c r="C155" i="35"/>
  <c r="C156" i="35" s="1"/>
  <c r="B155" i="35"/>
  <c r="E154" i="35"/>
  <c r="F154" i="35" s="1"/>
  <c r="E153" i="35"/>
  <c r="F153" i="35" s="1"/>
  <c r="E152" i="35"/>
  <c r="F152" i="35" s="1"/>
  <c r="E151" i="35"/>
  <c r="F151" i="35" s="1"/>
  <c r="E150" i="35"/>
  <c r="F150" i="35" s="1"/>
  <c r="E149" i="35"/>
  <c r="F149" i="35" s="1"/>
  <c r="E148" i="35"/>
  <c r="F148" i="35" s="1"/>
  <c r="E147" i="35"/>
  <c r="F147" i="35" s="1"/>
  <c r="E146" i="35"/>
  <c r="F146" i="35" s="1"/>
  <c r="L145" i="35"/>
  <c r="E145" i="35"/>
  <c r="F145" i="35" s="1"/>
  <c r="H144" i="35"/>
  <c r="E144" i="35"/>
  <c r="F144" i="35" s="1"/>
  <c r="E143" i="35"/>
  <c r="F143" i="35" s="1"/>
  <c r="H142" i="35"/>
  <c r="E142" i="35"/>
  <c r="F142" i="35" s="1"/>
  <c r="H141" i="35"/>
  <c r="H143" i="35" s="1"/>
  <c r="E141" i="35"/>
  <c r="F141" i="35" s="1"/>
  <c r="P145" i="35" s="1"/>
  <c r="H140" i="35"/>
  <c r="E140" i="35"/>
  <c r="F140" i="35" s="1"/>
  <c r="H139" i="35"/>
  <c r="E139" i="35"/>
  <c r="F139" i="35" s="1"/>
  <c r="P143" i="35" s="1"/>
  <c r="E138" i="35"/>
  <c r="F138" i="35" s="1"/>
  <c r="E137" i="35"/>
  <c r="F123" i="35"/>
  <c r="D123" i="35"/>
  <c r="D124" i="35" s="1"/>
  <c r="C123" i="35"/>
  <c r="C124" i="35" s="1"/>
  <c r="B123" i="35"/>
  <c r="B124" i="35" s="1"/>
  <c r="E122" i="35"/>
  <c r="F122" i="35" s="1"/>
  <c r="E121" i="35"/>
  <c r="F121" i="35" s="1"/>
  <c r="E120" i="35"/>
  <c r="F120" i="35" s="1"/>
  <c r="E119" i="35"/>
  <c r="F119" i="35" s="1"/>
  <c r="E118" i="35"/>
  <c r="F118" i="35" s="1"/>
  <c r="E117" i="35"/>
  <c r="F117" i="35" s="1"/>
  <c r="E116" i="35"/>
  <c r="F116" i="35" s="1"/>
  <c r="E115" i="35"/>
  <c r="F115" i="35" s="1"/>
  <c r="E114" i="35"/>
  <c r="F114" i="35" s="1"/>
  <c r="L113" i="35"/>
  <c r="E113" i="35"/>
  <c r="F113" i="35" s="1"/>
  <c r="H112" i="35"/>
  <c r="E112" i="35"/>
  <c r="F112" i="35" s="1"/>
  <c r="E111" i="35"/>
  <c r="F111" i="35" s="1"/>
  <c r="H110" i="35"/>
  <c r="E110" i="35"/>
  <c r="F110" i="35" s="1"/>
  <c r="H109" i="35"/>
  <c r="E109" i="35"/>
  <c r="F109" i="35" s="1"/>
  <c r="H108" i="35"/>
  <c r="E108" i="35"/>
  <c r="F108" i="35" s="1"/>
  <c r="H107" i="35"/>
  <c r="E107" i="35"/>
  <c r="F107" i="35" s="1"/>
  <c r="E106" i="35"/>
  <c r="F106" i="35" s="1"/>
  <c r="E105" i="35"/>
  <c r="F105" i="35" s="1"/>
  <c r="F91" i="35"/>
  <c r="D91" i="35"/>
  <c r="D92" i="35" s="1"/>
  <c r="C91" i="35"/>
  <c r="C92" i="35" s="1"/>
  <c r="B91" i="35"/>
  <c r="E90" i="35"/>
  <c r="F90" i="35" s="1"/>
  <c r="E89" i="35"/>
  <c r="F89" i="35" s="1"/>
  <c r="E88" i="35"/>
  <c r="F88" i="35" s="1"/>
  <c r="E87" i="35"/>
  <c r="F87" i="35" s="1"/>
  <c r="E86" i="35"/>
  <c r="F86" i="35" s="1"/>
  <c r="E85" i="35"/>
  <c r="F85" i="35" s="1"/>
  <c r="E84" i="35"/>
  <c r="F84" i="35" s="1"/>
  <c r="E83" i="35"/>
  <c r="F83" i="35" s="1"/>
  <c r="E82" i="35"/>
  <c r="F82" i="35" s="1"/>
  <c r="L81" i="35"/>
  <c r="E81" i="35"/>
  <c r="F81" i="35" s="1"/>
  <c r="H80" i="35"/>
  <c r="E80" i="35"/>
  <c r="F80" i="35" s="1"/>
  <c r="E79" i="35"/>
  <c r="F79" i="35" s="1"/>
  <c r="H78" i="35"/>
  <c r="E78" i="35"/>
  <c r="F78" i="35" s="1"/>
  <c r="P82" i="35" s="1"/>
  <c r="H77" i="35"/>
  <c r="E77" i="35"/>
  <c r="F77" i="35" s="1"/>
  <c r="H76" i="35"/>
  <c r="E76" i="35"/>
  <c r="F76" i="35" s="1"/>
  <c r="H75" i="35"/>
  <c r="E75" i="35"/>
  <c r="F75" i="35" s="1"/>
  <c r="E74" i="35"/>
  <c r="F74" i="35" s="1"/>
  <c r="E73" i="35"/>
  <c r="F59" i="35"/>
  <c r="D59" i="35"/>
  <c r="D60" i="35" s="1"/>
  <c r="C59" i="35"/>
  <c r="C60" i="35" s="1"/>
  <c r="B59" i="35"/>
  <c r="B60" i="35" s="1"/>
  <c r="E58" i="35"/>
  <c r="F58" i="35" s="1"/>
  <c r="E57" i="35"/>
  <c r="F57" i="35" s="1"/>
  <c r="E56" i="35"/>
  <c r="F56" i="35" s="1"/>
  <c r="E55" i="35"/>
  <c r="F55" i="35" s="1"/>
  <c r="E54" i="35"/>
  <c r="F54" i="35" s="1"/>
  <c r="E53" i="35"/>
  <c r="F53" i="35" s="1"/>
  <c r="E52" i="35"/>
  <c r="F52" i="35" s="1"/>
  <c r="E51" i="35"/>
  <c r="F51" i="35" s="1"/>
  <c r="E50" i="35"/>
  <c r="F50" i="35" s="1"/>
  <c r="L49" i="35"/>
  <c r="E49" i="35"/>
  <c r="F49" i="35" s="1"/>
  <c r="H48" i="35"/>
  <c r="E48" i="35"/>
  <c r="F48" i="35" s="1"/>
  <c r="E47" i="35"/>
  <c r="F47" i="35" s="1"/>
  <c r="H46" i="35"/>
  <c r="E46" i="35"/>
  <c r="F46" i="35" s="1"/>
  <c r="H45" i="35"/>
  <c r="E45" i="35"/>
  <c r="F45" i="35" s="1"/>
  <c r="H44" i="35"/>
  <c r="E44" i="35"/>
  <c r="F44" i="35" s="1"/>
  <c r="H43" i="35"/>
  <c r="E43" i="35"/>
  <c r="F43" i="35" s="1"/>
  <c r="E42" i="35"/>
  <c r="F42" i="35" s="1"/>
  <c r="E41" i="35"/>
  <c r="F27" i="35"/>
  <c r="D27" i="35"/>
  <c r="D28" i="35" s="1"/>
  <c r="C27" i="35"/>
  <c r="B27" i="35"/>
  <c r="B28" i="35" s="1"/>
  <c r="E26" i="35"/>
  <c r="F26" i="35" s="1"/>
  <c r="E25" i="35"/>
  <c r="F25" i="35" s="1"/>
  <c r="E24" i="35"/>
  <c r="F24" i="35" s="1"/>
  <c r="E23" i="35"/>
  <c r="F23" i="35" s="1"/>
  <c r="E22" i="35"/>
  <c r="F22" i="35" s="1"/>
  <c r="E21" i="35"/>
  <c r="F21" i="35" s="1"/>
  <c r="E20" i="35"/>
  <c r="F20" i="35" s="1"/>
  <c r="E19" i="35"/>
  <c r="F19" i="35" s="1"/>
  <c r="E18" i="35"/>
  <c r="F18" i="35" s="1"/>
  <c r="L17" i="35"/>
  <c r="E17" i="35"/>
  <c r="F17" i="35" s="1"/>
  <c r="H16" i="35"/>
  <c r="E16" i="35"/>
  <c r="F16" i="35" s="1"/>
  <c r="E15" i="35"/>
  <c r="F15" i="35" s="1"/>
  <c r="H14" i="35"/>
  <c r="E14" i="35"/>
  <c r="F14" i="35" s="1"/>
  <c r="H13" i="35"/>
  <c r="E13" i="35"/>
  <c r="F13" i="35" s="1"/>
  <c r="H12" i="35"/>
  <c r="E12" i="35"/>
  <c r="F12" i="35" s="1"/>
  <c r="H11" i="35"/>
  <c r="E11" i="35"/>
  <c r="F11" i="35" s="1"/>
  <c r="E10" i="35"/>
  <c r="F10" i="35" s="1"/>
  <c r="E9" i="35"/>
  <c r="F317" i="34"/>
  <c r="D317" i="34"/>
  <c r="D318" i="34" s="1"/>
  <c r="C317" i="34"/>
  <c r="C318" i="34" s="1"/>
  <c r="B317" i="34"/>
  <c r="B318" i="34" s="1"/>
  <c r="E316" i="34"/>
  <c r="F316" i="34" s="1"/>
  <c r="E315" i="34"/>
  <c r="F315" i="34" s="1"/>
  <c r="E314" i="34"/>
  <c r="F314" i="34" s="1"/>
  <c r="E313" i="34"/>
  <c r="F313" i="34" s="1"/>
  <c r="E312" i="34"/>
  <c r="F312" i="34" s="1"/>
  <c r="E311" i="34"/>
  <c r="F311" i="34" s="1"/>
  <c r="E310" i="34"/>
  <c r="F310" i="34" s="1"/>
  <c r="E309" i="34"/>
  <c r="F309" i="34" s="1"/>
  <c r="E308" i="34"/>
  <c r="F308" i="34" s="1"/>
  <c r="L307" i="34"/>
  <c r="E307" i="34"/>
  <c r="F307" i="34" s="1"/>
  <c r="H306" i="34"/>
  <c r="E306" i="34"/>
  <c r="F306" i="34" s="1"/>
  <c r="E305" i="34"/>
  <c r="F305" i="34" s="1"/>
  <c r="H304" i="34"/>
  <c r="E304" i="34"/>
  <c r="F304" i="34" s="1"/>
  <c r="H303" i="34"/>
  <c r="E303" i="34"/>
  <c r="F303" i="34" s="1"/>
  <c r="H302" i="34"/>
  <c r="E302" i="34"/>
  <c r="F302" i="34" s="1"/>
  <c r="P306" i="34" s="1"/>
  <c r="H301" i="34"/>
  <c r="E301" i="34"/>
  <c r="F301" i="34" s="1"/>
  <c r="E300" i="34"/>
  <c r="F300" i="34" s="1"/>
  <c r="E299" i="34"/>
  <c r="F285" i="34"/>
  <c r="D285" i="34"/>
  <c r="D286" i="34" s="1"/>
  <c r="C285" i="34"/>
  <c r="C286" i="34" s="1"/>
  <c r="B285" i="34"/>
  <c r="B286" i="34" s="1"/>
  <c r="E284" i="34"/>
  <c r="F284" i="34" s="1"/>
  <c r="E283" i="34"/>
  <c r="F283" i="34" s="1"/>
  <c r="E282" i="34"/>
  <c r="F282" i="34" s="1"/>
  <c r="E281" i="34"/>
  <c r="F281" i="34" s="1"/>
  <c r="E280" i="34"/>
  <c r="F280" i="34" s="1"/>
  <c r="E279" i="34"/>
  <c r="F279" i="34" s="1"/>
  <c r="E278" i="34"/>
  <c r="F278" i="34" s="1"/>
  <c r="E277" i="34"/>
  <c r="F277" i="34" s="1"/>
  <c r="E276" i="34"/>
  <c r="F276" i="34" s="1"/>
  <c r="L275" i="34"/>
  <c r="E275" i="34"/>
  <c r="F275" i="34" s="1"/>
  <c r="H274" i="34"/>
  <c r="E274" i="34"/>
  <c r="F274" i="34" s="1"/>
  <c r="E273" i="34"/>
  <c r="F273" i="34" s="1"/>
  <c r="P277" i="34" s="1"/>
  <c r="H272" i="34"/>
  <c r="E272" i="34"/>
  <c r="F272" i="34" s="1"/>
  <c r="H271" i="34"/>
  <c r="F271" i="34"/>
  <c r="E271" i="34"/>
  <c r="H270" i="34"/>
  <c r="E270" i="34"/>
  <c r="F270" i="34" s="1"/>
  <c r="H269" i="34"/>
  <c r="E269" i="34"/>
  <c r="F269" i="34" s="1"/>
  <c r="E268" i="34"/>
  <c r="F268" i="34" s="1"/>
  <c r="E267" i="34"/>
  <c r="F253" i="34"/>
  <c r="D253" i="34"/>
  <c r="D254" i="34" s="1"/>
  <c r="C253" i="34"/>
  <c r="C254" i="34" s="1"/>
  <c r="B253" i="34"/>
  <c r="B254" i="34" s="1"/>
  <c r="E252" i="34"/>
  <c r="F252" i="34" s="1"/>
  <c r="E251" i="34"/>
  <c r="F251" i="34" s="1"/>
  <c r="E250" i="34"/>
  <c r="F250" i="34" s="1"/>
  <c r="E249" i="34"/>
  <c r="F249" i="34" s="1"/>
  <c r="E248" i="34"/>
  <c r="F248" i="34" s="1"/>
  <c r="E247" i="34"/>
  <c r="F247" i="34" s="1"/>
  <c r="E246" i="34"/>
  <c r="F246" i="34" s="1"/>
  <c r="E245" i="34"/>
  <c r="F245" i="34" s="1"/>
  <c r="F244" i="34"/>
  <c r="E244" i="34"/>
  <c r="L243" i="34"/>
  <c r="E243" i="34"/>
  <c r="F243" i="34" s="1"/>
  <c r="H242" i="34"/>
  <c r="E242" i="34"/>
  <c r="F242" i="34" s="1"/>
  <c r="E241" i="34"/>
  <c r="F241" i="34" s="1"/>
  <c r="H240" i="34"/>
  <c r="E240" i="34"/>
  <c r="F240" i="34" s="1"/>
  <c r="H239" i="34"/>
  <c r="E239" i="34"/>
  <c r="F239" i="34" s="1"/>
  <c r="H238" i="34"/>
  <c r="E238" i="34"/>
  <c r="F238" i="34" s="1"/>
  <c r="P242" i="34" s="1"/>
  <c r="H237" i="34"/>
  <c r="E237" i="34"/>
  <c r="F237" i="34" s="1"/>
  <c r="E236" i="34"/>
  <c r="F236" i="34" s="1"/>
  <c r="E235" i="34"/>
  <c r="F235" i="34" s="1"/>
  <c r="F221" i="34"/>
  <c r="D221" i="34"/>
  <c r="D222" i="34" s="1"/>
  <c r="C221" i="34"/>
  <c r="C222" i="34" s="1"/>
  <c r="B221" i="34"/>
  <c r="B222" i="34" s="1"/>
  <c r="E220" i="34"/>
  <c r="F220" i="34" s="1"/>
  <c r="E219" i="34"/>
  <c r="F219" i="34" s="1"/>
  <c r="E218" i="34"/>
  <c r="F218" i="34" s="1"/>
  <c r="E217" i="34"/>
  <c r="F217" i="34" s="1"/>
  <c r="E216" i="34"/>
  <c r="F216" i="34" s="1"/>
  <c r="E215" i="34"/>
  <c r="F215" i="34" s="1"/>
  <c r="E214" i="34"/>
  <c r="F214" i="34" s="1"/>
  <c r="E213" i="34"/>
  <c r="F213" i="34" s="1"/>
  <c r="E212" i="34"/>
  <c r="F212" i="34" s="1"/>
  <c r="L211" i="34"/>
  <c r="E211" i="34"/>
  <c r="F211" i="34" s="1"/>
  <c r="H210" i="34"/>
  <c r="E210" i="34"/>
  <c r="F210" i="34" s="1"/>
  <c r="E209" i="34"/>
  <c r="F209" i="34" s="1"/>
  <c r="H208" i="34"/>
  <c r="E208" i="34"/>
  <c r="F208" i="34" s="1"/>
  <c r="H207" i="34"/>
  <c r="E207" i="34"/>
  <c r="F207" i="34" s="1"/>
  <c r="H206" i="34"/>
  <c r="E206" i="34"/>
  <c r="F206" i="34" s="1"/>
  <c r="H205" i="34"/>
  <c r="E205" i="34"/>
  <c r="F205" i="34" s="1"/>
  <c r="E204" i="34"/>
  <c r="F204" i="34" s="1"/>
  <c r="E203" i="34"/>
  <c r="F203" i="34" s="1"/>
  <c r="F189" i="34"/>
  <c r="D189" i="34"/>
  <c r="D190" i="34" s="1"/>
  <c r="C189" i="34"/>
  <c r="C190" i="34" s="1"/>
  <c r="B189" i="34"/>
  <c r="B190" i="34" s="1"/>
  <c r="E188" i="34"/>
  <c r="F188" i="34" s="1"/>
  <c r="E187" i="34"/>
  <c r="F187" i="34" s="1"/>
  <c r="E186" i="34"/>
  <c r="F186" i="34" s="1"/>
  <c r="E185" i="34"/>
  <c r="F185" i="34" s="1"/>
  <c r="E184" i="34"/>
  <c r="F184" i="34" s="1"/>
  <c r="E183" i="34"/>
  <c r="F183" i="34" s="1"/>
  <c r="E182" i="34"/>
  <c r="F182" i="34" s="1"/>
  <c r="E181" i="34"/>
  <c r="F181" i="34" s="1"/>
  <c r="E180" i="34"/>
  <c r="F180" i="34" s="1"/>
  <c r="L179" i="34"/>
  <c r="E179" i="34"/>
  <c r="F179" i="34" s="1"/>
  <c r="H178" i="34"/>
  <c r="E178" i="34"/>
  <c r="F178" i="34" s="1"/>
  <c r="E177" i="34"/>
  <c r="F177" i="34" s="1"/>
  <c r="H176" i="34"/>
  <c r="E176" i="34"/>
  <c r="F176" i="34" s="1"/>
  <c r="H175" i="34"/>
  <c r="H177" i="34" s="1"/>
  <c r="E175" i="34"/>
  <c r="F175" i="34" s="1"/>
  <c r="H174" i="34"/>
  <c r="E174" i="34"/>
  <c r="F174" i="34" s="1"/>
  <c r="H173" i="34"/>
  <c r="E173" i="34"/>
  <c r="F173" i="34" s="1"/>
  <c r="E172" i="34"/>
  <c r="F172" i="34" s="1"/>
  <c r="E171" i="34"/>
  <c r="F171" i="34" s="1"/>
  <c r="F155" i="34"/>
  <c r="D155" i="34"/>
  <c r="D156" i="34" s="1"/>
  <c r="C155" i="34"/>
  <c r="C156" i="34" s="1"/>
  <c r="B155" i="34"/>
  <c r="B156" i="34" s="1"/>
  <c r="E154" i="34"/>
  <c r="F154" i="34" s="1"/>
  <c r="E153" i="34"/>
  <c r="F153" i="34" s="1"/>
  <c r="E152" i="34"/>
  <c r="F152" i="34" s="1"/>
  <c r="E151" i="34"/>
  <c r="F151" i="34" s="1"/>
  <c r="E150" i="34"/>
  <c r="F150" i="34" s="1"/>
  <c r="E149" i="34"/>
  <c r="F149" i="34" s="1"/>
  <c r="E148" i="34"/>
  <c r="F148" i="34" s="1"/>
  <c r="E147" i="34"/>
  <c r="F147" i="34" s="1"/>
  <c r="E146" i="34"/>
  <c r="F146" i="34" s="1"/>
  <c r="L145" i="34"/>
  <c r="E145" i="34"/>
  <c r="F145" i="34" s="1"/>
  <c r="H144" i="34"/>
  <c r="E144" i="34"/>
  <c r="F144" i="34" s="1"/>
  <c r="E143" i="34"/>
  <c r="F143" i="34" s="1"/>
  <c r="H142" i="34"/>
  <c r="E142" i="34"/>
  <c r="F142" i="34" s="1"/>
  <c r="H141" i="34"/>
  <c r="E141" i="34"/>
  <c r="F141" i="34" s="1"/>
  <c r="H140" i="34"/>
  <c r="E140" i="34"/>
  <c r="F140" i="34" s="1"/>
  <c r="H139" i="34"/>
  <c r="E139" i="34"/>
  <c r="F139" i="34" s="1"/>
  <c r="P143" i="34" s="1"/>
  <c r="E138" i="34"/>
  <c r="F138" i="34" s="1"/>
  <c r="E137" i="34"/>
  <c r="F123" i="34"/>
  <c r="D123" i="34"/>
  <c r="D124" i="34" s="1"/>
  <c r="C123" i="34"/>
  <c r="C124" i="34" s="1"/>
  <c r="B123" i="34"/>
  <c r="B124" i="34" s="1"/>
  <c r="E122" i="34"/>
  <c r="F122" i="34" s="1"/>
  <c r="E121" i="34"/>
  <c r="F121" i="34" s="1"/>
  <c r="E120" i="34"/>
  <c r="F120" i="34" s="1"/>
  <c r="E119" i="34"/>
  <c r="F119" i="34" s="1"/>
  <c r="E118" i="34"/>
  <c r="F118" i="34" s="1"/>
  <c r="E117" i="34"/>
  <c r="F117" i="34" s="1"/>
  <c r="E116" i="34"/>
  <c r="F116" i="34" s="1"/>
  <c r="E115" i="34"/>
  <c r="F115" i="34" s="1"/>
  <c r="E114" i="34"/>
  <c r="F114" i="34" s="1"/>
  <c r="L113" i="34"/>
  <c r="E113" i="34"/>
  <c r="F113" i="34" s="1"/>
  <c r="H112" i="34"/>
  <c r="E112" i="34"/>
  <c r="F112" i="34" s="1"/>
  <c r="E111" i="34"/>
  <c r="F111" i="34" s="1"/>
  <c r="H110" i="34"/>
  <c r="E110" i="34"/>
  <c r="F110" i="34" s="1"/>
  <c r="H109" i="34"/>
  <c r="E109" i="34"/>
  <c r="F109" i="34" s="1"/>
  <c r="H108" i="34"/>
  <c r="E108" i="34"/>
  <c r="F108" i="34" s="1"/>
  <c r="H107" i="34"/>
  <c r="E107" i="34"/>
  <c r="F107" i="34" s="1"/>
  <c r="E106" i="34"/>
  <c r="F106" i="34" s="1"/>
  <c r="E105" i="34"/>
  <c r="F105" i="34" s="1"/>
  <c r="F91" i="34"/>
  <c r="D91" i="34"/>
  <c r="D92" i="34" s="1"/>
  <c r="C91" i="34"/>
  <c r="C92" i="34" s="1"/>
  <c r="B91" i="34"/>
  <c r="B92" i="34" s="1"/>
  <c r="E90" i="34"/>
  <c r="F90" i="34" s="1"/>
  <c r="E89" i="34"/>
  <c r="F89" i="34" s="1"/>
  <c r="E88" i="34"/>
  <c r="F88" i="34" s="1"/>
  <c r="E87" i="34"/>
  <c r="F87" i="34" s="1"/>
  <c r="E86" i="34"/>
  <c r="F86" i="34" s="1"/>
  <c r="E85" i="34"/>
  <c r="F85" i="34" s="1"/>
  <c r="E84" i="34"/>
  <c r="F84" i="34" s="1"/>
  <c r="E83" i="34"/>
  <c r="F83" i="34" s="1"/>
  <c r="E82" i="34"/>
  <c r="F82" i="34" s="1"/>
  <c r="L81" i="34"/>
  <c r="E81" i="34"/>
  <c r="F81" i="34" s="1"/>
  <c r="H80" i="34"/>
  <c r="E80" i="34"/>
  <c r="F80" i="34" s="1"/>
  <c r="E79" i="34"/>
  <c r="F79" i="34" s="1"/>
  <c r="H78" i="34"/>
  <c r="E78" i="34"/>
  <c r="F78" i="34" s="1"/>
  <c r="P82" i="34" s="1"/>
  <c r="H77" i="34"/>
  <c r="E77" i="34"/>
  <c r="F77" i="34" s="1"/>
  <c r="H76" i="34"/>
  <c r="E76" i="34"/>
  <c r="F76" i="34" s="1"/>
  <c r="H75" i="34"/>
  <c r="E75" i="34"/>
  <c r="F75" i="34" s="1"/>
  <c r="E74" i="34"/>
  <c r="F74" i="34" s="1"/>
  <c r="E73" i="34"/>
  <c r="F73" i="34" s="1"/>
  <c r="F59" i="34"/>
  <c r="D59" i="34"/>
  <c r="D60" i="34" s="1"/>
  <c r="C60" i="34"/>
  <c r="B59" i="34"/>
  <c r="B60" i="34" s="1"/>
  <c r="E58" i="34"/>
  <c r="F58" i="34" s="1"/>
  <c r="E57" i="34"/>
  <c r="F57" i="34" s="1"/>
  <c r="E56" i="34"/>
  <c r="F56" i="34" s="1"/>
  <c r="E55" i="34"/>
  <c r="F55" i="34" s="1"/>
  <c r="E54" i="34"/>
  <c r="F54" i="34" s="1"/>
  <c r="E53" i="34"/>
  <c r="F53" i="34" s="1"/>
  <c r="E52" i="34"/>
  <c r="F52" i="34" s="1"/>
  <c r="E51" i="34"/>
  <c r="F51" i="34" s="1"/>
  <c r="E50" i="34"/>
  <c r="F50" i="34" s="1"/>
  <c r="L49" i="34"/>
  <c r="E49" i="34"/>
  <c r="F49" i="34" s="1"/>
  <c r="H48" i="34"/>
  <c r="E48" i="34"/>
  <c r="F48" i="34" s="1"/>
  <c r="E47" i="34"/>
  <c r="F47" i="34" s="1"/>
  <c r="H46" i="34"/>
  <c r="E46" i="34"/>
  <c r="F46" i="34" s="1"/>
  <c r="H45" i="34"/>
  <c r="E45" i="34"/>
  <c r="F45" i="34" s="1"/>
  <c r="H44" i="34"/>
  <c r="E44" i="34"/>
  <c r="F44" i="34" s="1"/>
  <c r="H43" i="34"/>
  <c r="E43" i="34"/>
  <c r="F43" i="34" s="1"/>
  <c r="E42" i="34"/>
  <c r="F42" i="34" s="1"/>
  <c r="E41" i="34"/>
  <c r="F27" i="34"/>
  <c r="D27" i="34"/>
  <c r="D28" i="34" s="1"/>
  <c r="C27" i="34"/>
  <c r="C28" i="34" s="1"/>
  <c r="B27" i="34"/>
  <c r="B28" i="34" s="1"/>
  <c r="E26" i="34"/>
  <c r="F26" i="34" s="1"/>
  <c r="E25" i="34"/>
  <c r="F25" i="34" s="1"/>
  <c r="E24" i="34"/>
  <c r="F24" i="34" s="1"/>
  <c r="E23" i="34"/>
  <c r="F23" i="34" s="1"/>
  <c r="E22" i="34"/>
  <c r="F22" i="34" s="1"/>
  <c r="E21" i="34"/>
  <c r="F21" i="34" s="1"/>
  <c r="E20" i="34"/>
  <c r="F20" i="34" s="1"/>
  <c r="E19" i="34"/>
  <c r="F19" i="34" s="1"/>
  <c r="E18" i="34"/>
  <c r="F18" i="34" s="1"/>
  <c r="L17" i="34"/>
  <c r="E17" i="34"/>
  <c r="F17" i="34" s="1"/>
  <c r="H16" i="34"/>
  <c r="E16" i="34"/>
  <c r="F16" i="34" s="1"/>
  <c r="E15" i="34"/>
  <c r="F15" i="34" s="1"/>
  <c r="H14" i="34"/>
  <c r="E14" i="34"/>
  <c r="F14" i="34" s="1"/>
  <c r="H13" i="34"/>
  <c r="H15" i="34" s="1"/>
  <c r="E13" i="34"/>
  <c r="F13" i="34" s="1"/>
  <c r="H12" i="34"/>
  <c r="E12" i="34"/>
  <c r="F12" i="34" s="1"/>
  <c r="H11" i="34"/>
  <c r="E11" i="34"/>
  <c r="F11" i="34" s="1"/>
  <c r="E10" i="34"/>
  <c r="F10" i="34" s="1"/>
  <c r="E9" i="34"/>
  <c r="L275" i="33"/>
  <c r="H274" i="33"/>
  <c r="H272" i="33"/>
  <c r="H271" i="33"/>
  <c r="H270" i="33"/>
  <c r="H269" i="33"/>
  <c r="E249" i="33"/>
  <c r="F249" i="33" s="1"/>
  <c r="E246" i="33"/>
  <c r="F246" i="33" s="1"/>
  <c r="E244" i="33"/>
  <c r="F244" i="33" s="1"/>
  <c r="L243" i="33"/>
  <c r="H242" i="33"/>
  <c r="H240" i="33"/>
  <c r="H239" i="33"/>
  <c r="H238" i="33"/>
  <c r="H237" i="33"/>
  <c r="F221" i="33"/>
  <c r="D221" i="33"/>
  <c r="D222" i="33" s="1"/>
  <c r="C221" i="33"/>
  <c r="C222" i="33" s="1"/>
  <c r="B221" i="33"/>
  <c r="B222" i="33" s="1"/>
  <c r="E220" i="33"/>
  <c r="F220" i="33" s="1"/>
  <c r="E219" i="33"/>
  <c r="F219" i="33" s="1"/>
  <c r="E218" i="33"/>
  <c r="F218" i="33" s="1"/>
  <c r="E217" i="33"/>
  <c r="F217" i="33" s="1"/>
  <c r="E216" i="33"/>
  <c r="F216" i="33" s="1"/>
  <c r="E215" i="33"/>
  <c r="F215" i="33" s="1"/>
  <c r="E214" i="33"/>
  <c r="F214" i="33" s="1"/>
  <c r="E213" i="33"/>
  <c r="F213" i="33" s="1"/>
  <c r="E212" i="33"/>
  <c r="F212" i="33" s="1"/>
  <c r="L211" i="33"/>
  <c r="E211" i="33"/>
  <c r="F211" i="33" s="1"/>
  <c r="H210" i="33"/>
  <c r="E210" i="33"/>
  <c r="F210" i="33" s="1"/>
  <c r="E209" i="33"/>
  <c r="F209" i="33" s="1"/>
  <c r="H208" i="33"/>
  <c r="E208" i="33"/>
  <c r="F208" i="33" s="1"/>
  <c r="H207" i="33"/>
  <c r="E207" i="33"/>
  <c r="F207" i="33" s="1"/>
  <c r="H206" i="33"/>
  <c r="E206" i="33"/>
  <c r="F206" i="33" s="1"/>
  <c r="H205" i="33"/>
  <c r="E205" i="33"/>
  <c r="F205" i="33" s="1"/>
  <c r="E204" i="33"/>
  <c r="F204" i="33" s="1"/>
  <c r="E203" i="33"/>
  <c r="F189" i="33"/>
  <c r="D189" i="33"/>
  <c r="D190" i="33" s="1"/>
  <c r="C189" i="33"/>
  <c r="C190" i="33" s="1"/>
  <c r="B189" i="33"/>
  <c r="B190" i="33" s="1"/>
  <c r="E188" i="33"/>
  <c r="F188" i="33" s="1"/>
  <c r="E187" i="33"/>
  <c r="F187" i="33" s="1"/>
  <c r="E186" i="33"/>
  <c r="F186" i="33" s="1"/>
  <c r="E185" i="33"/>
  <c r="F185" i="33" s="1"/>
  <c r="E184" i="33"/>
  <c r="F184" i="33" s="1"/>
  <c r="E183" i="33"/>
  <c r="F183" i="33" s="1"/>
  <c r="E182" i="33"/>
  <c r="F182" i="33" s="1"/>
  <c r="E181" i="33"/>
  <c r="F181" i="33" s="1"/>
  <c r="E180" i="33"/>
  <c r="F180" i="33" s="1"/>
  <c r="L179" i="33"/>
  <c r="E179" i="33"/>
  <c r="F179" i="33" s="1"/>
  <c r="H178" i="33"/>
  <c r="E178" i="33"/>
  <c r="F178" i="33" s="1"/>
  <c r="E177" i="33"/>
  <c r="F177" i="33" s="1"/>
  <c r="H176" i="33"/>
  <c r="E176" i="33"/>
  <c r="F176" i="33" s="1"/>
  <c r="P180" i="33" s="1"/>
  <c r="H175" i="33"/>
  <c r="E175" i="33"/>
  <c r="F175" i="33" s="1"/>
  <c r="H174" i="33"/>
  <c r="E174" i="33"/>
  <c r="H173" i="33"/>
  <c r="E173" i="33"/>
  <c r="F173" i="33" s="1"/>
  <c r="E172" i="33"/>
  <c r="F172" i="33" s="1"/>
  <c r="E171" i="33"/>
  <c r="F171" i="33" s="1"/>
  <c r="L145" i="33"/>
  <c r="H144" i="33"/>
  <c r="H142" i="33"/>
  <c r="H141" i="33"/>
  <c r="H140" i="33"/>
  <c r="H139" i="33"/>
  <c r="L113" i="33"/>
  <c r="H112" i="33"/>
  <c r="H110" i="33"/>
  <c r="H109" i="33"/>
  <c r="H108" i="33"/>
  <c r="H107" i="33"/>
  <c r="E152" i="33"/>
  <c r="F152" i="33" s="1"/>
  <c r="L81" i="33"/>
  <c r="H80" i="33"/>
  <c r="H78" i="33"/>
  <c r="H77" i="33"/>
  <c r="H79" i="33" s="1"/>
  <c r="H76" i="33"/>
  <c r="H75" i="33"/>
  <c r="F59" i="33"/>
  <c r="D59" i="33"/>
  <c r="D60" i="33" s="1"/>
  <c r="C59" i="33"/>
  <c r="C60" i="33" s="1"/>
  <c r="B59" i="33"/>
  <c r="B60" i="33" s="1"/>
  <c r="E58" i="33"/>
  <c r="F58" i="33" s="1"/>
  <c r="E57" i="33"/>
  <c r="F57" i="33" s="1"/>
  <c r="E56" i="33"/>
  <c r="F56" i="33" s="1"/>
  <c r="E55" i="33"/>
  <c r="F55" i="33" s="1"/>
  <c r="E54" i="33"/>
  <c r="F54" i="33" s="1"/>
  <c r="E53" i="33"/>
  <c r="F53" i="33" s="1"/>
  <c r="E52" i="33"/>
  <c r="F52" i="33" s="1"/>
  <c r="E51" i="33"/>
  <c r="F51" i="33" s="1"/>
  <c r="E50" i="33"/>
  <c r="F50" i="33" s="1"/>
  <c r="L49" i="33"/>
  <c r="E49" i="33"/>
  <c r="F49" i="33" s="1"/>
  <c r="H48" i="33"/>
  <c r="E48" i="33"/>
  <c r="F48" i="33" s="1"/>
  <c r="E47" i="33"/>
  <c r="F47" i="33" s="1"/>
  <c r="H46" i="33"/>
  <c r="E46" i="33"/>
  <c r="F46" i="33" s="1"/>
  <c r="H45" i="33"/>
  <c r="E45" i="33"/>
  <c r="H44" i="33"/>
  <c r="E44" i="33"/>
  <c r="F44" i="33" s="1"/>
  <c r="H43" i="33"/>
  <c r="E43" i="33"/>
  <c r="F43" i="33" s="1"/>
  <c r="E42" i="33"/>
  <c r="E41" i="33"/>
  <c r="F41" i="33" s="1"/>
  <c r="L14" i="34" l="1"/>
  <c r="P278" i="34"/>
  <c r="H305" i="34"/>
  <c r="L11" i="35"/>
  <c r="H15" i="35"/>
  <c r="L15" i="35" s="1"/>
  <c r="H47" i="35"/>
  <c r="L47" i="35" s="1"/>
  <c r="L75" i="35"/>
  <c r="L140" i="35"/>
  <c r="L174" i="35"/>
  <c r="L176" i="35"/>
  <c r="P240" i="35"/>
  <c r="H305" i="35"/>
  <c r="L11" i="34"/>
  <c r="L15" i="34"/>
  <c r="L45" i="34"/>
  <c r="L12" i="35"/>
  <c r="L14" i="35"/>
  <c r="L76" i="35"/>
  <c r="P148" i="35"/>
  <c r="L177" i="35"/>
  <c r="L209" i="35"/>
  <c r="L110" i="35"/>
  <c r="P244" i="35"/>
  <c r="P149" i="35"/>
  <c r="P111" i="35"/>
  <c r="Q21" i="33"/>
  <c r="P307" i="35"/>
  <c r="P311" i="35"/>
  <c r="P308" i="35"/>
  <c r="P306" i="35"/>
  <c r="P147" i="35"/>
  <c r="P142" i="35"/>
  <c r="P146" i="35"/>
  <c r="P241" i="35"/>
  <c r="P236" i="35"/>
  <c r="P79" i="35"/>
  <c r="P110" i="35"/>
  <c r="P114" i="35"/>
  <c r="P116" i="35"/>
  <c r="P83" i="35"/>
  <c r="P78" i="35"/>
  <c r="P213" i="35"/>
  <c r="P207" i="35"/>
  <c r="P183" i="35"/>
  <c r="P20" i="35"/>
  <c r="P307" i="34"/>
  <c r="P149" i="34"/>
  <c r="P213" i="34"/>
  <c r="H143" i="34"/>
  <c r="P240" i="34"/>
  <c r="P275" i="34"/>
  <c r="P112" i="34"/>
  <c r="H145" i="34"/>
  <c r="P147" i="34"/>
  <c r="P239" i="34"/>
  <c r="H241" i="34"/>
  <c r="L241" i="34" s="1"/>
  <c r="L270" i="34"/>
  <c r="P272" i="34"/>
  <c r="P142" i="34"/>
  <c r="P146" i="34"/>
  <c r="L269" i="34"/>
  <c r="L305" i="34"/>
  <c r="H79" i="34"/>
  <c r="L75" i="34"/>
  <c r="L110" i="34"/>
  <c r="P117" i="34"/>
  <c r="P208" i="34"/>
  <c r="P273" i="34"/>
  <c r="L272" i="34"/>
  <c r="L301" i="34"/>
  <c r="L304" i="34"/>
  <c r="P85" i="34"/>
  <c r="P276" i="34"/>
  <c r="P51" i="34"/>
  <c r="L76" i="34"/>
  <c r="H111" i="34"/>
  <c r="L111" i="34" s="1"/>
  <c r="P116" i="34"/>
  <c r="L173" i="34"/>
  <c r="H209" i="34"/>
  <c r="L209" i="34" s="1"/>
  <c r="P243" i="34"/>
  <c r="E285" i="34"/>
  <c r="B287" i="34" s="1"/>
  <c r="P274" i="34"/>
  <c r="P308" i="34"/>
  <c r="P179" i="33"/>
  <c r="P176" i="33"/>
  <c r="Q17" i="33"/>
  <c r="D31" i="33"/>
  <c r="I16" i="33" s="1"/>
  <c r="J16" i="33" s="1"/>
  <c r="I17" i="33"/>
  <c r="Q19" i="33"/>
  <c r="Q20" i="33"/>
  <c r="Q15" i="33"/>
  <c r="Q14" i="33"/>
  <c r="Q18" i="33"/>
  <c r="I15" i="33"/>
  <c r="J15" i="33" s="1"/>
  <c r="J12" i="33"/>
  <c r="Q13" i="33"/>
  <c r="H177" i="33"/>
  <c r="H209" i="33"/>
  <c r="L209" i="33" s="1"/>
  <c r="P208" i="35"/>
  <c r="P178" i="35"/>
  <c r="P52" i="35"/>
  <c r="P207" i="34"/>
  <c r="P53" i="34"/>
  <c r="P42" i="34"/>
  <c r="P20" i="34"/>
  <c r="H241" i="33"/>
  <c r="H243" i="33" s="1"/>
  <c r="L206" i="33"/>
  <c r="L208" i="33"/>
  <c r="L79" i="33"/>
  <c r="L173" i="33"/>
  <c r="L174" i="33"/>
  <c r="L270" i="33"/>
  <c r="L272" i="33"/>
  <c r="F42" i="33"/>
  <c r="P46" i="33" s="1"/>
  <c r="P214" i="34"/>
  <c r="P49" i="35"/>
  <c r="P214" i="35"/>
  <c r="P277" i="35"/>
  <c r="P49" i="34"/>
  <c r="P83" i="34"/>
  <c r="P85" i="35"/>
  <c r="H17" i="34"/>
  <c r="P144" i="34"/>
  <c r="P145" i="34"/>
  <c r="P138" i="34"/>
  <c r="P244" i="34"/>
  <c r="P279" i="34"/>
  <c r="P304" i="34"/>
  <c r="P21" i="35"/>
  <c r="P112" i="35"/>
  <c r="L237" i="35"/>
  <c r="L238" i="35"/>
  <c r="L240" i="35"/>
  <c r="P246" i="35"/>
  <c r="P272" i="35"/>
  <c r="P273" i="35"/>
  <c r="P276" i="35"/>
  <c r="P305" i="35"/>
  <c r="L302" i="35"/>
  <c r="P78" i="34"/>
  <c r="P81" i="34"/>
  <c r="P178" i="34"/>
  <c r="P172" i="34"/>
  <c r="P204" i="34"/>
  <c r="P241" i="34"/>
  <c r="P236" i="34"/>
  <c r="P309" i="34"/>
  <c r="H111" i="33"/>
  <c r="L176" i="33"/>
  <c r="H211" i="33"/>
  <c r="L238" i="33"/>
  <c r="L240" i="33"/>
  <c r="H273" i="33"/>
  <c r="L273" i="33" s="1"/>
  <c r="L12" i="34"/>
  <c r="L43" i="34"/>
  <c r="L44" i="34"/>
  <c r="L46" i="34"/>
  <c r="P79" i="34"/>
  <c r="L79" i="34"/>
  <c r="L78" i="34"/>
  <c r="P74" i="34"/>
  <c r="P110" i="34"/>
  <c r="L107" i="34"/>
  <c r="P113" i="34"/>
  <c r="P115" i="34"/>
  <c r="L140" i="34"/>
  <c r="L143" i="34"/>
  <c r="L142" i="34"/>
  <c r="P148" i="34"/>
  <c r="L177" i="34"/>
  <c r="L176" i="34"/>
  <c r="L205" i="34"/>
  <c r="L206" i="34"/>
  <c r="L208" i="34"/>
  <c r="E253" i="34"/>
  <c r="B255" i="34" s="1"/>
  <c r="B256" i="34" s="1"/>
  <c r="L237" i="34"/>
  <c r="L238" i="34"/>
  <c r="L240" i="34"/>
  <c r="P246" i="34"/>
  <c r="F267" i="34"/>
  <c r="H273" i="34"/>
  <c r="L273" i="34" s="1"/>
  <c r="E317" i="34"/>
  <c r="B319" i="34" s="1"/>
  <c r="B321" i="34" s="1"/>
  <c r="I302" i="34" s="1"/>
  <c r="P305" i="34"/>
  <c r="L302" i="34"/>
  <c r="P310" i="34"/>
  <c r="P311" i="34"/>
  <c r="L43" i="35"/>
  <c r="L44" i="35"/>
  <c r="L45" i="35"/>
  <c r="L46" i="35"/>
  <c r="P80" i="35"/>
  <c r="L78" i="35"/>
  <c r="P81" i="35"/>
  <c r="L108" i="35"/>
  <c r="H111" i="35"/>
  <c r="L111" i="35" s="1"/>
  <c r="P115" i="35"/>
  <c r="P144" i="35"/>
  <c r="L143" i="35"/>
  <c r="L142" i="35"/>
  <c r="H179" i="35"/>
  <c r="L205" i="35"/>
  <c r="L206" i="35"/>
  <c r="L208" i="35"/>
  <c r="H241" i="35"/>
  <c r="L241" i="35" s="1"/>
  <c r="L269" i="35"/>
  <c r="L270" i="35"/>
  <c r="L272" i="35"/>
  <c r="P279" i="35"/>
  <c r="L301" i="35"/>
  <c r="L305" i="35"/>
  <c r="L304" i="35"/>
  <c r="P300" i="35"/>
  <c r="P16" i="34"/>
  <c r="P109" i="35"/>
  <c r="P106" i="35"/>
  <c r="P210" i="35"/>
  <c r="L273" i="35"/>
  <c r="H275" i="35"/>
  <c r="P204" i="35"/>
  <c r="P17" i="35"/>
  <c r="P18" i="35"/>
  <c r="P47" i="35"/>
  <c r="P48" i="35"/>
  <c r="P50" i="35"/>
  <c r="P177" i="35"/>
  <c r="P15" i="35"/>
  <c r="P176" i="35"/>
  <c r="P180" i="35"/>
  <c r="P42" i="35"/>
  <c r="P172" i="35"/>
  <c r="P268" i="35"/>
  <c r="P14" i="35"/>
  <c r="P105" i="35"/>
  <c r="Q105" i="35" s="1"/>
  <c r="P113" i="35"/>
  <c r="E59" i="35"/>
  <c r="B61" i="35" s="1"/>
  <c r="B62" i="35" s="1"/>
  <c r="F41" i="35"/>
  <c r="P182" i="35"/>
  <c r="P46" i="35"/>
  <c r="P53" i="35"/>
  <c r="P10" i="35"/>
  <c r="P84" i="35"/>
  <c r="P74" i="35"/>
  <c r="P117" i="35"/>
  <c r="H145" i="35"/>
  <c r="P138" i="35"/>
  <c r="P212" i="35"/>
  <c r="P245" i="35"/>
  <c r="Q240" i="35" s="1"/>
  <c r="P247" i="35"/>
  <c r="P271" i="35"/>
  <c r="P19" i="35"/>
  <c r="E91" i="35"/>
  <c r="B93" i="35" s="1"/>
  <c r="B94" i="35" s="1"/>
  <c r="F73" i="35"/>
  <c r="P179" i="35"/>
  <c r="P181" i="35"/>
  <c r="P215" i="35"/>
  <c r="F9" i="35"/>
  <c r="P16" i="35"/>
  <c r="H17" i="35"/>
  <c r="P51" i="35"/>
  <c r="B92" i="35"/>
  <c r="L109" i="35"/>
  <c r="E123" i="35"/>
  <c r="B125" i="35" s="1"/>
  <c r="B126" i="35" s="1"/>
  <c r="L139" i="35"/>
  <c r="B156" i="35"/>
  <c r="L175" i="35"/>
  <c r="E189" i="35"/>
  <c r="B191" i="35" s="1"/>
  <c r="B192" i="35" s="1"/>
  <c r="C190" i="35"/>
  <c r="H211" i="35"/>
  <c r="E221" i="35"/>
  <c r="B223" i="35" s="1"/>
  <c r="D224" i="35" s="1"/>
  <c r="I205" i="35" s="1"/>
  <c r="J205" i="35" s="1"/>
  <c r="C222" i="35"/>
  <c r="F299" i="35"/>
  <c r="H307" i="35"/>
  <c r="L77" i="35"/>
  <c r="H79" i="35"/>
  <c r="L79" i="35" s="1"/>
  <c r="L141" i="35"/>
  <c r="L13" i="35"/>
  <c r="E27" i="35"/>
  <c r="B29" i="35" s="1"/>
  <c r="B30" i="35" s="1"/>
  <c r="C28" i="35"/>
  <c r="H49" i="35"/>
  <c r="F137" i="35"/>
  <c r="L207" i="35"/>
  <c r="P211" i="35"/>
  <c r="L239" i="35"/>
  <c r="E253" i="35"/>
  <c r="B255" i="35" s="1"/>
  <c r="B257" i="35" s="1"/>
  <c r="I238" i="35" s="1"/>
  <c r="D254" i="35"/>
  <c r="F270" i="35"/>
  <c r="P274" i="35" s="1"/>
  <c r="L303" i="35"/>
  <c r="E317" i="35"/>
  <c r="B319" i="35" s="1"/>
  <c r="C318" i="35"/>
  <c r="L107" i="35"/>
  <c r="E155" i="35"/>
  <c r="B157" i="35" s="1"/>
  <c r="B158" i="35" s="1"/>
  <c r="L173" i="35"/>
  <c r="F171" i="35"/>
  <c r="P203" i="35"/>
  <c r="P209" i="35"/>
  <c r="P235" i="35"/>
  <c r="L271" i="35"/>
  <c r="E285" i="35"/>
  <c r="B287" i="35" s="1"/>
  <c r="B288" i="35" s="1"/>
  <c r="P175" i="34"/>
  <c r="P171" i="34"/>
  <c r="Q171" i="34" s="1"/>
  <c r="P182" i="34"/>
  <c r="H275" i="34"/>
  <c r="P300" i="34"/>
  <c r="P14" i="34"/>
  <c r="P19" i="34"/>
  <c r="P46" i="34"/>
  <c r="P179" i="34"/>
  <c r="P181" i="34"/>
  <c r="P21" i="34"/>
  <c r="P84" i="34"/>
  <c r="P111" i="34"/>
  <c r="H113" i="34"/>
  <c r="P183" i="34"/>
  <c r="P212" i="34"/>
  <c r="P268" i="34"/>
  <c r="P47" i="34"/>
  <c r="P48" i="34"/>
  <c r="P50" i="34"/>
  <c r="P17" i="34"/>
  <c r="P18" i="34"/>
  <c r="E59" i="34"/>
  <c r="B61" i="34" s="1"/>
  <c r="I46" i="34" s="1"/>
  <c r="J46" i="34" s="1"/>
  <c r="F41" i="34"/>
  <c r="H47" i="34"/>
  <c r="L47" i="34" s="1"/>
  <c r="P77" i="34"/>
  <c r="P73" i="34"/>
  <c r="P177" i="34"/>
  <c r="P215" i="34"/>
  <c r="D256" i="34"/>
  <c r="I237" i="34" s="1"/>
  <c r="J237" i="34" s="1"/>
  <c r="P10" i="34"/>
  <c r="P80" i="34"/>
  <c r="P114" i="34"/>
  <c r="H179" i="34"/>
  <c r="P245" i="34"/>
  <c r="P247" i="34"/>
  <c r="P271" i="34"/>
  <c r="P15" i="34"/>
  <c r="P52" i="34"/>
  <c r="P109" i="34"/>
  <c r="P105" i="34"/>
  <c r="P176" i="34"/>
  <c r="Q176" i="34" s="1"/>
  <c r="P180" i="34"/>
  <c r="P210" i="34"/>
  <c r="B289" i="34"/>
  <c r="I270" i="34" s="1"/>
  <c r="I271" i="34"/>
  <c r="J271" i="34" s="1"/>
  <c r="B288" i="34"/>
  <c r="D288" i="34"/>
  <c r="I269" i="34" s="1"/>
  <c r="J269" i="34" s="1"/>
  <c r="P106" i="34"/>
  <c r="Q106" i="34" s="1"/>
  <c r="F9" i="34"/>
  <c r="L109" i="34"/>
  <c r="E123" i="34"/>
  <c r="B125" i="34" s="1"/>
  <c r="I110" i="34" s="1"/>
  <c r="J110" i="34" s="1"/>
  <c r="L139" i="34"/>
  <c r="L175" i="34"/>
  <c r="E189" i="34"/>
  <c r="B191" i="34" s="1"/>
  <c r="H211" i="34"/>
  <c r="E221" i="34"/>
  <c r="B223" i="34" s="1"/>
  <c r="H243" i="34"/>
  <c r="I272" i="34"/>
  <c r="J272" i="34" s="1"/>
  <c r="F299" i="34"/>
  <c r="H307" i="34"/>
  <c r="E91" i="34"/>
  <c r="B93" i="34" s="1"/>
  <c r="L13" i="34"/>
  <c r="E27" i="34"/>
  <c r="B29" i="34" s="1"/>
  <c r="B30" i="34" s="1"/>
  <c r="H81" i="34"/>
  <c r="L108" i="34"/>
  <c r="F137" i="34"/>
  <c r="L174" i="34"/>
  <c r="I176" i="34"/>
  <c r="J176" i="34" s="1"/>
  <c r="L207" i="34"/>
  <c r="P211" i="34"/>
  <c r="L239" i="34"/>
  <c r="P267" i="34"/>
  <c r="L303" i="34"/>
  <c r="L77" i="34"/>
  <c r="L141" i="34"/>
  <c r="E155" i="34"/>
  <c r="B157" i="34" s="1"/>
  <c r="P203" i="34"/>
  <c r="P209" i="34"/>
  <c r="P235" i="34"/>
  <c r="L271" i="34"/>
  <c r="C253" i="33"/>
  <c r="C254" i="33" s="1"/>
  <c r="D253" i="33"/>
  <c r="D254" i="33" s="1"/>
  <c r="E236" i="33"/>
  <c r="F236" i="33" s="1"/>
  <c r="E240" i="33"/>
  <c r="F240" i="33" s="1"/>
  <c r="P244" i="33" s="1"/>
  <c r="E243" i="33"/>
  <c r="F243" i="33" s="1"/>
  <c r="E247" i="33"/>
  <c r="F247" i="33" s="1"/>
  <c r="E251" i="33"/>
  <c r="F251" i="33" s="1"/>
  <c r="E242" i="33"/>
  <c r="F242" i="33" s="1"/>
  <c r="E245" i="33"/>
  <c r="F245" i="33" s="1"/>
  <c r="E252" i="33"/>
  <c r="F252" i="33" s="1"/>
  <c r="E237" i="33"/>
  <c r="F237" i="33" s="1"/>
  <c r="P241" i="33" s="1"/>
  <c r="E238" i="33"/>
  <c r="F238" i="33" s="1"/>
  <c r="E239" i="33"/>
  <c r="F239" i="33" s="1"/>
  <c r="E59" i="33"/>
  <c r="B61" i="33" s="1"/>
  <c r="D62" i="33" s="1"/>
  <c r="I43" i="33" s="1"/>
  <c r="J43" i="33" s="1"/>
  <c r="P53" i="33"/>
  <c r="E79" i="33"/>
  <c r="F79" i="33" s="1"/>
  <c r="E85" i="33"/>
  <c r="F85" i="33" s="1"/>
  <c r="E76" i="33"/>
  <c r="F76" i="33" s="1"/>
  <c r="E109" i="33"/>
  <c r="F109" i="33" s="1"/>
  <c r="P212" i="33"/>
  <c r="E282" i="33"/>
  <c r="F282" i="33" s="1"/>
  <c r="P183" i="33"/>
  <c r="P208" i="33"/>
  <c r="P214" i="33"/>
  <c r="P204" i="33"/>
  <c r="L177" i="33"/>
  <c r="H179" i="33"/>
  <c r="P211" i="33"/>
  <c r="P213" i="33"/>
  <c r="P209" i="33"/>
  <c r="E273" i="33"/>
  <c r="F273" i="33" s="1"/>
  <c r="E280" i="33"/>
  <c r="F280" i="33" s="1"/>
  <c r="P215" i="33"/>
  <c r="E268" i="33"/>
  <c r="F268" i="33" s="1"/>
  <c r="E272" i="33"/>
  <c r="F272" i="33" s="1"/>
  <c r="E275" i="33"/>
  <c r="F275" i="33" s="1"/>
  <c r="P172" i="33"/>
  <c r="F174" i="33"/>
  <c r="P171" i="33" s="1"/>
  <c r="P175" i="33"/>
  <c r="P177" i="33"/>
  <c r="P181" i="33"/>
  <c r="E235" i="33"/>
  <c r="L237" i="33"/>
  <c r="L239" i="33"/>
  <c r="E241" i="33"/>
  <c r="F241" i="33" s="1"/>
  <c r="E248" i="33"/>
  <c r="F248" i="33" s="1"/>
  <c r="E250" i="33"/>
  <c r="F250" i="33" s="1"/>
  <c r="B253" i="33"/>
  <c r="F253" i="33"/>
  <c r="L269" i="33"/>
  <c r="L271" i="33"/>
  <c r="L205" i="33"/>
  <c r="L175" i="33"/>
  <c r="E189" i="33"/>
  <c r="B191" i="33" s="1"/>
  <c r="B192" i="33" s="1"/>
  <c r="F203" i="33"/>
  <c r="P210" i="33"/>
  <c r="E221" i="33"/>
  <c r="B223" i="33" s="1"/>
  <c r="B224" i="33" s="1"/>
  <c r="E267" i="33"/>
  <c r="P182" i="33"/>
  <c r="L207" i="33"/>
  <c r="E142" i="33"/>
  <c r="F142" i="33" s="1"/>
  <c r="E143" i="33"/>
  <c r="F143" i="33" s="1"/>
  <c r="P147" i="33" s="1"/>
  <c r="E145" i="33"/>
  <c r="F145" i="33" s="1"/>
  <c r="D155" i="33"/>
  <c r="D156" i="33" s="1"/>
  <c r="L43" i="33"/>
  <c r="L46" i="33"/>
  <c r="P52" i="33"/>
  <c r="F73" i="33"/>
  <c r="E107" i="33"/>
  <c r="F107" i="33" s="1"/>
  <c r="H81" i="33"/>
  <c r="E77" i="33"/>
  <c r="F77" i="33" s="1"/>
  <c r="E82" i="33"/>
  <c r="F82" i="33" s="1"/>
  <c r="E118" i="33"/>
  <c r="F118" i="33" s="1"/>
  <c r="E90" i="33"/>
  <c r="F90" i="33" s="1"/>
  <c r="E139" i="33"/>
  <c r="F139" i="33" s="1"/>
  <c r="E141" i="33"/>
  <c r="F141" i="33" s="1"/>
  <c r="L142" i="33"/>
  <c r="E83" i="33"/>
  <c r="F83" i="33" s="1"/>
  <c r="E87" i="33"/>
  <c r="F87" i="33" s="1"/>
  <c r="L140" i="33"/>
  <c r="H143" i="33"/>
  <c r="L143" i="33" s="1"/>
  <c r="D91" i="33"/>
  <c r="D92" i="33" s="1"/>
  <c r="E75" i="33"/>
  <c r="F75" i="33" s="1"/>
  <c r="E113" i="33"/>
  <c r="F113" i="33" s="1"/>
  <c r="E110" i="33"/>
  <c r="F110" i="33" s="1"/>
  <c r="E111" i="33"/>
  <c r="F111" i="33" s="1"/>
  <c r="E81" i="33"/>
  <c r="F81" i="33" s="1"/>
  <c r="E84" i="33"/>
  <c r="F84" i="33" s="1"/>
  <c r="H113" i="33"/>
  <c r="E150" i="33"/>
  <c r="F150" i="33" s="1"/>
  <c r="L139" i="33"/>
  <c r="L141" i="33"/>
  <c r="P42" i="33"/>
  <c r="L44" i="33"/>
  <c r="H47" i="33"/>
  <c r="L47" i="33" s="1"/>
  <c r="E120" i="33"/>
  <c r="F120" i="33" s="1"/>
  <c r="B91" i="33"/>
  <c r="B92" i="33" s="1"/>
  <c r="C91" i="33"/>
  <c r="C92" i="33" s="1"/>
  <c r="E105" i="33"/>
  <c r="F91" i="33"/>
  <c r="P45" i="33"/>
  <c r="P47" i="33"/>
  <c r="P50" i="33"/>
  <c r="P51" i="33"/>
  <c r="L76" i="33"/>
  <c r="E78" i="33"/>
  <c r="F78" i="33" s="1"/>
  <c r="F45" i="33"/>
  <c r="P41" i="33" s="1"/>
  <c r="P48" i="33"/>
  <c r="E74" i="33"/>
  <c r="F74" i="33" s="1"/>
  <c r="P78" i="33" s="1"/>
  <c r="E89" i="33"/>
  <c r="F89" i="33" s="1"/>
  <c r="L75" i="33"/>
  <c r="L77" i="33"/>
  <c r="L78" i="33"/>
  <c r="E80" i="33"/>
  <c r="F80" i="33" s="1"/>
  <c r="L107" i="33"/>
  <c r="L109" i="33"/>
  <c r="L110" i="33"/>
  <c r="L111" i="33"/>
  <c r="D123" i="33"/>
  <c r="D124" i="33" s="1"/>
  <c r="E86" i="33"/>
  <c r="F86" i="33" s="1"/>
  <c r="P81" i="33" s="1"/>
  <c r="E88" i="33"/>
  <c r="F88" i="33" s="1"/>
  <c r="L108" i="33"/>
  <c r="L45" i="33"/>
  <c r="K304" i="33" l="1"/>
  <c r="M304" i="33" s="1"/>
  <c r="K301" i="33"/>
  <c r="M301" i="33" s="1"/>
  <c r="K303" i="33"/>
  <c r="M303" i="33" s="1"/>
  <c r="K305" i="33"/>
  <c r="M305" i="33" s="1"/>
  <c r="K302" i="33"/>
  <c r="M302" i="33" s="1"/>
  <c r="Q177" i="34"/>
  <c r="Q179" i="34"/>
  <c r="Q182" i="34"/>
  <c r="Q183" i="34"/>
  <c r="Q178" i="34"/>
  <c r="Q180" i="34"/>
  <c r="Q211" i="35"/>
  <c r="H243" i="35"/>
  <c r="L241" i="33"/>
  <c r="Q181" i="34"/>
  <c r="Q175" i="34"/>
  <c r="Q243" i="35"/>
  <c r="Q172" i="34"/>
  <c r="Q275" i="35"/>
  <c r="Q279" i="35"/>
  <c r="Q274" i="35"/>
  <c r="Q278" i="35"/>
  <c r="Q273" i="35"/>
  <c r="Q277" i="35"/>
  <c r="Q272" i="35"/>
  <c r="Q276" i="35"/>
  <c r="Q271" i="35"/>
  <c r="Q242" i="35"/>
  <c r="Q244" i="35"/>
  <c r="Q246" i="35"/>
  <c r="Q239" i="35"/>
  <c r="Q241" i="35"/>
  <c r="Q245" i="35"/>
  <c r="Q247" i="35"/>
  <c r="Q236" i="35"/>
  <c r="Q235" i="35"/>
  <c r="Q115" i="35"/>
  <c r="Q145" i="35"/>
  <c r="Q267" i="34"/>
  <c r="Q268" i="34"/>
  <c r="Q275" i="34"/>
  <c r="Q279" i="34"/>
  <c r="Q274" i="34"/>
  <c r="Q278" i="34"/>
  <c r="Q273" i="34"/>
  <c r="Q277" i="34"/>
  <c r="Q272" i="34"/>
  <c r="Q276" i="34"/>
  <c r="Q271" i="34"/>
  <c r="B320" i="34"/>
  <c r="Q236" i="34"/>
  <c r="Q235" i="34"/>
  <c r="Q241" i="34"/>
  <c r="Q245" i="34"/>
  <c r="Q240" i="34"/>
  <c r="Q244" i="34"/>
  <c r="Q239" i="34"/>
  <c r="Q243" i="34"/>
  <c r="Q247" i="34"/>
  <c r="Q242" i="34"/>
  <c r="Q246" i="34"/>
  <c r="P77" i="33"/>
  <c r="Q111" i="35"/>
  <c r="I110" i="35"/>
  <c r="J110" i="35" s="1"/>
  <c r="Q209" i="35"/>
  <c r="Q204" i="35"/>
  <c r="Q212" i="35"/>
  <c r="Q203" i="35"/>
  <c r="Q210" i="35"/>
  <c r="Q214" i="35"/>
  <c r="Q208" i="35"/>
  <c r="Q213" i="35"/>
  <c r="Q207" i="35"/>
  <c r="Q215" i="35"/>
  <c r="B193" i="35"/>
  <c r="I174" i="35" s="1"/>
  <c r="J174" i="35" s="1"/>
  <c r="Q81" i="34"/>
  <c r="Q73" i="34"/>
  <c r="Q208" i="34"/>
  <c r="Q212" i="34"/>
  <c r="Q207" i="34"/>
  <c r="Q211" i="34"/>
  <c r="Q215" i="34"/>
  <c r="Q210" i="34"/>
  <c r="Q214" i="34"/>
  <c r="Q209" i="34"/>
  <c r="Q213" i="34"/>
  <c r="Q203" i="34"/>
  <c r="Q204" i="34"/>
  <c r="D320" i="34"/>
  <c r="I301" i="34" s="1"/>
  <c r="J301" i="34" s="1"/>
  <c r="I240" i="34"/>
  <c r="J240" i="34" s="1"/>
  <c r="Q85" i="34"/>
  <c r="I303" i="34"/>
  <c r="J303" i="34" s="1"/>
  <c r="B257" i="34"/>
  <c r="I238" i="34" s="1"/>
  <c r="J238" i="34" s="1"/>
  <c r="I239" i="34"/>
  <c r="J239" i="34" s="1"/>
  <c r="I304" i="34"/>
  <c r="J304" i="34" s="1"/>
  <c r="H49" i="34"/>
  <c r="Q171" i="33"/>
  <c r="Q172" i="33"/>
  <c r="K15" i="33"/>
  <c r="M15" i="33" s="1"/>
  <c r="P23" i="33"/>
  <c r="P22" i="33"/>
  <c r="H18" i="33"/>
  <c r="P11" i="33"/>
  <c r="H19" i="33"/>
  <c r="P12" i="33"/>
  <c r="H20" i="33"/>
  <c r="K11" i="33"/>
  <c r="M11" i="33" s="1"/>
  <c r="K12" i="33"/>
  <c r="M12" i="33" s="1"/>
  <c r="K13" i="33"/>
  <c r="M13" i="33" s="1"/>
  <c r="K14" i="33"/>
  <c r="M14" i="33" s="1"/>
  <c r="P83" i="33"/>
  <c r="P113" i="33"/>
  <c r="P246" i="33"/>
  <c r="I45" i="33"/>
  <c r="J45" i="33" s="1"/>
  <c r="I46" i="33"/>
  <c r="J46" i="33" s="1"/>
  <c r="B63" i="33"/>
  <c r="I44" i="33" s="1"/>
  <c r="J44" i="33" s="1"/>
  <c r="H145" i="33"/>
  <c r="I207" i="33"/>
  <c r="J207" i="33" s="1"/>
  <c r="P247" i="33"/>
  <c r="Q77" i="34"/>
  <c r="B225" i="35"/>
  <c r="I206" i="35" s="1"/>
  <c r="J206" i="35" s="1"/>
  <c r="H81" i="35"/>
  <c r="D126" i="35"/>
  <c r="I107" i="35" s="1"/>
  <c r="J107" i="35" s="1"/>
  <c r="Q148" i="35"/>
  <c r="Q116" i="35"/>
  <c r="Q109" i="35"/>
  <c r="H275" i="33"/>
  <c r="P115" i="33"/>
  <c r="B62" i="33"/>
  <c r="I49" i="33" s="1"/>
  <c r="P236" i="33"/>
  <c r="P242" i="33"/>
  <c r="Q114" i="34"/>
  <c r="Q83" i="34"/>
  <c r="Q79" i="34"/>
  <c r="Q74" i="34"/>
  <c r="I141" i="35"/>
  <c r="J141" i="35" s="1"/>
  <c r="Q143" i="35"/>
  <c r="Q110" i="35"/>
  <c r="B127" i="35"/>
  <c r="I108" i="35" s="1"/>
  <c r="I14" i="35"/>
  <c r="J14" i="35" s="1"/>
  <c r="Q147" i="35"/>
  <c r="H113" i="35"/>
  <c r="J238" i="35"/>
  <c r="I145" i="35"/>
  <c r="B320" i="35"/>
  <c r="I304" i="35"/>
  <c r="J304" i="35" s="1"/>
  <c r="P141" i="35"/>
  <c r="Q141" i="35" s="1"/>
  <c r="P137" i="35"/>
  <c r="Q137" i="35" s="1"/>
  <c r="I17" i="35"/>
  <c r="P303" i="35"/>
  <c r="P299" i="35"/>
  <c r="B224" i="35"/>
  <c r="I208" i="35"/>
  <c r="J208" i="35" s="1"/>
  <c r="P267" i="35"/>
  <c r="I239" i="35"/>
  <c r="J239" i="35" s="1"/>
  <c r="I13" i="35"/>
  <c r="J13" i="35" s="1"/>
  <c r="D192" i="35"/>
  <c r="I173" i="35" s="1"/>
  <c r="J173" i="35" s="1"/>
  <c r="I78" i="35"/>
  <c r="J78" i="35" s="1"/>
  <c r="B95" i="35"/>
  <c r="I76" i="35" s="1"/>
  <c r="B321" i="35"/>
  <c r="I302" i="35" s="1"/>
  <c r="D256" i="35"/>
  <c r="I237" i="35" s="1"/>
  <c r="J237" i="35" s="1"/>
  <c r="I175" i="35"/>
  <c r="J175" i="35" s="1"/>
  <c r="Q117" i="35"/>
  <c r="D62" i="35"/>
  <c r="I43" i="35" s="1"/>
  <c r="J43" i="35" s="1"/>
  <c r="Q144" i="35"/>
  <c r="B63" i="35"/>
  <c r="I44" i="35" s="1"/>
  <c r="B31" i="35"/>
  <c r="I12" i="35" s="1"/>
  <c r="Q142" i="35"/>
  <c r="I81" i="35"/>
  <c r="J108" i="35"/>
  <c r="I49" i="35"/>
  <c r="I303" i="35"/>
  <c r="J303" i="35" s="1"/>
  <c r="B289" i="35"/>
  <c r="I270" i="35" s="1"/>
  <c r="P171" i="35"/>
  <c r="P175" i="35"/>
  <c r="Q182" i="35" s="1"/>
  <c r="I275" i="35"/>
  <c r="B256" i="35"/>
  <c r="I240" i="35"/>
  <c r="J240" i="35" s="1"/>
  <c r="D127" i="35"/>
  <c r="I112" i="35" s="1"/>
  <c r="J112" i="35" s="1"/>
  <c r="I113" i="35"/>
  <c r="I176" i="35"/>
  <c r="J176" i="35" s="1"/>
  <c r="B159" i="35"/>
  <c r="I140" i="35" s="1"/>
  <c r="I272" i="35"/>
  <c r="J272" i="35" s="1"/>
  <c r="I207" i="35"/>
  <c r="J207" i="35" s="1"/>
  <c r="D320" i="35"/>
  <c r="I301" i="35" s="1"/>
  <c r="J301" i="35" s="1"/>
  <c r="D158" i="35"/>
  <c r="I139" i="35" s="1"/>
  <c r="J139" i="35" s="1"/>
  <c r="I109" i="35"/>
  <c r="J109" i="35" s="1"/>
  <c r="I77" i="35"/>
  <c r="J77" i="35" s="1"/>
  <c r="Q112" i="35"/>
  <c r="Q114" i="35"/>
  <c r="D94" i="35"/>
  <c r="I75" i="35" s="1"/>
  <c r="J75" i="35" s="1"/>
  <c r="I45" i="35"/>
  <c r="J45" i="35" s="1"/>
  <c r="Q113" i="35"/>
  <c r="Q149" i="35"/>
  <c r="Q146" i="35"/>
  <c r="I271" i="35"/>
  <c r="J271" i="35" s="1"/>
  <c r="Q106" i="35"/>
  <c r="I179" i="35"/>
  <c r="P13" i="35"/>
  <c r="P9" i="35"/>
  <c r="Q9" i="35" s="1"/>
  <c r="P77" i="35"/>
  <c r="P73" i="35"/>
  <c r="P45" i="35"/>
  <c r="P41" i="35"/>
  <c r="D288" i="35"/>
  <c r="I269" i="35" s="1"/>
  <c r="J269" i="35" s="1"/>
  <c r="Q51" i="35"/>
  <c r="Q138" i="35"/>
  <c r="Q84" i="35"/>
  <c r="I142" i="35"/>
  <c r="J142" i="35" s="1"/>
  <c r="I46" i="35"/>
  <c r="J46" i="35" s="1"/>
  <c r="D30" i="35"/>
  <c r="I11" i="35" s="1"/>
  <c r="J11" i="35" s="1"/>
  <c r="D94" i="34"/>
  <c r="I75" i="34" s="1"/>
  <c r="J75" i="34" s="1"/>
  <c r="I77" i="34"/>
  <c r="J77" i="34" s="1"/>
  <c r="B95" i="34"/>
  <c r="I76" i="34" s="1"/>
  <c r="B94" i="34"/>
  <c r="B192" i="34"/>
  <c r="I175" i="34"/>
  <c r="J175" i="34" s="1"/>
  <c r="D192" i="34"/>
  <c r="I173" i="34" s="1"/>
  <c r="J173" i="34" s="1"/>
  <c r="B193" i="34"/>
  <c r="I174" i="34" s="1"/>
  <c r="I109" i="34"/>
  <c r="J109" i="34" s="1"/>
  <c r="D126" i="34"/>
  <c r="I107" i="34" s="1"/>
  <c r="J107" i="34" s="1"/>
  <c r="B126" i="34"/>
  <c r="B127" i="34"/>
  <c r="I108" i="34" s="1"/>
  <c r="D289" i="34"/>
  <c r="I274" i="34" s="1"/>
  <c r="J274" i="34" s="1"/>
  <c r="I275" i="34"/>
  <c r="P45" i="34"/>
  <c r="P41" i="34"/>
  <c r="I78" i="34"/>
  <c r="J78" i="34" s="1"/>
  <c r="Q116" i="34"/>
  <c r="Q112" i="34"/>
  <c r="Q80" i="34"/>
  <c r="Q84" i="34"/>
  <c r="Q115" i="34"/>
  <c r="P13" i="34"/>
  <c r="P9" i="34"/>
  <c r="Q10" i="34" s="1"/>
  <c r="J302" i="34"/>
  <c r="I243" i="34"/>
  <c r="Q111" i="34"/>
  <c r="D30" i="34"/>
  <c r="I11" i="34" s="1"/>
  <c r="J11" i="34" s="1"/>
  <c r="D158" i="34"/>
  <c r="I139" i="34" s="1"/>
  <c r="J139" i="34" s="1"/>
  <c r="B159" i="34"/>
  <c r="I140" i="34" s="1"/>
  <c r="I141" i="34"/>
  <c r="J141" i="34" s="1"/>
  <c r="B158" i="34"/>
  <c r="P141" i="34"/>
  <c r="P137" i="34"/>
  <c r="I17" i="34"/>
  <c r="P303" i="34"/>
  <c r="P299" i="34"/>
  <c r="B224" i="34"/>
  <c r="I208" i="34"/>
  <c r="J208" i="34" s="1"/>
  <c r="D224" i="34"/>
  <c r="I205" i="34" s="1"/>
  <c r="J205" i="34" s="1"/>
  <c r="B225" i="34"/>
  <c r="I206" i="34" s="1"/>
  <c r="I207" i="34"/>
  <c r="J207" i="34" s="1"/>
  <c r="I273" i="34"/>
  <c r="J273" i="34" s="1"/>
  <c r="J270" i="34"/>
  <c r="I307" i="34"/>
  <c r="I13" i="34"/>
  <c r="J13" i="34" s="1"/>
  <c r="B31" i="34"/>
  <c r="I12" i="34" s="1"/>
  <c r="Q109" i="34"/>
  <c r="I142" i="34"/>
  <c r="J142" i="34" s="1"/>
  <c r="Q78" i="34"/>
  <c r="B63" i="34"/>
  <c r="I44" i="34" s="1"/>
  <c r="I45" i="34"/>
  <c r="J45" i="34" s="1"/>
  <c r="B62" i="34"/>
  <c r="D62" i="34"/>
  <c r="I43" i="34" s="1"/>
  <c r="J43" i="34" s="1"/>
  <c r="Q105" i="34"/>
  <c r="Q110" i="34"/>
  <c r="I14" i="34"/>
  <c r="J14" i="34" s="1"/>
  <c r="Q117" i="34"/>
  <c r="Q82" i="34"/>
  <c r="Q113" i="34"/>
  <c r="P243" i="33"/>
  <c r="B225" i="33"/>
  <c r="I206" i="33" s="1"/>
  <c r="J206" i="33" s="1"/>
  <c r="P277" i="33"/>
  <c r="D192" i="33"/>
  <c r="I173" i="33" s="1"/>
  <c r="J173" i="33" s="1"/>
  <c r="P240" i="33"/>
  <c r="B285" i="33"/>
  <c r="B286" i="33" s="1"/>
  <c r="P80" i="33"/>
  <c r="P82" i="33"/>
  <c r="B254" i="33"/>
  <c r="I211" i="33"/>
  <c r="I179" i="33"/>
  <c r="E284" i="33"/>
  <c r="F284" i="33" s="1"/>
  <c r="P279" i="33" s="1"/>
  <c r="E271" i="33"/>
  <c r="F271" i="33" s="1"/>
  <c r="P275" i="33" s="1"/>
  <c r="C285" i="33"/>
  <c r="C286" i="33" s="1"/>
  <c r="P207" i="33"/>
  <c r="P203" i="33"/>
  <c r="D285" i="33"/>
  <c r="D286" i="33" s="1"/>
  <c r="F235" i="33"/>
  <c r="E253" i="33"/>
  <c r="B255" i="33" s="1"/>
  <c r="B256" i="33" s="1"/>
  <c r="I175" i="33"/>
  <c r="J175" i="33" s="1"/>
  <c r="E277" i="33"/>
  <c r="F277" i="33" s="1"/>
  <c r="P272" i="33" s="1"/>
  <c r="E274" i="33"/>
  <c r="F274" i="33" s="1"/>
  <c r="I176" i="33"/>
  <c r="J176" i="33" s="1"/>
  <c r="E276" i="33"/>
  <c r="F276" i="33" s="1"/>
  <c r="E281" i="33"/>
  <c r="F281" i="33" s="1"/>
  <c r="P276" i="33" s="1"/>
  <c r="E269" i="33"/>
  <c r="F269" i="33" s="1"/>
  <c r="F267" i="33"/>
  <c r="B193" i="33"/>
  <c r="I174" i="33" s="1"/>
  <c r="E279" i="33"/>
  <c r="F279" i="33" s="1"/>
  <c r="E270" i="33"/>
  <c r="F270" i="33" s="1"/>
  <c r="P178" i="33"/>
  <c r="Q179" i="33" s="1"/>
  <c r="I208" i="33"/>
  <c r="J208" i="33" s="1"/>
  <c r="E278" i="33"/>
  <c r="F278" i="33" s="1"/>
  <c r="P245" i="33"/>
  <c r="D224" i="33"/>
  <c r="I205" i="33" s="1"/>
  <c r="J205" i="33" s="1"/>
  <c r="F285" i="33"/>
  <c r="E283" i="33"/>
  <c r="F283" i="33" s="1"/>
  <c r="E116" i="33"/>
  <c r="F116" i="33" s="1"/>
  <c r="P111" i="33" s="1"/>
  <c r="E148" i="33"/>
  <c r="F148" i="33" s="1"/>
  <c r="P143" i="33" s="1"/>
  <c r="E121" i="33"/>
  <c r="F121" i="33" s="1"/>
  <c r="E153" i="33"/>
  <c r="F153" i="33" s="1"/>
  <c r="E108" i="33"/>
  <c r="F108" i="33" s="1"/>
  <c r="E140" i="33"/>
  <c r="F140" i="33" s="1"/>
  <c r="E115" i="33"/>
  <c r="F115" i="33" s="1"/>
  <c r="E147" i="33"/>
  <c r="F147" i="33" s="1"/>
  <c r="E117" i="33"/>
  <c r="F117" i="33" s="1"/>
  <c r="E149" i="33"/>
  <c r="F149" i="33" s="1"/>
  <c r="E112" i="33"/>
  <c r="F112" i="33" s="1"/>
  <c r="E144" i="33"/>
  <c r="F144" i="33" s="1"/>
  <c r="P145" i="33"/>
  <c r="E114" i="33"/>
  <c r="F114" i="33" s="1"/>
  <c r="E146" i="33"/>
  <c r="F146" i="33" s="1"/>
  <c r="E119" i="33"/>
  <c r="F119" i="33" s="1"/>
  <c r="P114" i="33" s="1"/>
  <c r="E151" i="33"/>
  <c r="F151" i="33" s="1"/>
  <c r="P146" i="33" s="1"/>
  <c r="C123" i="33"/>
  <c r="C124" i="33" s="1"/>
  <c r="E122" i="33"/>
  <c r="F122" i="33" s="1"/>
  <c r="P117" i="33" s="1"/>
  <c r="E154" i="33"/>
  <c r="F154" i="33" s="1"/>
  <c r="P149" i="33" s="1"/>
  <c r="E106" i="33"/>
  <c r="F106" i="33" s="1"/>
  <c r="P79" i="33"/>
  <c r="P85" i="33"/>
  <c r="E91" i="33"/>
  <c r="B93" i="33" s="1"/>
  <c r="I78" i="33" s="1"/>
  <c r="J78" i="33" s="1"/>
  <c r="B123" i="33"/>
  <c r="B124" i="33" s="1"/>
  <c r="H49" i="33"/>
  <c r="F105" i="33"/>
  <c r="P73" i="33"/>
  <c r="Q41" i="33"/>
  <c r="Q42" i="33"/>
  <c r="P49" i="33"/>
  <c r="Q49" i="33" s="1"/>
  <c r="P74" i="33"/>
  <c r="P84" i="33"/>
  <c r="F123" i="33"/>
  <c r="Q267" i="35" l="1"/>
  <c r="Q268" i="35"/>
  <c r="Q307" i="35"/>
  <c r="Q311" i="35"/>
  <c r="Q306" i="35"/>
  <c r="Q310" i="35"/>
  <c r="Q305" i="35"/>
  <c r="Q309" i="35"/>
  <c r="Q304" i="35"/>
  <c r="Q308" i="35"/>
  <c r="Q303" i="35"/>
  <c r="Q299" i="35"/>
  <c r="Q300" i="35"/>
  <c r="I305" i="34"/>
  <c r="J305" i="34" s="1"/>
  <c r="I241" i="34"/>
  <c r="J241" i="34" s="1"/>
  <c r="Q306" i="34"/>
  <c r="Q310" i="34"/>
  <c r="Q305" i="34"/>
  <c r="Q309" i="34"/>
  <c r="Q304" i="34"/>
  <c r="Q308" i="34"/>
  <c r="Q303" i="34"/>
  <c r="Q307" i="34"/>
  <c r="Q311" i="34"/>
  <c r="Q299" i="34"/>
  <c r="Q300" i="34"/>
  <c r="Q143" i="34"/>
  <c r="Q147" i="34"/>
  <c r="Q142" i="34"/>
  <c r="Q146" i="34"/>
  <c r="Q141" i="34"/>
  <c r="Q145" i="34"/>
  <c r="Q149" i="34"/>
  <c r="Q144" i="34"/>
  <c r="Q148" i="34"/>
  <c r="Q138" i="34"/>
  <c r="Q137" i="34"/>
  <c r="Q211" i="33"/>
  <c r="Q215" i="33"/>
  <c r="Q210" i="33"/>
  <c r="Q214" i="33"/>
  <c r="Q209" i="33"/>
  <c r="Q213" i="33"/>
  <c r="Q208" i="33"/>
  <c r="Q212" i="33"/>
  <c r="Q207" i="33"/>
  <c r="Q203" i="33"/>
  <c r="Q204" i="33"/>
  <c r="Q183" i="35"/>
  <c r="Q177" i="35"/>
  <c r="Q179" i="35"/>
  <c r="Q181" i="35"/>
  <c r="Q175" i="35"/>
  <c r="Q176" i="35"/>
  <c r="Q178" i="35"/>
  <c r="Q180" i="35"/>
  <c r="Q171" i="35"/>
  <c r="Q172" i="35"/>
  <c r="D321" i="34"/>
  <c r="I306" i="34" s="1"/>
  <c r="J306" i="34" s="1"/>
  <c r="P312" i="34" s="1"/>
  <c r="D257" i="34"/>
  <c r="I242" i="34" s="1"/>
  <c r="J242" i="34" s="1"/>
  <c r="Q45" i="34"/>
  <c r="Q15" i="34"/>
  <c r="Q178" i="33"/>
  <c r="Q182" i="33"/>
  <c r="Q175" i="33"/>
  <c r="Q176" i="33"/>
  <c r="Q181" i="33"/>
  <c r="Q183" i="33"/>
  <c r="Q180" i="33"/>
  <c r="Q177" i="33"/>
  <c r="K84" i="33"/>
  <c r="D193" i="35"/>
  <c r="I178" i="35" s="1"/>
  <c r="J178" i="35" s="1"/>
  <c r="H182" i="35" s="1"/>
  <c r="Q47" i="34"/>
  <c r="Q48" i="34"/>
  <c r="Q46" i="34"/>
  <c r="Q52" i="34"/>
  <c r="Q50" i="34"/>
  <c r="I47" i="33"/>
  <c r="J47" i="33" s="1"/>
  <c r="P116" i="33"/>
  <c r="D63" i="33"/>
  <c r="I48" i="33" s="1"/>
  <c r="J48" i="33" s="1"/>
  <c r="P55" i="33" s="1"/>
  <c r="Q53" i="33"/>
  <c r="Q52" i="33"/>
  <c r="Q47" i="33"/>
  <c r="Q51" i="33"/>
  <c r="I177" i="35"/>
  <c r="J177" i="35" s="1"/>
  <c r="Q14" i="34"/>
  <c r="Q18" i="34"/>
  <c r="Q19" i="34"/>
  <c r="Q17" i="34"/>
  <c r="Q41" i="35"/>
  <c r="Q77" i="35"/>
  <c r="Q85" i="35"/>
  <c r="Q82" i="35"/>
  <c r="Q83" i="35"/>
  <c r="Q79" i="35"/>
  <c r="Q78" i="35"/>
  <c r="Q80" i="35"/>
  <c r="Q81" i="35"/>
  <c r="I243" i="35"/>
  <c r="D257" i="35"/>
  <c r="I242" i="35" s="1"/>
  <c r="J242" i="35" s="1"/>
  <c r="I79" i="35"/>
  <c r="J79" i="35" s="1"/>
  <c r="J76" i="35"/>
  <c r="D225" i="35"/>
  <c r="I210" i="35" s="1"/>
  <c r="J210" i="35" s="1"/>
  <c r="I211" i="35"/>
  <c r="I307" i="35"/>
  <c r="D321" i="35"/>
  <c r="I306" i="35" s="1"/>
  <c r="J306" i="35" s="1"/>
  <c r="Q47" i="35"/>
  <c r="D289" i="35"/>
  <c r="I274" i="35" s="1"/>
  <c r="J274" i="35" s="1"/>
  <c r="Q50" i="35"/>
  <c r="Q16" i="35"/>
  <c r="Q53" i="35"/>
  <c r="I241" i="35"/>
  <c r="J241" i="35" s="1"/>
  <c r="Q73" i="35"/>
  <c r="I143" i="35"/>
  <c r="J143" i="35" s="1"/>
  <c r="J140" i="35"/>
  <c r="I273" i="35"/>
  <c r="J273" i="35" s="1"/>
  <c r="J270" i="35"/>
  <c r="I47" i="35"/>
  <c r="J47" i="35" s="1"/>
  <c r="J44" i="35"/>
  <c r="I305" i="35"/>
  <c r="J305" i="35" s="1"/>
  <c r="J302" i="35"/>
  <c r="Q46" i="35"/>
  <c r="I209" i="35"/>
  <c r="J209" i="35" s="1"/>
  <c r="Q17" i="35"/>
  <c r="D63" i="35"/>
  <c r="I48" i="35" s="1"/>
  <c r="J48" i="35" s="1"/>
  <c r="D95" i="35"/>
  <c r="I80" i="35" s="1"/>
  <c r="J80" i="35" s="1"/>
  <c r="Q74" i="35"/>
  <c r="D31" i="35"/>
  <c r="I16" i="35" s="1"/>
  <c r="J16" i="35" s="1"/>
  <c r="K174" i="35" s="1"/>
  <c r="M174" i="35" s="1"/>
  <c r="Q45" i="35"/>
  <c r="Q52" i="35"/>
  <c r="Q49" i="35"/>
  <c r="Q13" i="35"/>
  <c r="Q21" i="35"/>
  <c r="Q20" i="35"/>
  <c r="H115" i="35"/>
  <c r="P108" i="35"/>
  <c r="P119" i="35"/>
  <c r="H116" i="35"/>
  <c r="P118" i="35"/>
  <c r="H114" i="35"/>
  <c r="P107" i="35"/>
  <c r="I15" i="35"/>
  <c r="J15" i="35" s="1"/>
  <c r="J12" i="35"/>
  <c r="Q19" i="35"/>
  <c r="Q48" i="35"/>
  <c r="Q14" i="35"/>
  <c r="D159" i="35"/>
  <c r="I144" i="35" s="1"/>
  <c r="J144" i="35" s="1"/>
  <c r="Q10" i="35"/>
  <c r="Q15" i="35"/>
  <c r="I111" i="35"/>
  <c r="J111" i="35" s="1"/>
  <c r="Q18" i="35"/>
  <c r="Q42" i="35"/>
  <c r="I47" i="34"/>
  <c r="J47" i="34" s="1"/>
  <c r="J44" i="34"/>
  <c r="Q13" i="34"/>
  <c r="Q16" i="34"/>
  <c r="Q20" i="34"/>
  <c r="I111" i="34"/>
  <c r="J111" i="34" s="1"/>
  <c r="J108" i="34"/>
  <c r="I177" i="34"/>
  <c r="J177" i="34" s="1"/>
  <c r="J174" i="34"/>
  <c r="D95" i="34"/>
  <c r="I80" i="34" s="1"/>
  <c r="J80" i="34" s="1"/>
  <c r="I81" i="34"/>
  <c r="I15" i="34"/>
  <c r="J15" i="34" s="1"/>
  <c r="J12" i="34"/>
  <c r="I143" i="34"/>
  <c r="J143" i="34" s="1"/>
  <c r="J140" i="34"/>
  <c r="I209" i="34"/>
  <c r="J209" i="34" s="1"/>
  <c r="J206" i="34"/>
  <c r="D159" i="34"/>
  <c r="I144" i="34" s="1"/>
  <c r="J144" i="34" s="1"/>
  <c r="I145" i="34"/>
  <c r="P249" i="34"/>
  <c r="H246" i="34"/>
  <c r="P248" i="34"/>
  <c r="H244" i="34"/>
  <c r="P237" i="34"/>
  <c r="H245" i="34"/>
  <c r="P238" i="34"/>
  <c r="Q9" i="34"/>
  <c r="Q53" i="34"/>
  <c r="Q49" i="34"/>
  <c r="Q51" i="34"/>
  <c r="H276" i="34"/>
  <c r="P269" i="34"/>
  <c r="H277" i="34"/>
  <c r="P270" i="34"/>
  <c r="P281" i="34"/>
  <c r="H278" i="34"/>
  <c r="P280" i="34"/>
  <c r="D193" i="34"/>
  <c r="I178" i="34" s="1"/>
  <c r="J178" i="34" s="1"/>
  <c r="I179" i="34"/>
  <c r="Q21" i="34"/>
  <c r="D63" i="34"/>
  <c r="I48" i="34" s="1"/>
  <c r="J48" i="34" s="1"/>
  <c r="I49" i="34"/>
  <c r="D225" i="34"/>
  <c r="I210" i="34" s="1"/>
  <c r="J210" i="34" s="1"/>
  <c r="I211" i="34"/>
  <c r="Q41" i="34"/>
  <c r="Q42" i="34"/>
  <c r="D127" i="34"/>
  <c r="I112" i="34" s="1"/>
  <c r="J112" i="34" s="1"/>
  <c r="I113" i="34"/>
  <c r="I79" i="34"/>
  <c r="J79" i="34" s="1"/>
  <c r="J76" i="34"/>
  <c r="D31" i="34"/>
  <c r="I16" i="34" s="1"/>
  <c r="J16" i="34" s="1"/>
  <c r="K205" i="34" s="1"/>
  <c r="M205" i="34" s="1"/>
  <c r="I209" i="33"/>
  <c r="J209" i="33" s="1"/>
  <c r="B257" i="33"/>
  <c r="I238" i="33" s="1"/>
  <c r="J238" i="33" s="1"/>
  <c r="Q80" i="33"/>
  <c r="P112" i="33"/>
  <c r="Q85" i="33"/>
  <c r="P110" i="33"/>
  <c r="P106" i="33"/>
  <c r="P148" i="33"/>
  <c r="Q84" i="33"/>
  <c r="E123" i="33"/>
  <c r="B125" i="33" s="1"/>
  <c r="I110" i="33" s="1"/>
  <c r="J110" i="33" s="1"/>
  <c r="P239" i="33"/>
  <c r="Q247" i="33" s="1"/>
  <c r="P235" i="33"/>
  <c r="Q235" i="33" s="1"/>
  <c r="D225" i="33"/>
  <c r="I210" i="33" s="1"/>
  <c r="J210" i="33" s="1"/>
  <c r="I177" i="33"/>
  <c r="J177" i="33" s="1"/>
  <c r="K177" i="33" s="1"/>
  <c r="M177" i="33" s="1"/>
  <c r="J174" i="33"/>
  <c r="P274" i="33"/>
  <c r="E285" i="33"/>
  <c r="B287" i="33" s="1"/>
  <c r="B288" i="33" s="1"/>
  <c r="P273" i="33"/>
  <c r="P268" i="33"/>
  <c r="I240" i="33"/>
  <c r="J240" i="33" s="1"/>
  <c r="P271" i="33"/>
  <c r="P267" i="33"/>
  <c r="P278" i="33"/>
  <c r="D193" i="33"/>
  <c r="I178" i="33" s="1"/>
  <c r="J178" i="33" s="1"/>
  <c r="I243" i="33"/>
  <c r="I239" i="33"/>
  <c r="J239" i="33" s="1"/>
  <c r="D256" i="33"/>
  <c r="I237" i="33" s="1"/>
  <c r="J237" i="33" s="1"/>
  <c r="Q50" i="33"/>
  <c r="Q73" i="33"/>
  <c r="Q81" i="33"/>
  <c r="P144" i="33"/>
  <c r="C155" i="33"/>
  <c r="C156" i="33" s="1"/>
  <c r="E137" i="33"/>
  <c r="F155" i="33"/>
  <c r="P138" i="33"/>
  <c r="E138" i="33"/>
  <c r="F138" i="33" s="1"/>
  <c r="P142" i="33" s="1"/>
  <c r="B155" i="33"/>
  <c r="Q78" i="33"/>
  <c r="Q45" i="33"/>
  <c r="Q74" i="33"/>
  <c r="Q46" i="33"/>
  <c r="Q82" i="33"/>
  <c r="Q83" i="33"/>
  <c r="Q77" i="33"/>
  <c r="Q48" i="33"/>
  <c r="P105" i="33"/>
  <c r="P109" i="33"/>
  <c r="B94" i="33"/>
  <c r="I77" i="33"/>
  <c r="J77" i="33" s="1"/>
  <c r="D94" i="33"/>
  <c r="I75" i="33" s="1"/>
  <c r="J75" i="33" s="1"/>
  <c r="B95" i="33"/>
  <c r="I76" i="33" s="1"/>
  <c r="Q79" i="33"/>
  <c r="Q268" i="33" l="1"/>
  <c r="H308" i="34"/>
  <c r="Q277" i="33"/>
  <c r="Q274" i="33"/>
  <c r="Q240" i="33"/>
  <c r="Q245" i="33"/>
  <c r="Q243" i="33"/>
  <c r="Q236" i="33"/>
  <c r="Q246" i="33"/>
  <c r="Q239" i="33"/>
  <c r="Q244" i="33"/>
  <c r="Q241" i="33"/>
  <c r="Q242" i="33"/>
  <c r="Q276" i="33"/>
  <c r="Q272" i="33"/>
  <c r="Q279" i="33"/>
  <c r="Q278" i="33"/>
  <c r="Q271" i="33"/>
  <c r="Q267" i="33"/>
  <c r="Q273" i="33"/>
  <c r="Q275" i="33"/>
  <c r="K15" i="35"/>
  <c r="M15" i="35" s="1"/>
  <c r="K111" i="35"/>
  <c r="M111" i="35" s="1"/>
  <c r="K173" i="35"/>
  <c r="M173" i="35" s="1"/>
  <c r="K46" i="35"/>
  <c r="M46" i="35" s="1"/>
  <c r="K207" i="35"/>
  <c r="M207" i="35" s="1"/>
  <c r="K11" i="35"/>
  <c r="M11" i="35" s="1"/>
  <c r="K45" i="35"/>
  <c r="M45" i="35" s="1"/>
  <c r="K239" i="35"/>
  <c r="M239" i="35" s="1"/>
  <c r="K109" i="35"/>
  <c r="M109" i="35" s="1"/>
  <c r="P185" i="35"/>
  <c r="P174" i="35"/>
  <c r="H180" i="35"/>
  <c r="P184" i="35"/>
  <c r="H181" i="35"/>
  <c r="P173" i="35"/>
  <c r="K175" i="35"/>
  <c r="M175" i="35" s="1"/>
  <c r="K303" i="35"/>
  <c r="M303" i="35" s="1"/>
  <c r="K206" i="35"/>
  <c r="M206" i="35" s="1"/>
  <c r="K43" i="35"/>
  <c r="M43" i="35" s="1"/>
  <c r="P301" i="34"/>
  <c r="H309" i="34"/>
  <c r="H310" i="34"/>
  <c r="P313" i="34"/>
  <c r="P302" i="34"/>
  <c r="Q105" i="33"/>
  <c r="K237" i="33"/>
  <c r="M237" i="33" s="1"/>
  <c r="D288" i="33"/>
  <c r="I269" i="33" s="1"/>
  <c r="J269" i="33" s="1"/>
  <c r="K269" i="33" s="1"/>
  <c r="M269" i="33" s="1"/>
  <c r="K207" i="33"/>
  <c r="M207" i="33" s="1"/>
  <c r="K47" i="33"/>
  <c r="M47" i="33" s="1"/>
  <c r="P43" i="33"/>
  <c r="K110" i="33"/>
  <c r="M110" i="33" s="1"/>
  <c r="K175" i="33"/>
  <c r="M175" i="33" s="1"/>
  <c r="H52" i="33"/>
  <c r="P54" i="33"/>
  <c r="P44" i="33"/>
  <c r="H51" i="33"/>
  <c r="H50" i="33"/>
  <c r="B126" i="33"/>
  <c r="K241" i="34"/>
  <c r="M241" i="34" s="1"/>
  <c r="H51" i="35"/>
  <c r="P44" i="35"/>
  <c r="H52" i="35"/>
  <c r="H50" i="35"/>
  <c r="P54" i="35"/>
  <c r="P43" i="35"/>
  <c r="P55" i="35"/>
  <c r="H276" i="35"/>
  <c r="P269" i="35"/>
  <c r="H277" i="35"/>
  <c r="P270" i="35"/>
  <c r="P281" i="35"/>
  <c r="H278" i="35"/>
  <c r="P280" i="35"/>
  <c r="P313" i="35"/>
  <c r="H310" i="35"/>
  <c r="P312" i="35"/>
  <c r="H308" i="35"/>
  <c r="P301" i="35"/>
  <c r="H309" i="35"/>
  <c r="P302" i="35"/>
  <c r="K78" i="35"/>
  <c r="M78" i="35" s="1"/>
  <c r="K177" i="35"/>
  <c r="M177" i="35" s="1"/>
  <c r="K237" i="35"/>
  <c r="M237" i="35" s="1"/>
  <c r="K272" i="35"/>
  <c r="M272" i="35" s="1"/>
  <c r="K271" i="35"/>
  <c r="M271" i="35" s="1"/>
  <c r="K12" i="35"/>
  <c r="M12" i="35" s="1"/>
  <c r="K208" i="35"/>
  <c r="M208" i="35" s="1"/>
  <c r="K139" i="35"/>
  <c r="M139" i="35" s="1"/>
  <c r="K209" i="35"/>
  <c r="M209" i="35" s="1"/>
  <c r="K44" i="35"/>
  <c r="M44" i="35" s="1"/>
  <c r="K140" i="35"/>
  <c r="M140" i="35" s="1"/>
  <c r="K241" i="35"/>
  <c r="M241" i="35" s="1"/>
  <c r="K76" i="35"/>
  <c r="M76" i="35" s="1"/>
  <c r="H20" i="35"/>
  <c r="H18" i="35"/>
  <c r="P11" i="35"/>
  <c r="H19" i="35"/>
  <c r="P12" i="35"/>
  <c r="P23" i="35"/>
  <c r="P22" i="35"/>
  <c r="K107" i="35"/>
  <c r="M107" i="35" s="1"/>
  <c r="K141" i="35"/>
  <c r="M141" i="35" s="1"/>
  <c r="K110" i="35"/>
  <c r="M110" i="35" s="1"/>
  <c r="K205" i="35"/>
  <c r="M205" i="35" s="1"/>
  <c r="K14" i="35"/>
  <c r="M14" i="35" s="1"/>
  <c r="P86" i="35"/>
  <c r="H83" i="35"/>
  <c r="P76" i="35"/>
  <c r="H82" i="35"/>
  <c r="P75" i="35"/>
  <c r="P87" i="35"/>
  <c r="H84" i="35"/>
  <c r="H214" i="35"/>
  <c r="P217" i="35"/>
  <c r="P216" i="35"/>
  <c r="H212" i="35"/>
  <c r="P205" i="35"/>
  <c r="H213" i="35"/>
  <c r="P206" i="35"/>
  <c r="K240" i="35"/>
  <c r="M240" i="35" s="1"/>
  <c r="K305" i="35"/>
  <c r="M305" i="35" s="1"/>
  <c r="K273" i="35"/>
  <c r="M273" i="35" s="1"/>
  <c r="K142" i="35"/>
  <c r="M142" i="35" s="1"/>
  <c r="P249" i="35"/>
  <c r="H246" i="35"/>
  <c r="P248" i="35"/>
  <c r="H244" i="35"/>
  <c r="P237" i="35"/>
  <c r="H245" i="35"/>
  <c r="P238" i="35"/>
  <c r="K269" i="35"/>
  <c r="M269" i="35" s="1"/>
  <c r="K304" i="35"/>
  <c r="M304" i="35" s="1"/>
  <c r="K75" i="35"/>
  <c r="M75" i="35" s="1"/>
  <c r="K302" i="35"/>
  <c r="M302" i="35" s="1"/>
  <c r="K270" i="35"/>
  <c r="M270" i="35" s="1"/>
  <c r="K301" i="35"/>
  <c r="M301" i="35" s="1"/>
  <c r="P150" i="35"/>
  <c r="H146" i="35"/>
  <c r="H147" i="35"/>
  <c r="P140" i="35"/>
  <c r="P139" i="35"/>
  <c r="P151" i="35"/>
  <c r="H148" i="35"/>
  <c r="K238" i="35"/>
  <c r="M238" i="35" s="1"/>
  <c r="K77" i="35"/>
  <c r="M77" i="35" s="1"/>
  <c r="K47" i="35"/>
  <c r="M47" i="35" s="1"/>
  <c r="K143" i="35"/>
  <c r="M143" i="35" s="1"/>
  <c r="K13" i="35"/>
  <c r="M13" i="35" s="1"/>
  <c r="K108" i="35"/>
  <c r="M108" i="35" s="1"/>
  <c r="K176" i="35"/>
  <c r="M176" i="35" s="1"/>
  <c r="K79" i="35"/>
  <c r="M79" i="35" s="1"/>
  <c r="H214" i="34"/>
  <c r="P217" i="34"/>
  <c r="P216" i="34"/>
  <c r="H212" i="34"/>
  <c r="P205" i="34"/>
  <c r="H213" i="34"/>
  <c r="P206" i="34"/>
  <c r="K79" i="34"/>
  <c r="M79" i="34" s="1"/>
  <c r="K302" i="34"/>
  <c r="M302" i="34" s="1"/>
  <c r="K76" i="34"/>
  <c r="M76" i="34" s="1"/>
  <c r="K77" i="34"/>
  <c r="M77" i="34" s="1"/>
  <c r="K305" i="34"/>
  <c r="M305" i="34" s="1"/>
  <c r="K43" i="34"/>
  <c r="M43" i="34" s="1"/>
  <c r="K140" i="34"/>
  <c r="M140" i="34" s="1"/>
  <c r="K238" i="34"/>
  <c r="M238" i="34" s="1"/>
  <c r="K208" i="34"/>
  <c r="M208" i="34" s="1"/>
  <c r="K177" i="34"/>
  <c r="M177" i="34" s="1"/>
  <c r="K47" i="34"/>
  <c r="M47" i="34" s="1"/>
  <c r="H115" i="34"/>
  <c r="P108" i="34"/>
  <c r="P119" i="34"/>
  <c r="P118" i="34"/>
  <c r="H116" i="34"/>
  <c r="H114" i="34"/>
  <c r="P107" i="34"/>
  <c r="H181" i="34"/>
  <c r="P174" i="34"/>
  <c r="P185" i="34"/>
  <c r="P184" i="34"/>
  <c r="H182" i="34"/>
  <c r="H180" i="34"/>
  <c r="P173" i="34"/>
  <c r="K109" i="34"/>
  <c r="M109" i="34" s="1"/>
  <c r="K45" i="34"/>
  <c r="M45" i="34" s="1"/>
  <c r="K209" i="34"/>
  <c r="M209" i="34" s="1"/>
  <c r="K15" i="34"/>
  <c r="M15" i="34" s="1"/>
  <c r="K270" i="34"/>
  <c r="M270" i="34" s="1"/>
  <c r="K174" i="34"/>
  <c r="M174" i="34" s="1"/>
  <c r="K44" i="34"/>
  <c r="M44" i="34" s="1"/>
  <c r="P86" i="34"/>
  <c r="H82" i="34"/>
  <c r="P75" i="34"/>
  <c r="H83" i="34"/>
  <c r="P76" i="34"/>
  <c r="P87" i="34"/>
  <c r="H84" i="34"/>
  <c r="K142" i="34"/>
  <c r="M142" i="34" s="1"/>
  <c r="K78" i="34"/>
  <c r="M78" i="34" s="1"/>
  <c r="K173" i="34"/>
  <c r="M173" i="34" s="1"/>
  <c r="K273" i="34"/>
  <c r="M273" i="34" s="1"/>
  <c r="K107" i="34"/>
  <c r="M107" i="34" s="1"/>
  <c r="K207" i="34"/>
  <c r="M207" i="34" s="1"/>
  <c r="K75" i="34"/>
  <c r="M75" i="34" s="1"/>
  <c r="K13" i="34"/>
  <c r="M13" i="34" s="1"/>
  <c r="K206" i="34"/>
  <c r="M206" i="34" s="1"/>
  <c r="K12" i="34"/>
  <c r="M12" i="34" s="1"/>
  <c r="K111" i="34"/>
  <c r="M111" i="34" s="1"/>
  <c r="H20" i="34"/>
  <c r="H18" i="34"/>
  <c r="P11" i="34"/>
  <c r="H19" i="34"/>
  <c r="P12" i="34"/>
  <c r="P22" i="34"/>
  <c r="P23" i="34"/>
  <c r="K269" i="34"/>
  <c r="M269" i="34" s="1"/>
  <c r="K239" i="34"/>
  <c r="M239" i="34" s="1"/>
  <c r="K301" i="34"/>
  <c r="M301" i="34" s="1"/>
  <c r="K272" i="34"/>
  <c r="M272" i="34" s="1"/>
  <c r="K176" i="34"/>
  <c r="M176" i="34" s="1"/>
  <c r="K304" i="34"/>
  <c r="M304" i="34" s="1"/>
  <c r="K237" i="34"/>
  <c r="M237" i="34" s="1"/>
  <c r="K271" i="34"/>
  <c r="M271" i="34" s="1"/>
  <c r="K110" i="34"/>
  <c r="M110" i="34" s="1"/>
  <c r="K46" i="34"/>
  <c r="M46" i="34" s="1"/>
  <c r="K303" i="34"/>
  <c r="M303" i="34" s="1"/>
  <c r="K240" i="34"/>
  <c r="M240" i="34" s="1"/>
  <c r="P55" i="34"/>
  <c r="H50" i="34"/>
  <c r="H51" i="34"/>
  <c r="P44" i="34"/>
  <c r="P54" i="34"/>
  <c r="H52" i="34"/>
  <c r="P43" i="34"/>
  <c r="P150" i="34"/>
  <c r="P139" i="34"/>
  <c r="H147" i="34"/>
  <c r="P140" i="34"/>
  <c r="H146" i="34"/>
  <c r="P151" i="34"/>
  <c r="H148" i="34"/>
  <c r="K175" i="34"/>
  <c r="M175" i="34" s="1"/>
  <c r="K139" i="34"/>
  <c r="M139" i="34" s="1"/>
  <c r="K11" i="34"/>
  <c r="M11" i="34" s="1"/>
  <c r="K14" i="34"/>
  <c r="M14" i="34" s="1"/>
  <c r="K143" i="34"/>
  <c r="M143" i="34" s="1"/>
  <c r="K141" i="34"/>
  <c r="M141" i="34" s="1"/>
  <c r="K108" i="34"/>
  <c r="M108" i="34" s="1"/>
  <c r="K174" i="33"/>
  <c r="M174" i="33" s="1"/>
  <c r="K44" i="33"/>
  <c r="M44" i="33" s="1"/>
  <c r="K208" i="33"/>
  <c r="M208" i="33" s="1"/>
  <c r="K78" i="33"/>
  <c r="M78" i="33" s="1"/>
  <c r="K77" i="33"/>
  <c r="M77" i="33" s="1"/>
  <c r="K205" i="33"/>
  <c r="M205" i="33" s="1"/>
  <c r="K206" i="33"/>
  <c r="M206" i="33" s="1"/>
  <c r="K209" i="33"/>
  <c r="M209" i="33" s="1"/>
  <c r="K75" i="33"/>
  <c r="M75" i="33" s="1"/>
  <c r="K239" i="33"/>
  <c r="M239" i="33" s="1"/>
  <c r="K238" i="33"/>
  <c r="M238" i="33" s="1"/>
  <c r="K240" i="33"/>
  <c r="M240" i="33" s="1"/>
  <c r="K173" i="33"/>
  <c r="M173" i="33" s="1"/>
  <c r="K176" i="33"/>
  <c r="M176" i="33" s="1"/>
  <c r="K45" i="33"/>
  <c r="M45" i="33" s="1"/>
  <c r="K46" i="33"/>
  <c r="M46" i="33" s="1"/>
  <c r="K43" i="33"/>
  <c r="M43" i="33" s="1"/>
  <c r="I272" i="33"/>
  <c r="J272" i="33" s="1"/>
  <c r="K272" i="33" s="1"/>
  <c r="M272" i="33" s="1"/>
  <c r="B289" i="33"/>
  <c r="I270" i="33" s="1"/>
  <c r="J270" i="33" s="1"/>
  <c r="K270" i="33" s="1"/>
  <c r="M270" i="33" s="1"/>
  <c r="I241" i="33"/>
  <c r="J241" i="33" s="1"/>
  <c r="K241" i="33" s="1"/>
  <c r="M241" i="33" s="1"/>
  <c r="I271" i="33"/>
  <c r="J271" i="33" s="1"/>
  <c r="K271" i="33" s="1"/>
  <c r="M271" i="33" s="1"/>
  <c r="B127" i="33"/>
  <c r="I108" i="33" s="1"/>
  <c r="J108" i="33" s="1"/>
  <c r="K108" i="33" s="1"/>
  <c r="M108" i="33" s="1"/>
  <c r="I109" i="33"/>
  <c r="J109" i="33" s="1"/>
  <c r="K109" i="33" s="1"/>
  <c r="M109" i="33" s="1"/>
  <c r="D126" i="33"/>
  <c r="I107" i="33" s="1"/>
  <c r="J107" i="33" s="1"/>
  <c r="K107" i="33" s="1"/>
  <c r="M107" i="33" s="1"/>
  <c r="P217" i="33"/>
  <c r="P216" i="33"/>
  <c r="H212" i="33"/>
  <c r="P205" i="33"/>
  <c r="H213" i="33"/>
  <c r="P206" i="33"/>
  <c r="H214" i="33"/>
  <c r="I275" i="33"/>
  <c r="D257" i="33"/>
  <c r="I242" i="33" s="1"/>
  <c r="J242" i="33" s="1"/>
  <c r="P185" i="33"/>
  <c r="P184" i="33"/>
  <c r="H180" i="33"/>
  <c r="P173" i="33"/>
  <c r="H181" i="33"/>
  <c r="P174" i="33"/>
  <c r="H182" i="33"/>
  <c r="E155" i="33"/>
  <c r="B157" i="33" s="1"/>
  <c r="I142" i="33" s="1"/>
  <c r="J142" i="33" s="1"/>
  <c r="K142" i="33" s="1"/>
  <c r="M142" i="33" s="1"/>
  <c r="F137" i="33"/>
  <c r="B156" i="33"/>
  <c r="I79" i="33"/>
  <c r="J79" i="33" s="1"/>
  <c r="K79" i="33" s="1"/>
  <c r="M79" i="33" s="1"/>
  <c r="J76" i="33"/>
  <c r="K76" i="33" s="1"/>
  <c r="M76" i="33" s="1"/>
  <c r="Q109" i="33"/>
  <c r="Q113" i="33"/>
  <c r="Q111" i="33"/>
  <c r="Q115" i="33"/>
  <c r="Q116" i="33"/>
  <c r="Q117" i="33"/>
  <c r="Q114" i="33"/>
  <c r="I81" i="33"/>
  <c r="D95" i="33"/>
  <c r="I80" i="33" s="1"/>
  <c r="J80" i="33" s="1"/>
  <c r="I113" i="33"/>
  <c r="Q110" i="33"/>
  <c r="Q112" i="33"/>
  <c r="Q106" i="33"/>
  <c r="D158" i="33" l="1"/>
  <c r="I139" i="33" s="1"/>
  <c r="J139" i="33" s="1"/>
  <c r="K139" i="33" s="1"/>
  <c r="M139" i="33" s="1"/>
  <c r="I111" i="33"/>
  <c r="J111" i="33" s="1"/>
  <c r="K111" i="33" s="1"/>
  <c r="M111" i="33" s="1"/>
  <c r="I273" i="33"/>
  <c r="J273" i="33" s="1"/>
  <c r="K273" i="33" s="1"/>
  <c r="M273" i="33" s="1"/>
  <c r="D289" i="33"/>
  <c r="I274" i="33" s="1"/>
  <c r="J274" i="33" s="1"/>
  <c r="P280" i="33" s="1"/>
  <c r="D127" i="33"/>
  <c r="I112" i="33" s="1"/>
  <c r="J112" i="33" s="1"/>
  <c r="P108" i="33" s="1"/>
  <c r="P248" i="33"/>
  <c r="P238" i="33"/>
  <c r="P237" i="33"/>
  <c r="H246" i="33"/>
  <c r="H245" i="33"/>
  <c r="H244" i="33"/>
  <c r="P249" i="33"/>
  <c r="P137" i="33"/>
  <c r="P141" i="33"/>
  <c r="B158" i="33"/>
  <c r="I141" i="33"/>
  <c r="J141" i="33" s="1"/>
  <c r="K141" i="33" s="1"/>
  <c r="M141" i="33" s="1"/>
  <c r="B159" i="33"/>
  <c r="I140" i="33" s="1"/>
  <c r="P86" i="33"/>
  <c r="P87" i="33"/>
  <c r="P75" i="33"/>
  <c r="P76" i="33"/>
  <c r="H84" i="33"/>
  <c r="H83" i="33"/>
  <c r="H82" i="33"/>
  <c r="Q137" i="33" l="1"/>
  <c r="Q138" i="33"/>
  <c r="Q141" i="33"/>
  <c r="Q147" i="33"/>
  <c r="Q145" i="33"/>
  <c r="Q146" i="33"/>
  <c r="Q149" i="33"/>
  <c r="Q143" i="33"/>
  <c r="Q148" i="33"/>
  <c r="Q142" i="33"/>
  <c r="Q144" i="33"/>
  <c r="P107" i="33"/>
  <c r="H114" i="33"/>
  <c r="H115" i="33"/>
  <c r="P118" i="33"/>
  <c r="H276" i="33"/>
  <c r="H116" i="33"/>
  <c r="P119" i="33"/>
  <c r="H278" i="33"/>
  <c r="P281" i="33"/>
  <c r="P270" i="33"/>
  <c r="P269" i="33"/>
  <c r="H277" i="33"/>
  <c r="J140" i="33"/>
  <c r="K140" i="33" s="1"/>
  <c r="M140" i="33" s="1"/>
  <c r="I143" i="33"/>
  <c r="J143" i="33" s="1"/>
  <c r="K143" i="33" s="1"/>
  <c r="M143" i="33" s="1"/>
  <c r="D159" i="33"/>
  <c r="I144" i="33" s="1"/>
  <c r="J144" i="33" s="1"/>
  <c r="I145" i="33"/>
  <c r="P140" i="33" l="1"/>
  <c r="H146" i="33"/>
  <c r="P150" i="33"/>
  <c r="H147" i="33"/>
  <c r="H148" i="33"/>
  <c r="P139" i="33"/>
  <c r="P151" i="33"/>
  <c r="F10" i="15" l="1"/>
  <c r="F11" i="15"/>
  <c r="F9" i="15"/>
  <c r="F6" i="15"/>
  <c r="F7" i="15"/>
  <c r="F5" i="15"/>
  <c r="F4" i="15"/>
  <c r="O9" i="15"/>
  <c r="O10" i="15"/>
  <c r="O11" i="15"/>
  <c r="O8" i="15"/>
  <c r="Q11" i="15"/>
  <c r="S11" i="15" s="1"/>
  <c r="K11" i="15"/>
  <c r="Q10" i="15"/>
  <c r="S10" i="15" s="1"/>
  <c r="K10" i="15"/>
  <c r="Q9" i="15"/>
  <c r="S9" i="15" s="1"/>
  <c r="K9" i="15"/>
  <c r="S8" i="15"/>
  <c r="Q8" i="15"/>
  <c r="K8" i="15"/>
  <c r="Q7" i="15"/>
  <c r="S7" i="15" s="1"/>
  <c r="K7" i="15"/>
  <c r="O7" i="15"/>
  <c r="Q6" i="15"/>
  <c r="S6" i="15" s="1"/>
  <c r="K6" i="15"/>
  <c r="Q5" i="15"/>
  <c r="S5" i="15" s="1"/>
  <c r="K5" i="15"/>
  <c r="Q4" i="15"/>
  <c r="S4" i="15" s="1"/>
  <c r="K4" i="15"/>
  <c r="O6" i="15" l="1"/>
  <c r="O5" i="15"/>
  <c r="T5" i="15" s="1"/>
  <c r="O4" i="15"/>
  <c r="T4" i="15" s="1"/>
  <c r="T9" i="15"/>
  <c r="U9" i="15"/>
  <c r="T7" i="15"/>
  <c r="T10" i="15"/>
  <c r="T11" i="15"/>
  <c r="U5" i="15"/>
  <c r="T6" i="15"/>
  <c r="U6" i="15"/>
  <c r="U8" i="15"/>
  <c r="T8" i="15"/>
  <c r="U10" i="15"/>
  <c r="U7" i="15"/>
  <c r="U11" i="15"/>
  <c r="D277" i="12"/>
  <c r="D278" i="12"/>
  <c r="D279" i="12"/>
  <c r="D280" i="12"/>
  <c r="D281" i="12"/>
  <c r="D282" i="12"/>
  <c r="D283" i="12"/>
  <c r="D276" i="12"/>
  <c r="C277" i="12"/>
  <c r="C278" i="12"/>
  <c r="C279" i="12"/>
  <c r="C280" i="12"/>
  <c r="C281" i="12"/>
  <c r="C282" i="12"/>
  <c r="C283" i="12"/>
  <c r="C276" i="12"/>
  <c r="B277" i="12"/>
  <c r="E277" i="12" s="1"/>
  <c r="F277" i="12" s="1"/>
  <c r="B278" i="12"/>
  <c r="B279" i="12"/>
  <c r="E279" i="12" s="1"/>
  <c r="F279" i="12" s="1"/>
  <c r="E280" i="12"/>
  <c r="F280" i="12" s="1"/>
  <c r="B281" i="12"/>
  <c r="E281" i="12" s="1"/>
  <c r="F281" i="12" s="1"/>
  <c r="B282" i="12"/>
  <c r="E282" i="12" s="1"/>
  <c r="F282" i="12" s="1"/>
  <c r="B283" i="12"/>
  <c r="E283" i="12" s="1"/>
  <c r="F283" i="12" s="1"/>
  <c r="B276" i="12"/>
  <c r="L284" i="12"/>
  <c r="L282" i="12"/>
  <c r="L281" i="12"/>
  <c r="L280" i="12"/>
  <c r="L279" i="12"/>
  <c r="L278" i="12"/>
  <c r="D181" i="12"/>
  <c r="D182" i="12"/>
  <c r="D183" i="12"/>
  <c r="D184" i="12"/>
  <c r="D185" i="12"/>
  <c r="D186" i="12"/>
  <c r="D187" i="12"/>
  <c r="D180" i="12"/>
  <c r="C181" i="12"/>
  <c r="C182" i="12"/>
  <c r="C183" i="12"/>
  <c r="C184" i="12"/>
  <c r="C185" i="12"/>
  <c r="C186" i="12"/>
  <c r="C187" i="12"/>
  <c r="C180" i="12"/>
  <c r="B181" i="12"/>
  <c r="E181" i="12" s="1"/>
  <c r="F181" i="12" s="1"/>
  <c r="B182" i="12"/>
  <c r="E182" i="12" s="1"/>
  <c r="F182" i="12" s="1"/>
  <c r="B183" i="12"/>
  <c r="E183" i="12" s="1"/>
  <c r="F183" i="12" s="1"/>
  <c r="E184" i="12"/>
  <c r="F184" i="12" s="1"/>
  <c r="B185" i="12"/>
  <c r="E185" i="12" s="1"/>
  <c r="F185" i="12" s="1"/>
  <c r="B186" i="12"/>
  <c r="E186" i="12" s="1"/>
  <c r="F186" i="12" s="1"/>
  <c r="B187" i="12"/>
  <c r="E187" i="12" s="1"/>
  <c r="F187" i="12" s="1"/>
  <c r="B180" i="12"/>
  <c r="L188" i="12"/>
  <c r="L186" i="12"/>
  <c r="L185" i="12"/>
  <c r="L184" i="12"/>
  <c r="L183" i="12"/>
  <c r="L182" i="12"/>
  <c r="D85" i="12"/>
  <c r="D86" i="12"/>
  <c r="D87" i="12"/>
  <c r="D88" i="12"/>
  <c r="D89" i="12"/>
  <c r="D90" i="12"/>
  <c r="D91" i="12"/>
  <c r="D84" i="12"/>
  <c r="C85" i="12"/>
  <c r="C86" i="12"/>
  <c r="C87" i="12"/>
  <c r="C88" i="12"/>
  <c r="C89" i="12"/>
  <c r="C90" i="12"/>
  <c r="C91" i="12"/>
  <c r="C84" i="12"/>
  <c r="B85" i="12"/>
  <c r="B86" i="12"/>
  <c r="E86" i="12" s="1"/>
  <c r="F86" i="12" s="1"/>
  <c r="B87" i="12"/>
  <c r="E87" i="12" s="1"/>
  <c r="F87" i="12" s="1"/>
  <c r="B89" i="12"/>
  <c r="B90" i="12"/>
  <c r="B91" i="12"/>
  <c r="B84" i="12"/>
  <c r="L92" i="12"/>
  <c r="L90" i="12"/>
  <c r="L89" i="12"/>
  <c r="L88" i="12"/>
  <c r="L87" i="12"/>
  <c r="L86" i="12"/>
  <c r="U4" i="15" l="1"/>
  <c r="E91" i="12"/>
  <c r="F91" i="12" s="1"/>
  <c r="O91" i="12" s="1"/>
  <c r="O283" i="12"/>
  <c r="E278" i="12"/>
  <c r="F278" i="12" s="1"/>
  <c r="O282" i="12" s="1"/>
  <c r="D92" i="12"/>
  <c r="D93" i="12" s="1"/>
  <c r="C284" i="12"/>
  <c r="C285" i="12" s="1"/>
  <c r="D284" i="12"/>
  <c r="D285" i="12" s="1"/>
  <c r="E88" i="12"/>
  <c r="F88" i="12" s="1"/>
  <c r="E89" i="12"/>
  <c r="F89" i="12" s="1"/>
  <c r="E85" i="12"/>
  <c r="F85" i="12" s="1"/>
  <c r="C188" i="12"/>
  <c r="C189" i="12" s="1"/>
  <c r="E90" i="12"/>
  <c r="F90" i="12" s="1"/>
  <c r="O90" i="12" s="1"/>
  <c r="E276" i="12"/>
  <c r="F276" i="12" s="1"/>
  <c r="B284" i="12"/>
  <c r="B285" i="12" s="1"/>
  <c r="F284" i="12"/>
  <c r="O281" i="12"/>
  <c r="O277" i="12"/>
  <c r="O187" i="12"/>
  <c r="F188" i="12"/>
  <c r="D188" i="12"/>
  <c r="D189" i="12" s="1"/>
  <c r="O186" i="12"/>
  <c r="O181" i="12"/>
  <c r="B188" i="12"/>
  <c r="B189" i="12" s="1"/>
  <c r="E180" i="12"/>
  <c r="F180" i="12" s="1"/>
  <c r="O184" i="12" s="1"/>
  <c r="O185" i="12"/>
  <c r="C92" i="12"/>
  <c r="C93" i="12" s="1"/>
  <c r="F92" i="12"/>
  <c r="B92" i="12"/>
  <c r="B93" i="12" s="1"/>
  <c r="E84" i="12"/>
  <c r="F84" i="12" s="1"/>
  <c r="O89" i="12" l="1"/>
  <c r="O84" i="12"/>
  <c r="O276" i="12"/>
  <c r="O85" i="12"/>
  <c r="E188" i="12"/>
  <c r="B190" i="12" s="1"/>
  <c r="B191" i="12" s="1"/>
  <c r="I188" i="12" s="1"/>
  <c r="O280" i="12"/>
  <c r="E284" i="12"/>
  <c r="B286" i="12" s="1"/>
  <c r="B287" i="12" s="1"/>
  <c r="I284" i="12" s="1"/>
  <c r="O180" i="12"/>
  <c r="O88" i="12"/>
  <c r="E92" i="12"/>
  <c r="B94" i="12" s="1"/>
  <c r="B95" i="12" s="1"/>
  <c r="I92" i="12" s="1"/>
  <c r="I184" i="12" l="1"/>
  <c r="J184" i="12" s="1"/>
  <c r="D191" i="12"/>
  <c r="I182" i="12" s="1"/>
  <c r="J182" i="12" s="1"/>
  <c r="B192" i="12"/>
  <c r="I183" i="12" s="1"/>
  <c r="J183" i="12" s="1"/>
  <c r="I185" i="12"/>
  <c r="J185" i="12" s="1"/>
  <c r="I281" i="12"/>
  <c r="J281" i="12" s="1"/>
  <c r="D287" i="12"/>
  <c r="I278" i="12" s="1"/>
  <c r="J278" i="12" s="1"/>
  <c r="I280" i="12"/>
  <c r="J280" i="12" s="1"/>
  <c r="B288" i="12"/>
  <c r="I279" i="12" s="1"/>
  <c r="J279" i="12" s="1"/>
  <c r="I88" i="12"/>
  <c r="J88" i="12" s="1"/>
  <c r="D95" i="12"/>
  <c r="I86" i="12" s="1"/>
  <c r="J86" i="12" s="1"/>
  <c r="B96" i="12"/>
  <c r="I87" i="12" s="1"/>
  <c r="I89" i="12"/>
  <c r="J89" i="12" s="1"/>
  <c r="D192" i="12" l="1"/>
  <c r="I187" i="12" s="1"/>
  <c r="J187" i="12" s="1"/>
  <c r="K185" i="12" s="1"/>
  <c r="M185" i="12" s="1"/>
  <c r="I186" i="12"/>
  <c r="J186" i="12" s="1"/>
  <c r="I282" i="12"/>
  <c r="J282" i="12" s="1"/>
  <c r="D288" i="12"/>
  <c r="I283" i="12" s="1"/>
  <c r="J283" i="12" s="1"/>
  <c r="K280" i="12" s="1"/>
  <c r="M280" i="12" s="1"/>
  <c r="I90" i="12"/>
  <c r="J90" i="12" s="1"/>
  <c r="D96" i="12"/>
  <c r="I91" i="12" s="1"/>
  <c r="J91" i="12" s="1"/>
  <c r="K89" i="12" s="1"/>
  <c r="M89" i="12" s="1"/>
  <c r="J87" i="12"/>
  <c r="O189" i="12" l="1"/>
  <c r="H190" i="12"/>
  <c r="H286" i="12"/>
  <c r="K282" i="12"/>
  <c r="M282" i="12" s="1"/>
  <c r="H189" i="12"/>
  <c r="O188" i="12"/>
  <c r="O183" i="12"/>
  <c r="K183" i="12"/>
  <c r="M183" i="12" s="1"/>
  <c r="H191" i="12"/>
  <c r="K186" i="12"/>
  <c r="M186" i="12" s="1"/>
  <c r="K184" i="12"/>
  <c r="M184" i="12" s="1"/>
  <c r="O182" i="12"/>
  <c r="K182" i="12"/>
  <c r="M182" i="12" s="1"/>
  <c r="H285" i="12"/>
  <c r="K281" i="12"/>
  <c r="M281" i="12" s="1"/>
  <c r="O285" i="12"/>
  <c r="H287" i="12"/>
  <c r="O284" i="12"/>
  <c r="O279" i="12"/>
  <c r="K278" i="12"/>
  <c r="M278" i="12" s="1"/>
  <c r="O278" i="12"/>
  <c r="K279" i="12"/>
  <c r="M279" i="12" s="1"/>
  <c r="K87" i="12"/>
  <c r="M87" i="12" s="1"/>
  <c r="H94" i="12"/>
  <c r="O93" i="12"/>
  <c r="K88" i="12"/>
  <c r="M88" i="12" s="1"/>
  <c r="K86" i="12"/>
  <c r="M86" i="12" s="1"/>
  <c r="H93" i="12"/>
  <c r="H95" i="12"/>
  <c r="K90" i="12"/>
  <c r="M90" i="12" s="1"/>
  <c r="O86" i="12"/>
  <c r="O92" i="12"/>
  <c r="O87" i="12"/>
  <c r="L268" i="12" l="1"/>
  <c r="F268" i="12"/>
  <c r="D268" i="12"/>
  <c r="D269" i="12" s="1"/>
  <c r="C268" i="12"/>
  <c r="C269" i="12" s="1"/>
  <c r="B268" i="12"/>
  <c r="E267" i="12"/>
  <c r="F267" i="12" s="1"/>
  <c r="L266" i="12"/>
  <c r="E266" i="12"/>
  <c r="F266" i="12" s="1"/>
  <c r="L265" i="12"/>
  <c r="E265" i="12"/>
  <c r="F265" i="12" s="1"/>
  <c r="L264" i="12"/>
  <c r="E264" i="12"/>
  <c r="F264" i="12" s="1"/>
  <c r="L263" i="12"/>
  <c r="E263" i="12"/>
  <c r="F263" i="12" s="1"/>
  <c r="L262" i="12"/>
  <c r="E262" i="12"/>
  <c r="F262" i="12" s="1"/>
  <c r="E261" i="12"/>
  <c r="F261" i="12" s="1"/>
  <c r="E260" i="12"/>
  <c r="F260" i="12" s="1"/>
  <c r="L252" i="12"/>
  <c r="F252" i="12"/>
  <c r="D252" i="12"/>
  <c r="D253" i="12" s="1"/>
  <c r="C252" i="12"/>
  <c r="C253" i="12" s="1"/>
  <c r="B252" i="12"/>
  <c r="E251" i="12"/>
  <c r="F251" i="12" s="1"/>
  <c r="L250" i="12"/>
  <c r="E250" i="12"/>
  <c r="F250" i="12" s="1"/>
  <c r="L249" i="12"/>
  <c r="E249" i="12"/>
  <c r="F249" i="12" s="1"/>
  <c r="L248" i="12"/>
  <c r="E248" i="12"/>
  <c r="F248" i="12" s="1"/>
  <c r="L247" i="12"/>
  <c r="E247" i="12"/>
  <c r="F247" i="12" s="1"/>
  <c r="O251" i="12" s="1"/>
  <c r="L246" i="12"/>
  <c r="E246" i="12"/>
  <c r="F246" i="12" s="1"/>
  <c r="O250" i="12" s="1"/>
  <c r="E245" i="12"/>
  <c r="E244" i="12"/>
  <c r="L236" i="12"/>
  <c r="F236" i="12"/>
  <c r="D236" i="12"/>
  <c r="D237" i="12" s="1"/>
  <c r="C236" i="12"/>
  <c r="C237" i="12" s="1"/>
  <c r="B236" i="12"/>
  <c r="E235" i="12"/>
  <c r="F235" i="12" s="1"/>
  <c r="L234" i="12"/>
  <c r="E234" i="12"/>
  <c r="F234" i="12" s="1"/>
  <c r="L233" i="12"/>
  <c r="E233" i="12"/>
  <c r="F233" i="12" s="1"/>
  <c r="L232" i="12"/>
  <c r="E232" i="12"/>
  <c r="F232" i="12" s="1"/>
  <c r="L231" i="12"/>
  <c r="E231" i="12"/>
  <c r="F231" i="12" s="1"/>
  <c r="O235" i="12" s="1"/>
  <c r="L230" i="12"/>
  <c r="E230" i="12"/>
  <c r="F230" i="12" s="1"/>
  <c r="O234" i="12" s="1"/>
  <c r="E229" i="12"/>
  <c r="E228" i="12"/>
  <c r="F228" i="12" s="1"/>
  <c r="L220" i="12"/>
  <c r="F220" i="12"/>
  <c r="D220" i="12"/>
  <c r="D221" i="12" s="1"/>
  <c r="C220" i="12"/>
  <c r="C221" i="12" s="1"/>
  <c r="B220" i="12"/>
  <c r="E219" i="12"/>
  <c r="F219" i="12" s="1"/>
  <c r="L218" i="12"/>
  <c r="E218" i="12"/>
  <c r="F218" i="12" s="1"/>
  <c r="L217" i="12"/>
  <c r="E217" i="12"/>
  <c r="F217" i="12" s="1"/>
  <c r="L216" i="12"/>
  <c r="E216" i="12"/>
  <c r="F216" i="12" s="1"/>
  <c r="L215" i="12"/>
  <c r="E215" i="12"/>
  <c r="F215" i="12" s="1"/>
  <c r="O219" i="12" s="1"/>
  <c r="L214" i="12"/>
  <c r="E214" i="12"/>
  <c r="E213" i="12"/>
  <c r="F213" i="12" s="1"/>
  <c r="E212" i="12"/>
  <c r="F212" i="12" s="1"/>
  <c r="L204" i="12"/>
  <c r="F204" i="12"/>
  <c r="D204" i="12"/>
  <c r="D205" i="12" s="1"/>
  <c r="C204" i="12"/>
  <c r="C205" i="12" s="1"/>
  <c r="B204" i="12"/>
  <c r="E203" i="12"/>
  <c r="F203" i="12" s="1"/>
  <c r="L202" i="12"/>
  <c r="E202" i="12"/>
  <c r="F202" i="12" s="1"/>
  <c r="L201" i="12"/>
  <c r="E201" i="12"/>
  <c r="F201" i="12" s="1"/>
  <c r="L200" i="12"/>
  <c r="E200" i="12"/>
  <c r="F200" i="12" s="1"/>
  <c r="L199" i="12"/>
  <c r="E199" i="12"/>
  <c r="F199" i="12" s="1"/>
  <c r="L198" i="12"/>
  <c r="E198" i="12"/>
  <c r="F198" i="12" s="1"/>
  <c r="E197" i="12"/>
  <c r="F197" i="12" s="1"/>
  <c r="E196" i="12"/>
  <c r="F196" i="12" s="1"/>
  <c r="L172" i="12"/>
  <c r="F172" i="12"/>
  <c r="D172" i="12"/>
  <c r="D173" i="12" s="1"/>
  <c r="C172" i="12"/>
  <c r="C173" i="12" s="1"/>
  <c r="B172" i="12"/>
  <c r="E171" i="12"/>
  <c r="F171" i="12" s="1"/>
  <c r="L170" i="12"/>
  <c r="E170" i="12"/>
  <c r="F170" i="12" s="1"/>
  <c r="L169" i="12"/>
  <c r="E169" i="12"/>
  <c r="F169" i="12" s="1"/>
  <c r="L168" i="12"/>
  <c r="E168" i="12"/>
  <c r="F168" i="12" s="1"/>
  <c r="L167" i="12"/>
  <c r="E167" i="12"/>
  <c r="F167" i="12" s="1"/>
  <c r="O171" i="12" s="1"/>
  <c r="L166" i="12"/>
  <c r="E166" i="12"/>
  <c r="E165" i="12"/>
  <c r="F165" i="12" s="1"/>
  <c r="E164" i="12"/>
  <c r="F164" i="12" s="1"/>
  <c r="L156" i="12"/>
  <c r="F156" i="12"/>
  <c r="D156" i="12"/>
  <c r="D157" i="12" s="1"/>
  <c r="C156" i="12"/>
  <c r="C157" i="12" s="1"/>
  <c r="B156" i="12"/>
  <c r="E155" i="12"/>
  <c r="F155" i="12" s="1"/>
  <c r="L154" i="12"/>
  <c r="E154" i="12"/>
  <c r="F154" i="12" s="1"/>
  <c r="L153" i="12"/>
  <c r="E153" i="12"/>
  <c r="F153" i="12" s="1"/>
  <c r="L152" i="12"/>
  <c r="E152" i="12"/>
  <c r="F152" i="12" s="1"/>
  <c r="L151" i="12"/>
  <c r="E151" i="12"/>
  <c r="F151" i="12" s="1"/>
  <c r="O155" i="12" s="1"/>
  <c r="L150" i="12"/>
  <c r="E150" i="12"/>
  <c r="F150" i="12" s="1"/>
  <c r="E149" i="12"/>
  <c r="E148" i="12"/>
  <c r="F148" i="12" s="1"/>
  <c r="L140" i="12"/>
  <c r="F140" i="12"/>
  <c r="D140" i="12"/>
  <c r="D141" i="12" s="1"/>
  <c r="C140" i="12"/>
  <c r="C141" i="12" s="1"/>
  <c r="B140" i="12"/>
  <c r="E139" i="12"/>
  <c r="F139" i="12" s="1"/>
  <c r="L138" i="12"/>
  <c r="E138" i="12"/>
  <c r="F138" i="12" s="1"/>
  <c r="L137" i="12"/>
  <c r="E137" i="12"/>
  <c r="F137" i="12" s="1"/>
  <c r="L136" i="12"/>
  <c r="E136" i="12"/>
  <c r="F136" i="12" s="1"/>
  <c r="L135" i="12"/>
  <c r="E135" i="12"/>
  <c r="F135" i="12" s="1"/>
  <c r="O139" i="12" s="1"/>
  <c r="L134" i="12"/>
  <c r="E134" i="12"/>
  <c r="F134" i="12" s="1"/>
  <c r="O138" i="12" s="1"/>
  <c r="E133" i="12"/>
  <c r="F133" i="12" s="1"/>
  <c r="E132" i="12"/>
  <c r="L124" i="12"/>
  <c r="F124" i="12"/>
  <c r="D124" i="12"/>
  <c r="D125" i="12" s="1"/>
  <c r="C124" i="12"/>
  <c r="C125" i="12" s="1"/>
  <c r="B124" i="12"/>
  <c r="E123" i="12"/>
  <c r="F123" i="12" s="1"/>
  <c r="L122" i="12"/>
  <c r="E122" i="12"/>
  <c r="F122" i="12" s="1"/>
  <c r="L121" i="12"/>
  <c r="E121" i="12"/>
  <c r="F121" i="12" s="1"/>
  <c r="L120" i="12"/>
  <c r="E120" i="12"/>
  <c r="F120" i="12" s="1"/>
  <c r="L119" i="12"/>
  <c r="E119" i="12"/>
  <c r="F119" i="12" s="1"/>
  <c r="L118" i="12"/>
  <c r="E118" i="12"/>
  <c r="F118" i="12" s="1"/>
  <c r="E117" i="12"/>
  <c r="F117" i="12" s="1"/>
  <c r="E116" i="12"/>
  <c r="F116" i="12" s="1"/>
  <c r="L108" i="12"/>
  <c r="F108" i="12"/>
  <c r="D108" i="12"/>
  <c r="D109" i="12" s="1"/>
  <c r="C108" i="12"/>
  <c r="C109" i="12" s="1"/>
  <c r="B108" i="12"/>
  <c r="E107" i="12"/>
  <c r="F107" i="12" s="1"/>
  <c r="L106" i="12"/>
  <c r="E106" i="12"/>
  <c r="F106" i="12" s="1"/>
  <c r="L105" i="12"/>
  <c r="E105" i="12"/>
  <c r="F105" i="12" s="1"/>
  <c r="L104" i="12"/>
  <c r="E104" i="12"/>
  <c r="F104" i="12" s="1"/>
  <c r="L103" i="12"/>
  <c r="E103" i="12"/>
  <c r="F103" i="12" s="1"/>
  <c r="O107" i="12" s="1"/>
  <c r="L102" i="12"/>
  <c r="E102" i="12"/>
  <c r="F102" i="12" s="1"/>
  <c r="O106" i="12" s="1"/>
  <c r="E101" i="12"/>
  <c r="F101" i="12" s="1"/>
  <c r="E100" i="12"/>
  <c r="L76" i="12"/>
  <c r="F76" i="12"/>
  <c r="D76" i="12"/>
  <c r="D77" i="12" s="1"/>
  <c r="C76" i="12"/>
  <c r="C77" i="12" s="1"/>
  <c r="B76" i="12"/>
  <c r="E75" i="12"/>
  <c r="F75" i="12" s="1"/>
  <c r="L74" i="12"/>
  <c r="E74" i="12"/>
  <c r="F74" i="12" s="1"/>
  <c r="L73" i="12"/>
  <c r="E73" i="12"/>
  <c r="F73" i="12" s="1"/>
  <c r="L72" i="12"/>
  <c r="E72" i="12"/>
  <c r="F72" i="12" s="1"/>
  <c r="L71" i="12"/>
  <c r="E71" i="12"/>
  <c r="F71" i="12" s="1"/>
  <c r="O75" i="12" s="1"/>
  <c r="L70" i="12"/>
  <c r="E70" i="12"/>
  <c r="F70" i="12" s="1"/>
  <c r="E69" i="12"/>
  <c r="E68" i="12"/>
  <c r="F68" i="12" s="1"/>
  <c r="L60" i="12"/>
  <c r="F60" i="12"/>
  <c r="D60" i="12"/>
  <c r="D61" i="12" s="1"/>
  <c r="C60" i="12"/>
  <c r="C61" i="12" s="1"/>
  <c r="B60" i="12"/>
  <c r="E59" i="12"/>
  <c r="F59" i="12" s="1"/>
  <c r="L58" i="12"/>
  <c r="E58" i="12"/>
  <c r="F58" i="12" s="1"/>
  <c r="L57" i="12"/>
  <c r="E57" i="12"/>
  <c r="F57" i="12" s="1"/>
  <c r="L56" i="12"/>
  <c r="E56" i="12"/>
  <c r="F56" i="12" s="1"/>
  <c r="L55" i="12"/>
  <c r="E55" i="12"/>
  <c r="F55" i="12" s="1"/>
  <c r="L54" i="12"/>
  <c r="E54" i="12"/>
  <c r="F54" i="12" s="1"/>
  <c r="O58" i="12" s="1"/>
  <c r="E53" i="12"/>
  <c r="F53" i="12" s="1"/>
  <c r="E52" i="12"/>
  <c r="L44" i="12"/>
  <c r="F44" i="12"/>
  <c r="D45" i="12"/>
  <c r="C44" i="12"/>
  <c r="C45" i="12" s="1"/>
  <c r="B44" i="12"/>
  <c r="E43" i="12"/>
  <c r="F43" i="12" s="1"/>
  <c r="L42" i="12"/>
  <c r="E42" i="12"/>
  <c r="F42" i="12" s="1"/>
  <c r="L41" i="12"/>
  <c r="E41" i="12"/>
  <c r="F41" i="12" s="1"/>
  <c r="L40" i="12"/>
  <c r="E40" i="12"/>
  <c r="F40" i="12" s="1"/>
  <c r="L39" i="12"/>
  <c r="E39" i="12"/>
  <c r="F39" i="12" s="1"/>
  <c r="O43" i="12" s="1"/>
  <c r="L38" i="12"/>
  <c r="E38" i="12"/>
  <c r="F38" i="12" s="1"/>
  <c r="E37" i="12"/>
  <c r="F37" i="12" s="1"/>
  <c r="E36" i="12"/>
  <c r="F36" i="12" s="1"/>
  <c r="L28" i="12"/>
  <c r="F28" i="12"/>
  <c r="D28" i="12"/>
  <c r="D29" i="12" s="1"/>
  <c r="C28" i="12"/>
  <c r="C29" i="12" s="1"/>
  <c r="B28" i="12"/>
  <c r="E27" i="12"/>
  <c r="F27" i="12" s="1"/>
  <c r="L26" i="12"/>
  <c r="E26" i="12"/>
  <c r="F26" i="12" s="1"/>
  <c r="L25" i="12"/>
  <c r="E25" i="12"/>
  <c r="F25" i="12" s="1"/>
  <c r="L24" i="12"/>
  <c r="E24" i="12"/>
  <c r="F24" i="12" s="1"/>
  <c r="L23" i="12"/>
  <c r="E23" i="12"/>
  <c r="F23" i="12" s="1"/>
  <c r="O27" i="12" s="1"/>
  <c r="L22" i="12"/>
  <c r="E22" i="12"/>
  <c r="F22" i="12" s="1"/>
  <c r="O26" i="12" s="1"/>
  <c r="E21" i="12"/>
  <c r="F21" i="12" s="1"/>
  <c r="E20" i="12"/>
  <c r="L12" i="12"/>
  <c r="F12" i="12"/>
  <c r="D12" i="12"/>
  <c r="D13" i="12" s="1"/>
  <c r="C12" i="12"/>
  <c r="C13" i="12" s="1"/>
  <c r="B12" i="12"/>
  <c r="E11" i="12"/>
  <c r="F11" i="12" s="1"/>
  <c r="L10" i="12"/>
  <c r="E10" i="12"/>
  <c r="F10" i="12" s="1"/>
  <c r="L9" i="12"/>
  <c r="E9" i="12"/>
  <c r="F9" i="12" s="1"/>
  <c r="L8" i="12"/>
  <c r="E8" i="12"/>
  <c r="F8" i="12" s="1"/>
  <c r="L7" i="12"/>
  <c r="E7" i="12"/>
  <c r="F7" i="12" s="1"/>
  <c r="L6" i="12"/>
  <c r="E6" i="12"/>
  <c r="F6" i="12" s="1"/>
  <c r="O10" i="12" s="1"/>
  <c r="E5" i="12"/>
  <c r="E4" i="12"/>
  <c r="F4" i="12" s="1"/>
  <c r="O8" i="12" l="1"/>
  <c r="O21" i="12"/>
  <c r="O25" i="12"/>
  <c r="O40" i="12"/>
  <c r="O197" i="12"/>
  <c r="O72" i="12"/>
  <c r="O122" i="12"/>
  <c r="O117" i="12"/>
  <c r="O152" i="12"/>
  <c r="O42" i="12"/>
  <c r="O123" i="12"/>
  <c r="O57" i="12"/>
  <c r="O266" i="12"/>
  <c r="O261" i="12"/>
  <c r="E252" i="12"/>
  <c r="B254" i="12" s="1"/>
  <c r="B255" i="12" s="1"/>
  <c r="I252" i="12" s="1"/>
  <c r="O245" i="12"/>
  <c r="O264" i="12"/>
  <c r="O265" i="12"/>
  <c r="E172" i="12"/>
  <c r="B174" i="12" s="1"/>
  <c r="B175" i="12" s="1"/>
  <c r="I172" i="12" s="1"/>
  <c r="O165" i="12"/>
  <c r="O149" i="12"/>
  <c r="O154" i="12"/>
  <c r="E156" i="12"/>
  <c r="B158" i="12" s="1"/>
  <c r="I153" i="12" s="1"/>
  <c r="J153" i="12" s="1"/>
  <c r="E76" i="12"/>
  <c r="B78" i="12" s="1"/>
  <c r="B79" i="12" s="1"/>
  <c r="O74" i="12"/>
  <c r="O59" i="12"/>
  <c r="O53" i="12"/>
  <c r="O232" i="12"/>
  <c r="O133" i="12"/>
  <c r="O37" i="12"/>
  <c r="O41" i="12"/>
  <c r="E220" i="12"/>
  <c r="B222" i="12" s="1"/>
  <c r="B223" i="12" s="1"/>
  <c r="I220" i="12" s="1"/>
  <c r="O213" i="12"/>
  <c r="O217" i="12"/>
  <c r="O121" i="12"/>
  <c r="O120" i="12"/>
  <c r="O202" i="12"/>
  <c r="O200" i="12"/>
  <c r="O201" i="12"/>
  <c r="O101" i="12"/>
  <c r="E12" i="12"/>
  <c r="B14" i="12" s="1"/>
  <c r="B15" i="12" s="1"/>
  <c r="I12" i="12" s="1"/>
  <c r="O169" i="12"/>
  <c r="O11" i="12"/>
  <c r="O105" i="12"/>
  <c r="O137" i="12"/>
  <c r="O203" i="12"/>
  <c r="O267" i="12"/>
  <c r="O5" i="12"/>
  <c r="O69" i="12"/>
  <c r="O168" i="12"/>
  <c r="O216" i="12"/>
  <c r="O229" i="12"/>
  <c r="E28" i="12"/>
  <c r="B30" i="12" s="1"/>
  <c r="B31" i="12" s="1"/>
  <c r="E108" i="12"/>
  <c r="B110" i="12" s="1"/>
  <c r="B111" i="12" s="1"/>
  <c r="F5" i="12"/>
  <c r="F20" i="12"/>
  <c r="O36" i="12"/>
  <c r="E44" i="12"/>
  <c r="B46" i="12" s="1"/>
  <c r="B47" i="12" s="1"/>
  <c r="B61" i="12"/>
  <c r="F69" i="12"/>
  <c r="O73" i="12" s="1"/>
  <c r="F100" i="12"/>
  <c r="O116" i="12"/>
  <c r="E124" i="12"/>
  <c r="B126" i="12" s="1"/>
  <c r="B127" i="12" s="1"/>
  <c r="B141" i="12"/>
  <c r="F149" i="12"/>
  <c r="O153" i="12" s="1"/>
  <c r="O196" i="12"/>
  <c r="E204" i="12"/>
  <c r="B206" i="12" s="1"/>
  <c r="B207" i="12" s="1"/>
  <c r="F214" i="12"/>
  <c r="O218" i="12" s="1"/>
  <c r="B221" i="12"/>
  <c r="F229" i="12"/>
  <c r="O233" i="12" s="1"/>
  <c r="F244" i="12"/>
  <c r="O260" i="12"/>
  <c r="E268" i="12"/>
  <c r="B270" i="12" s="1"/>
  <c r="B271" i="12" s="1"/>
  <c r="B13" i="12"/>
  <c r="E60" i="12"/>
  <c r="B62" i="12" s="1"/>
  <c r="B63" i="12" s="1"/>
  <c r="B77" i="12"/>
  <c r="E140" i="12"/>
  <c r="B142" i="12" s="1"/>
  <c r="B143" i="12" s="1"/>
  <c r="B157" i="12"/>
  <c r="B237" i="12"/>
  <c r="F245" i="12"/>
  <c r="O249" i="12" s="1"/>
  <c r="B29" i="12"/>
  <c r="F52" i="12"/>
  <c r="B109" i="12"/>
  <c r="F132" i="12"/>
  <c r="F166" i="12"/>
  <c r="O170" i="12" s="1"/>
  <c r="B173" i="12"/>
  <c r="E236" i="12"/>
  <c r="B238" i="12" s="1"/>
  <c r="B239" i="12" s="1"/>
  <c r="B253" i="12"/>
  <c r="B45" i="12"/>
  <c r="B125" i="12"/>
  <c r="B205" i="12"/>
  <c r="B269" i="12"/>
  <c r="I72" i="12" l="1"/>
  <c r="J72" i="12" s="1"/>
  <c r="B224" i="12"/>
  <c r="I215" i="12" s="1"/>
  <c r="I216" i="12"/>
  <c r="J216" i="12" s="1"/>
  <c r="B144" i="12"/>
  <c r="I135" i="12" s="1"/>
  <c r="J135" i="12" s="1"/>
  <c r="D223" i="12"/>
  <c r="I214" i="12" s="1"/>
  <c r="J214" i="12" s="1"/>
  <c r="B48" i="12"/>
  <c r="I39" i="12" s="1"/>
  <c r="J39" i="12" s="1"/>
  <c r="B208" i="12"/>
  <c r="I199" i="12" s="1"/>
  <c r="B160" i="12"/>
  <c r="I151" i="12" s="1"/>
  <c r="J151" i="12" s="1"/>
  <c r="D175" i="12"/>
  <c r="I166" i="12" s="1"/>
  <c r="J166" i="12" s="1"/>
  <c r="I200" i="12"/>
  <c r="J200" i="12" s="1"/>
  <c r="D31" i="12"/>
  <c r="I22" i="12" s="1"/>
  <c r="J22" i="12" s="1"/>
  <c r="O148" i="12"/>
  <c r="B128" i="12"/>
  <c r="I119" i="12" s="1"/>
  <c r="J119" i="12" s="1"/>
  <c r="I24" i="12"/>
  <c r="J24" i="12" s="1"/>
  <c r="I217" i="12"/>
  <c r="J217" i="12" s="1"/>
  <c r="B32" i="12"/>
  <c r="I23" i="12" s="1"/>
  <c r="J23" i="12" s="1"/>
  <c r="I136" i="12"/>
  <c r="J136" i="12" s="1"/>
  <c r="B176" i="12"/>
  <c r="I167" i="12" s="1"/>
  <c r="J167" i="12" s="1"/>
  <c r="O228" i="12"/>
  <c r="I120" i="12"/>
  <c r="J120" i="12" s="1"/>
  <c r="I57" i="12"/>
  <c r="J57" i="12" s="1"/>
  <c r="I152" i="12"/>
  <c r="J152" i="12" s="1"/>
  <c r="B159" i="12"/>
  <c r="I156" i="12" s="1"/>
  <c r="D159" i="12"/>
  <c r="I150" i="12" s="1"/>
  <c r="J150" i="12" s="1"/>
  <c r="I168" i="12"/>
  <c r="J168" i="12" s="1"/>
  <c r="I169" i="12"/>
  <c r="J169" i="12" s="1"/>
  <c r="O68" i="12"/>
  <c r="I73" i="12"/>
  <c r="J73" i="12" s="1"/>
  <c r="B80" i="12"/>
  <c r="I71" i="12" s="1"/>
  <c r="J71" i="12" s="1"/>
  <c r="I248" i="12"/>
  <c r="J248" i="12" s="1"/>
  <c r="B256" i="12"/>
  <c r="I247" i="12" s="1"/>
  <c r="J247" i="12" s="1"/>
  <c r="I249" i="12"/>
  <c r="J249" i="12" s="1"/>
  <c r="D255" i="12"/>
  <c r="I246" i="12" s="1"/>
  <c r="J246" i="12" s="1"/>
  <c r="I264" i="12"/>
  <c r="J264" i="12" s="1"/>
  <c r="B272" i="12"/>
  <c r="I263" i="12" s="1"/>
  <c r="J263" i="12" s="1"/>
  <c r="D79" i="12"/>
  <c r="I70" i="12" s="1"/>
  <c r="J70" i="12" s="1"/>
  <c r="I56" i="12"/>
  <c r="J56" i="12" s="1"/>
  <c r="B64" i="12"/>
  <c r="I55" i="12" s="1"/>
  <c r="D239" i="12"/>
  <c r="I230" i="12" s="1"/>
  <c r="J230" i="12" s="1"/>
  <c r="I137" i="12"/>
  <c r="J137" i="12" s="1"/>
  <c r="D127" i="12"/>
  <c r="I118" i="12" s="1"/>
  <c r="J118" i="12" s="1"/>
  <c r="I9" i="12"/>
  <c r="J9" i="12" s="1"/>
  <c r="I8" i="12"/>
  <c r="J8" i="12" s="1"/>
  <c r="B16" i="12"/>
  <c r="I7" i="12" s="1"/>
  <c r="J7" i="12" s="1"/>
  <c r="D15" i="12"/>
  <c r="I6" i="12" s="1"/>
  <c r="J6" i="12" s="1"/>
  <c r="I236" i="12"/>
  <c r="O136" i="12"/>
  <c r="O132" i="12"/>
  <c r="I140" i="12"/>
  <c r="I60" i="12"/>
  <c r="I268" i="12"/>
  <c r="I204" i="12"/>
  <c r="O24" i="12"/>
  <c r="O20" i="12"/>
  <c r="I28" i="12"/>
  <c r="I76" i="12"/>
  <c r="O212" i="12"/>
  <c r="I232" i="12"/>
  <c r="J232" i="12" s="1"/>
  <c r="B112" i="12"/>
  <c r="I103" i="12" s="1"/>
  <c r="I233" i="12"/>
  <c r="J233" i="12" s="1"/>
  <c r="O244" i="12"/>
  <c r="O248" i="12"/>
  <c r="I108" i="12"/>
  <c r="I41" i="12"/>
  <c r="J41" i="12" s="1"/>
  <c r="I105" i="12"/>
  <c r="J105" i="12" s="1"/>
  <c r="D111" i="12"/>
  <c r="I102" i="12" s="1"/>
  <c r="J102" i="12" s="1"/>
  <c r="J215" i="12"/>
  <c r="I124" i="12"/>
  <c r="O9" i="12"/>
  <c r="O4" i="12"/>
  <c r="I40" i="12"/>
  <c r="J40" i="12" s="1"/>
  <c r="I104" i="12"/>
  <c r="J104" i="12" s="1"/>
  <c r="I265" i="12"/>
  <c r="J265" i="12" s="1"/>
  <c r="I201" i="12"/>
  <c r="J201" i="12" s="1"/>
  <c r="D63" i="12"/>
  <c r="I54" i="12" s="1"/>
  <c r="J54" i="12" s="1"/>
  <c r="D47" i="12"/>
  <c r="I38" i="12" s="1"/>
  <c r="J38" i="12" s="1"/>
  <c r="I25" i="12"/>
  <c r="J25" i="12" s="1"/>
  <c r="D271" i="12"/>
  <c r="I262" i="12" s="1"/>
  <c r="J262" i="12" s="1"/>
  <c r="D207" i="12"/>
  <c r="I198" i="12" s="1"/>
  <c r="J198" i="12" s="1"/>
  <c r="I121" i="12"/>
  <c r="J121" i="12" s="1"/>
  <c r="O164" i="12"/>
  <c r="O56" i="12"/>
  <c r="O52" i="12"/>
  <c r="J199" i="12"/>
  <c r="O104" i="12"/>
  <c r="O100" i="12"/>
  <c r="I44" i="12"/>
  <c r="B240" i="12"/>
  <c r="I231" i="12" s="1"/>
  <c r="D143" i="12"/>
  <c r="I134" i="12" s="1"/>
  <c r="J134" i="12" s="1"/>
  <c r="D224" i="12" l="1"/>
  <c r="I219" i="12" s="1"/>
  <c r="J219" i="12" s="1"/>
  <c r="K215" i="12" s="1"/>
  <c r="M215" i="12" s="1"/>
  <c r="D16" i="12"/>
  <c r="I11" i="12" s="1"/>
  <c r="J11" i="12" s="1"/>
  <c r="K8" i="12" s="1"/>
  <c r="M8" i="12" s="1"/>
  <c r="I202" i="12"/>
  <c r="J202" i="12" s="1"/>
  <c r="I154" i="12"/>
  <c r="J154" i="12" s="1"/>
  <c r="D176" i="12"/>
  <c r="I171" i="12" s="1"/>
  <c r="J171" i="12" s="1"/>
  <c r="K168" i="12" s="1"/>
  <c r="M168" i="12" s="1"/>
  <c r="I170" i="12"/>
  <c r="J170" i="12" s="1"/>
  <c r="I138" i="12"/>
  <c r="J138" i="12" s="1"/>
  <c r="D32" i="12"/>
  <c r="I27" i="12" s="1"/>
  <c r="J27" i="12" s="1"/>
  <c r="K24" i="12" s="1"/>
  <c r="M24" i="12" s="1"/>
  <c r="I58" i="12"/>
  <c r="J58" i="12" s="1"/>
  <c r="I218" i="12"/>
  <c r="J218" i="12" s="1"/>
  <c r="D160" i="12"/>
  <c r="I155" i="12" s="1"/>
  <c r="J155" i="12" s="1"/>
  <c r="K152" i="12" s="1"/>
  <c r="M152" i="12" s="1"/>
  <c r="I74" i="12"/>
  <c r="J74" i="12" s="1"/>
  <c r="D80" i="12"/>
  <c r="I75" i="12" s="1"/>
  <c r="J75" i="12" s="1"/>
  <c r="K70" i="12" s="1"/>
  <c r="M70" i="12" s="1"/>
  <c r="D256" i="12"/>
  <c r="I251" i="12" s="1"/>
  <c r="J251" i="12" s="1"/>
  <c r="O247" i="12" s="1"/>
  <c r="I250" i="12"/>
  <c r="J250" i="12" s="1"/>
  <c r="J55" i="12"/>
  <c r="I42" i="12"/>
  <c r="J42" i="12" s="1"/>
  <c r="D128" i="12"/>
  <c r="I123" i="12" s="1"/>
  <c r="J123" i="12" s="1"/>
  <c r="K118" i="12" s="1"/>
  <c r="M118" i="12" s="1"/>
  <c r="I10" i="12"/>
  <c r="J10" i="12" s="1"/>
  <c r="J231" i="12"/>
  <c r="I234" i="12"/>
  <c r="J234" i="12" s="1"/>
  <c r="H14" i="12"/>
  <c r="I106" i="12"/>
  <c r="J106" i="12" s="1"/>
  <c r="J103" i="12"/>
  <c r="D240" i="12"/>
  <c r="I235" i="12" s="1"/>
  <c r="J235" i="12" s="1"/>
  <c r="K233" i="12" s="1"/>
  <c r="M233" i="12" s="1"/>
  <c r="D272" i="12"/>
  <c r="I267" i="12" s="1"/>
  <c r="J267" i="12" s="1"/>
  <c r="K262" i="12" s="1"/>
  <c r="M262" i="12" s="1"/>
  <c r="D144" i="12"/>
  <c r="I139" i="12" s="1"/>
  <c r="J139" i="12" s="1"/>
  <c r="K135" i="12" s="1"/>
  <c r="M135" i="12" s="1"/>
  <c r="D112" i="12"/>
  <c r="I107" i="12" s="1"/>
  <c r="J107" i="12" s="1"/>
  <c r="I266" i="12"/>
  <c r="J266" i="12" s="1"/>
  <c r="D48" i="12"/>
  <c r="I43" i="12" s="1"/>
  <c r="J43" i="12" s="1"/>
  <c r="I122" i="12"/>
  <c r="J122" i="12" s="1"/>
  <c r="I26" i="12"/>
  <c r="J26" i="12" s="1"/>
  <c r="D208" i="12"/>
  <c r="I203" i="12" s="1"/>
  <c r="J203" i="12" s="1"/>
  <c r="K198" i="12" s="1"/>
  <c r="M198" i="12" s="1"/>
  <c r="D64" i="12"/>
  <c r="I59" i="12" s="1"/>
  <c r="J59" i="12" s="1"/>
  <c r="O172" i="12" l="1"/>
  <c r="H13" i="12"/>
  <c r="K7" i="12"/>
  <c r="M7" i="12" s="1"/>
  <c r="K266" i="12"/>
  <c r="M266" i="12" s="1"/>
  <c r="K263" i="12"/>
  <c r="M263" i="12" s="1"/>
  <c r="O28" i="12"/>
  <c r="H175" i="12"/>
  <c r="K153" i="12"/>
  <c r="M153" i="12" s="1"/>
  <c r="H158" i="12"/>
  <c r="O125" i="12"/>
  <c r="K9" i="12"/>
  <c r="M9" i="12" s="1"/>
  <c r="O12" i="12"/>
  <c r="K6" i="12"/>
  <c r="M6" i="12" s="1"/>
  <c r="O13" i="12"/>
  <c r="O7" i="12"/>
  <c r="K10" i="12"/>
  <c r="M10" i="12" s="1"/>
  <c r="H15" i="12"/>
  <c r="O6" i="12"/>
  <c r="O167" i="12"/>
  <c r="K25" i="12"/>
  <c r="M25" i="12" s="1"/>
  <c r="K167" i="12"/>
  <c r="M167" i="12" s="1"/>
  <c r="K134" i="12"/>
  <c r="M134" i="12" s="1"/>
  <c r="H31" i="12"/>
  <c r="H30" i="12"/>
  <c r="H29" i="12"/>
  <c r="K246" i="12"/>
  <c r="M246" i="12" s="1"/>
  <c r="K217" i="12"/>
  <c r="M217" i="12" s="1"/>
  <c r="H221" i="12"/>
  <c r="K170" i="12"/>
  <c r="M170" i="12" s="1"/>
  <c r="O166" i="12"/>
  <c r="O173" i="12"/>
  <c r="H223" i="12"/>
  <c r="H222" i="12"/>
  <c r="K216" i="12"/>
  <c r="M216" i="12" s="1"/>
  <c r="O221" i="12"/>
  <c r="O214" i="12"/>
  <c r="O215" i="12"/>
  <c r="H174" i="12"/>
  <c r="H173" i="12"/>
  <c r="O156" i="12"/>
  <c r="K218" i="12"/>
  <c r="M218" i="12" s="1"/>
  <c r="O220" i="12"/>
  <c r="K214" i="12"/>
  <c r="M214" i="12" s="1"/>
  <c r="K169" i="12"/>
  <c r="M169" i="12" s="1"/>
  <c r="K166" i="12"/>
  <c r="M166" i="12" s="1"/>
  <c r="O253" i="12"/>
  <c r="O157" i="12"/>
  <c r="H159" i="12"/>
  <c r="O150" i="12"/>
  <c r="K150" i="12"/>
  <c r="M150" i="12" s="1"/>
  <c r="H157" i="12"/>
  <c r="O151" i="12"/>
  <c r="K26" i="12"/>
  <c r="M26" i="12" s="1"/>
  <c r="O23" i="12"/>
  <c r="K23" i="12"/>
  <c r="M23" i="12" s="1"/>
  <c r="K22" i="12"/>
  <c r="M22" i="12" s="1"/>
  <c r="O22" i="12"/>
  <c r="O29" i="12"/>
  <c r="O118" i="12"/>
  <c r="K122" i="12"/>
  <c r="M122" i="12" s="1"/>
  <c r="O76" i="12"/>
  <c r="O119" i="12"/>
  <c r="K119" i="12"/>
  <c r="M119" i="12" s="1"/>
  <c r="H253" i="12"/>
  <c r="O252" i="12"/>
  <c r="K151" i="12"/>
  <c r="M151" i="12" s="1"/>
  <c r="K120" i="12"/>
  <c r="M120" i="12" s="1"/>
  <c r="O124" i="12"/>
  <c r="H126" i="12"/>
  <c r="K121" i="12"/>
  <c r="M121" i="12" s="1"/>
  <c r="H254" i="12"/>
  <c r="K250" i="12"/>
  <c r="M250" i="12" s="1"/>
  <c r="K42" i="12"/>
  <c r="M42" i="12" s="1"/>
  <c r="H125" i="12"/>
  <c r="H127" i="12"/>
  <c r="K154" i="12"/>
  <c r="M154" i="12" s="1"/>
  <c r="K73" i="12"/>
  <c r="M73" i="12" s="1"/>
  <c r="K71" i="12"/>
  <c r="M71" i="12" s="1"/>
  <c r="H79" i="12"/>
  <c r="O70" i="12"/>
  <c r="H78" i="12"/>
  <c r="H77" i="12"/>
  <c r="K72" i="12"/>
  <c r="M72" i="12" s="1"/>
  <c r="K74" i="12"/>
  <c r="M74" i="12" s="1"/>
  <c r="O77" i="12"/>
  <c r="O71" i="12"/>
  <c r="K248" i="12"/>
  <c r="M248" i="12" s="1"/>
  <c r="K249" i="12"/>
  <c r="M249" i="12" s="1"/>
  <c r="H255" i="12"/>
  <c r="O246" i="12"/>
  <c r="K247" i="12"/>
  <c r="M247" i="12" s="1"/>
  <c r="K232" i="12"/>
  <c r="M232" i="12" s="1"/>
  <c r="K138" i="12"/>
  <c r="M138" i="12" s="1"/>
  <c r="K41" i="12"/>
  <c r="M41" i="12" s="1"/>
  <c r="H63" i="12"/>
  <c r="H62" i="12"/>
  <c r="O55" i="12"/>
  <c r="O54" i="12"/>
  <c r="H61" i="12"/>
  <c r="O60" i="12"/>
  <c r="O61" i="12"/>
  <c r="K57" i="12"/>
  <c r="M57" i="12" s="1"/>
  <c r="K56" i="12"/>
  <c r="M56" i="12" s="1"/>
  <c r="K40" i="12"/>
  <c r="M40" i="12" s="1"/>
  <c r="K199" i="12"/>
  <c r="M199" i="12" s="1"/>
  <c r="K54" i="12"/>
  <c r="M54" i="12" s="1"/>
  <c r="K38" i="12"/>
  <c r="M38" i="12" s="1"/>
  <c r="K231" i="12"/>
  <c r="M231" i="12" s="1"/>
  <c r="O109" i="12"/>
  <c r="H111" i="12"/>
  <c r="H110" i="12"/>
  <c r="O103" i="12"/>
  <c r="O102" i="12"/>
  <c r="H109" i="12"/>
  <c r="O108" i="12"/>
  <c r="O269" i="12"/>
  <c r="H271" i="12"/>
  <c r="H270" i="12"/>
  <c r="O263" i="12"/>
  <c r="O262" i="12"/>
  <c r="H269" i="12"/>
  <c r="O268" i="12"/>
  <c r="K264" i="12"/>
  <c r="M264" i="12" s="1"/>
  <c r="K201" i="12"/>
  <c r="M201" i="12" s="1"/>
  <c r="K58" i="12"/>
  <c r="M58" i="12" s="1"/>
  <c r="K234" i="12"/>
  <c r="M234" i="12" s="1"/>
  <c r="H143" i="12"/>
  <c r="H142" i="12"/>
  <c r="O135" i="12"/>
  <c r="O134" i="12"/>
  <c r="H141" i="12"/>
  <c r="O140" i="12"/>
  <c r="O141" i="12"/>
  <c r="K137" i="12"/>
  <c r="M137" i="12" s="1"/>
  <c r="K136" i="12"/>
  <c r="M136" i="12" s="1"/>
  <c r="H238" i="12"/>
  <c r="O231" i="12"/>
  <c r="O230" i="12"/>
  <c r="H237" i="12"/>
  <c r="O236" i="12"/>
  <c r="O237" i="12"/>
  <c r="H239" i="12"/>
  <c r="K230" i="12"/>
  <c r="M230" i="12" s="1"/>
  <c r="K104" i="12"/>
  <c r="M104" i="12" s="1"/>
  <c r="K265" i="12"/>
  <c r="M265" i="12" s="1"/>
  <c r="K106" i="12"/>
  <c r="M106" i="12" s="1"/>
  <c r="O205" i="12"/>
  <c r="H207" i="12"/>
  <c r="H206" i="12"/>
  <c r="O199" i="12"/>
  <c r="O198" i="12"/>
  <c r="H205" i="12"/>
  <c r="O204" i="12"/>
  <c r="K200" i="12"/>
  <c r="M200" i="12" s="1"/>
  <c r="O45" i="12"/>
  <c r="H47" i="12"/>
  <c r="H46" i="12"/>
  <c r="O39" i="12"/>
  <c r="O38" i="12"/>
  <c r="H45" i="12"/>
  <c r="O44" i="12"/>
  <c r="K39" i="12"/>
  <c r="M39" i="12" s="1"/>
  <c r="K55" i="12"/>
  <c r="M55" i="12" s="1"/>
  <c r="K102" i="12"/>
  <c r="M102" i="12" s="1"/>
  <c r="K202" i="12"/>
  <c r="M202" i="12" s="1"/>
  <c r="K105" i="12"/>
  <c r="M105" i="12" s="1"/>
  <c r="K103" i="12"/>
  <c r="M103" i="12" s="1"/>
</calcChain>
</file>

<file path=xl/sharedStrings.xml><?xml version="1.0" encoding="utf-8"?>
<sst xmlns="http://schemas.openxmlformats.org/spreadsheetml/2006/main" count="5699" uniqueCount="162">
  <si>
    <t>Treatments</t>
  </si>
  <si>
    <t>R1</t>
  </si>
  <si>
    <t>R2</t>
  </si>
  <si>
    <t>R3</t>
  </si>
  <si>
    <t>Total</t>
  </si>
  <si>
    <t>Mean</t>
  </si>
  <si>
    <t>ANOVA</t>
  </si>
  <si>
    <t>Factors Mean</t>
  </si>
  <si>
    <t>df</t>
  </si>
  <si>
    <t>SS</t>
  </si>
  <si>
    <t>MSS</t>
  </si>
  <si>
    <t>Cal F</t>
  </si>
  <si>
    <t>Table F</t>
  </si>
  <si>
    <t>Replication</t>
  </si>
  <si>
    <t>SE.m</t>
  </si>
  <si>
    <t>Treatment</t>
  </si>
  <si>
    <t>CD</t>
  </si>
  <si>
    <t>RDF</t>
  </si>
  <si>
    <t>MC0</t>
  </si>
  <si>
    <t>MC</t>
  </si>
  <si>
    <t>SMC</t>
  </si>
  <si>
    <t>RDFxMC</t>
  </si>
  <si>
    <t>MC3</t>
  </si>
  <si>
    <t>Error</t>
  </si>
  <si>
    <t>MC5</t>
  </si>
  <si>
    <t>t14=</t>
  </si>
  <si>
    <t>CF</t>
  </si>
  <si>
    <t>TSSQ</t>
  </si>
  <si>
    <t>RSSQ</t>
  </si>
  <si>
    <t>CV</t>
  </si>
  <si>
    <t>tSSQ</t>
  </si>
  <si>
    <t>ESSQ</t>
  </si>
  <si>
    <t>T2- 100%RDF-SM</t>
  </si>
  <si>
    <r>
      <t>T1- 100%RDF-M</t>
    </r>
    <r>
      <rPr>
        <vertAlign val="subscript"/>
        <sz val="10"/>
        <rFont val="Arial"/>
        <family val="2"/>
      </rPr>
      <t>0</t>
    </r>
  </si>
  <si>
    <r>
      <t>T3-100%RDF-FM</t>
    </r>
    <r>
      <rPr>
        <vertAlign val="subscript"/>
        <sz val="10"/>
        <rFont val="Arial"/>
        <family val="2"/>
      </rPr>
      <t>3</t>
    </r>
  </si>
  <si>
    <r>
      <t>T4-100%RDF-FM</t>
    </r>
    <r>
      <rPr>
        <vertAlign val="subscript"/>
        <sz val="10"/>
        <rFont val="Arial"/>
        <family val="2"/>
      </rPr>
      <t>5</t>
    </r>
  </si>
  <si>
    <r>
      <t>T5- 75%RDF-M</t>
    </r>
    <r>
      <rPr>
        <vertAlign val="subscript"/>
        <sz val="10"/>
        <rFont val="Arial"/>
        <family val="2"/>
      </rPr>
      <t>0</t>
    </r>
  </si>
  <si>
    <t>T6- 75%RDF-SM</t>
  </si>
  <si>
    <r>
      <t>T7-75%RDF-FM</t>
    </r>
    <r>
      <rPr>
        <vertAlign val="subscript"/>
        <sz val="10"/>
        <rFont val="Arial"/>
        <family val="2"/>
      </rPr>
      <t>3</t>
    </r>
  </si>
  <si>
    <r>
      <t>T8-75%RDF-FM</t>
    </r>
    <r>
      <rPr>
        <vertAlign val="subscript"/>
        <sz val="10"/>
        <rFont val="Arial"/>
        <family val="2"/>
      </rPr>
      <t>5</t>
    </r>
  </si>
  <si>
    <r>
      <t xml:space="preserve">Maize N, K &amp; Bio fertigation - </t>
    </r>
    <r>
      <rPr>
        <sz val="11"/>
        <color theme="1"/>
        <rFont val="Calibri"/>
        <family val="2"/>
        <scheme val="minor"/>
      </rPr>
      <t>yield attributes- 2018-19</t>
    </r>
  </si>
  <si>
    <t>S.NO.</t>
  </si>
  <si>
    <t>Land preparation</t>
  </si>
  <si>
    <t>Seeds and sowing</t>
  </si>
  <si>
    <t>Fertilizers cost</t>
  </si>
  <si>
    <t>Cost of fertilizer application</t>
  </si>
  <si>
    <t>Weed control</t>
  </si>
  <si>
    <t>Plant protection</t>
  </si>
  <si>
    <t>Harvesting, threshing,cleaning and packing</t>
  </si>
  <si>
    <t>Transport</t>
  </si>
  <si>
    <t xml:space="preserve">cost of irrigation </t>
  </si>
  <si>
    <t>Cost of drip system</t>
  </si>
  <si>
    <t>Total production cost</t>
  </si>
  <si>
    <r>
      <t>N UPTAKE AT 30 DAS (kg ha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</si>
  <si>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N UPTAKE AT 60 DAS (kg ha-1)</t>
  </si>
  <si>
    <t>N UPTAKE AT 90 DAS (kg ha-1)</t>
  </si>
  <si>
    <t>N UPTAKE IN STRAW AT HARVEST (kg ha-1)</t>
  </si>
  <si>
    <t xml:space="preserve"> </t>
  </si>
  <si>
    <t>N UPTAKE IN GRAIN AT HARVEST (kg ha-1)</t>
  </si>
  <si>
    <t>P UPTAKE AT 30 DAS (kg ha-1)</t>
  </si>
  <si>
    <t>P UPTAKE AT 60 DAS (kg ha-1)</t>
  </si>
  <si>
    <t>P UPTAKE AT 90 DAS (kg ha-1)</t>
  </si>
  <si>
    <t>P UPTAKE IN STRAW AT HARVEST (kg ha-1)</t>
  </si>
  <si>
    <t>P UPTAKE IN GRAIN AT HARVEST (kg ha-1)</t>
  </si>
  <si>
    <t>K UPTAKE AT 30 DAS (kg ha-1)</t>
  </si>
  <si>
    <t>K UPTAKE AT 60 DAS (kg ha-1)</t>
  </si>
  <si>
    <t>K UPTAKE AT 90 DAS (kg ha-1)</t>
  </si>
  <si>
    <t>K UPTAKE IN STRAW AT HARVEST (kg ha-1)</t>
  </si>
  <si>
    <t>K UPTAKE IN GRAIN AT HARVEST (kg ha-1)</t>
  </si>
  <si>
    <r>
      <t>Cost of cultivation (Rs /ha) of rabi maize</t>
    </r>
    <r>
      <rPr>
        <i/>
        <sz val="11"/>
        <color indexed="8"/>
        <rFont val="Calibri"/>
        <family val="2"/>
      </rPr>
      <t xml:space="preserve"> as </t>
    </r>
    <r>
      <rPr>
        <sz val="11"/>
        <color indexed="8"/>
        <rFont val="Calibri"/>
        <family val="2"/>
      </rPr>
      <t xml:space="preserve"> influenced by different drip fertigation levels. </t>
    </r>
  </si>
  <si>
    <r>
      <t>T1- 100%RDF-M</t>
    </r>
    <r>
      <rPr>
        <vertAlign val="subscript"/>
        <sz val="11"/>
        <color theme="1"/>
        <rFont val="Calibri"/>
        <family val="2"/>
        <scheme val="minor"/>
      </rPr>
      <t>0</t>
    </r>
  </si>
  <si>
    <r>
      <t>T3-100%RDF-FM</t>
    </r>
    <r>
      <rPr>
        <vertAlign val="subscript"/>
        <sz val="11"/>
        <color theme="1"/>
        <rFont val="Calibri"/>
        <family val="2"/>
        <scheme val="minor"/>
      </rPr>
      <t>3</t>
    </r>
  </si>
  <si>
    <r>
      <t>T4-100%RDF-FM</t>
    </r>
    <r>
      <rPr>
        <vertAlign val="subscript"/>
        <sz val="11"/>
        <color theme="1"/>
        <rFont val="Calibri"/>
        <family val="2"/>
        <scheme val="minor"/>
      </rPr>
      <t>5</t>
    </r>
  </si>
  <si>
    <r>
      <t>T5- 75%RDF-M</t>
    </r>
    <r>
      <rPr>
        <vertAlign val="subscript"/>
        <sz val="11"/>
        <color theme="1"/>
        <rFont val="Calibri"/>
        <family val="2"/>
        <scheme val="minor"/>
      </rPr>
      <t>0</t>
    </r>
  </si>
  <si>
    <r>
      <t>T7-75%RDF-FM</t>
    </r>
    <r>
      <rPr>
        <vertAlign val="subscript"/>
        <sz val="11"/>
        <color theme="1"/>
        <rFont val="Calibri"/>
        <family val="2"/>
        <scheme val="minor"/>
      </rPr>
      <t>3</t>
    </r>
  </si>
  <si>
    <r>
      <t>T8-75%RDF-FM</t>
    </r>
    <r>
      <rPr>
        <vertAlign val="subscript"/>
        <sz val="11"/>
        <color theme="1"/>
        <rFont val="Calibri"/>
        <family val="2"/>
        <scheme val="minor"/>
      </rPr>
      <t>5</t>
    </r>
  </si>
  <si>
    <r>
      <t>Cost of water (Rs. ha mm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</si>
  <si>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Grain yield yield (kg ha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</si>
  <si>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Income from Grain (Rs. ha-1)</t>
  </si>
  <si>
    <t>Total Gross Returns(Rs. ha-1)</t>
  </si>
  <si>
    <r>
      <t>Net Returns(Rs. ha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</si>
  <si>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B:C ratio</t>
  </si>
  <si>
    <r>
      <t>Income from Straw (Rs. ha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</si>
  <si>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TOTAL N UPTAKE AT HARVEST (kg ha-1)</t>
  </si>
  <si>
    <t>TOTAL P UPTAKE AT HARVEST (kg ha-1)</t>
  </si>
  <si>
    <t>TOTAL K UPTAKE AT HARVEST (kg ha-1)</t>
  </si>
  <si>
    <t>E1T1</t>
  </si>
  <si>
    <t>E1T2</t>
  </si>
  <si>
    <t>E1T3</t>
  </si>
  <si>
    <t>E1T4</t>
  </si>
  <si>
    <t>E1T5</t>
  </si>
  <si>
    <t>E1T6</t>
  </si>
  <si>
    <t>E1T7</t>
  </si>
  <si>
    <t>E1T8</t>
  </si>
  <si>
    <t>E1T9</t>
  </si>
  <si>
    <t>E2T1</t>
  </si>
  <si>
    <t>E2T2</t>
  </si>
  <si>
    <t>E2T3</t>
  </si>
  <si>
    <t>E2T4</t>
  </si>
  <si>
    <t>E2T5</t>
  </si>
  <si>
    <t>E2T6</t>
  </si>
  <si>
    <t>E2T7</t>
  </si>
  <si>
    <t>E2T8</t>
  </si>
  <si>
    <t>E2T9</t>
  </si>
  <si>
    <t>Main factors</t>
  </si>
  <si>
    <t xml:space="preserve">Sub factors </t>
  </si>
  <si>
    <t>Replications</t>
  </si>
  <si>
    <t>Total factors</t>
  </si>
  <si>
    <t>Factor A</t>
  </si>
  <si>
    <t>Factor B</t>
  </si>
  <si>
    <t>A*B</t>
  </si>
  <si>
    <t>t34=</t>
  </si>
  <si>
    <t>Result</t>
  </si>
  <si>
    <t xml:space="preserve">Factor A </t>
  </si>
  <si>
    <t>Difference</t>
  </si>
  <si>
    <t xml:space="preserve">Nitrogen content </t>
  </si>
  <si>
    <t>Grain</t>
  </si>
  <si>
    <t xml:space="preserve">Straw </t>
  </si>
  <si>
    <t>Nitrogen uptake</t>
  </si>
  <si>
    <t xml:space="preserve">Total </t>
  </si>
  <si>
    <t xml:space="preserve">Phosphorous content </t>
  </si>
  <si>
    <t xml:space="preserve">P content </t>
  </si>
  <si>
    <t>P uptake</t>
  </si>
  <si>
    <t xml:space="preserve">K content </t>
  </si>
  <si>
    <t>K uptake</t>
  </si>
  <si>
    <t xml:space="preserve">Kcontent </t>
  </si>
  <si>
    <t>Grain yield</t>
  </si>
  <si>
    <t>Straw yield</t>
  </si>
  <si>
    <t>Biological yield</t>
  </si>
  <si>
    <t>Harvest Index</t>
  </si>
  <si>
    <t>N Uptake</t>
  </si>
  <si>
    <t>Straw</t>
  </si>
  <si>
    <t>straw</t>
  </si>
  <si>
    <t xml:space="preserve">Protein content </t>
  </si>
  <si>
    <t>protein yield</t>
  </si>
  <si>
    <t>Protein Yield</t>
  </si>
  <si>
    <t>P Uptake</t>
  </si>
  <si>
    <t>K Uptake</t>
  </si>
  <si>
    <t>Organic Carbon</t>
  </si>
  <si>
    <t>Organic carbon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</si>
  <si>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</si>
  <si>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</si>
  <si>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</si>
  <si>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</si>
  <si>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</si>
  <si>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</si>
  <si>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</si>
  <si>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</si>
  <si>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</si>
  <si>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FYM</t>
  </si>
  <si>
    <t>Azotobactor</t>
  </si>
  <si>
    <t xml:space="preserve">Nutrient applied </t>
  </si>
  <si>
    <t>Dry matter 30DAT</t>
  </si>
  <si>
    <t xml:space="preserve"> 60 DAT</t>
  </si>
  <si>
    <t xml:space="preserve"> 90 DAT</t>
  </si>
  <si>
    <t xml:space="preserve"> AT HARVEST</t>
  </si>
  <si>
    <t>AT HARVEST</t>
  </si>
  <si>
    <t>Agronomic efficiency</t>
  </si>
  <si>
    <t>PFP</t>
  </si>
  <si>
    <t>Dry mt at harvest</t>
  </si>
  <si>
    <t>PNUE</t>
  </si>
  <si>
    <t>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</si>
</sst>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"/>
    <numFmt numFmtId="166" formatCode="0.00_)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vertAlign val="subscript"/>
      <sz val="10"/>
      <name val="Arial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1"/>
      <color theme="1"/>
      <name val="Calibri"/>
      <family val="2"/>
    </font>
    <font>
      <sz val="11"/>
      <name val="Calibri"/>
      <family val="2"/>
    </font>
    <font>
      <b/>
      <sz val="18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43" fontId="15" fillId="0" borderId="0" applyFont="0" applyFill="0" applyBorder="0" applyAlignment="0" applyProtection="0"/>
  </cellStyleXfs>
  <cellXfs count="14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ont="1"/>
    <xf numFmtId="0" fontId="0" fillId="0" borderId="4" xfId="0" applyBorder="1" applyAlignment="1"/>
    <xf numFmtId="0" fontId="0" fillId="0" borderId="0" xfId="0" applyFont="1" applyFill="1"/>
    <xf numFmtId="0" fontId="4" fillId="0" borderId="1" xfId="0" applyFont="1" applyBorder="1"/>
    <xf numFmtId="0" fontId="0" fillId="0" borderId="1" xfId="0" applyFont="1" applyBorder="1"/>
    <xf numFmtId="2" fontId="0" fillId="2" borderId="1" xfId="0" applyNumberFormat="1" applyFont="1" applyFill="1" applyBorder="1"/>
    <xf numFmtId="2" fontId="5" fillId="0" borderId="1" xfId="0" applyNumberFormat="1" applyFont="1" applyBorder="1"/>
    <xf numFmtId="164" fontId="5" fillId="0" borderId="1" xfId="0" applyNumberFormat="1" applyFont="1" applyBorder="1"/>
    <xf numFmtId="9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/>
    <xf numFmtId="0" fontId="6" fillId="0" borderId="1" xfId="0" applyFont="1" applyBorder="1"/>
    <xf numFmtId="2" fontId="0" fillId="0" borderId="1" xfId="0" applyNumberFormat="1" applyFont="1" applyBorder="1"/>
    <xf numFmtId="2" fontId="7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6" fillId="0" borderId="1" xfId="0" applyFont="1" applyFill="1" applyBorder="1"/>
    <xf numFmtId="0" fontId="0" fillId="0" borderId="1" xfId="0" applyFont="1" applyFill="1" applyBorder="1"/>
    <xf numFmtId="164" fontId="7" fillId="0" borderId="1" xfId="0" applyNumberFormat="1" applyFont="1" applyBorder="1"/>
    <xf numFmtId="165" fontId="0" fillId="0" borderId="1" xfId="0" applyNumberFormat="1" applyFont="1" applyBorder="1"/>
    <xf numFmtId="166" fontId="0" fillId="0" borderId="1" xfId="0" applyNumberFormat="1" applyFont="1" applyBorder="1"/>
    <xf numFmtId="0" fontId="0" fillId="2" borderId="0" xfId="0" applyFont="1" applyFill="1"/>
    <xf numFmtId="0" fontId="0" fillId="0" borderId="4" xfId="0" applyFont="1" applyBorder="1" applyAlignment="1"/>
    <xf numFmtId="0" fontId="0" fillId="0" borderId="0" xfId="0"/>
    <xf numFmtId="2" fontId="2" fillId="2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164" fontId="0" fillId="0" borderId="1" xfId="0" applyNumberFormat="1" applyBorder="1"/>
    <xf numFmtId="164" fontId="13" fillId="0" borderId="1" xfId="0" applyNumberFormat="1" applyFont="1" applyBorder="1"/>
    <xf numFmtId="164" fontId="1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/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14" fillId="0" borderId="1" xfId="0" applyNumberFormat="1" applyFont="1" applyBorder="1"/>
    <xf numFmtId="164" fontId="14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1" fontId="18" fillId="0" borderId="0" xfId="0" applyNumberFormat="1" applyFont="1" applyBorder="1"/>
    <xf numFmtId="164" fontId="14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1" fillId="0" borderId="0" xfId="0" applyFont="1"/>
    <xf numFmtId="2" fontId="19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Alignment="1">
      <alignment horizontal="center"/>
    </xf>
    <xf numFmtId="1" fontId="17" fillId="0" borderId="0" xfId="0" applyNumberFormat="1" applyFont="1" applyAlignment="1">
      <alignment horizontal="center"/>
    </xf>
    <xf numFmtId="2" fontId="16" fillId="0" borderId="0" xfId="0" applyNumberFormat="1" applyFont="1"/>
    <xf numFmtId="0" fontId="19" fillId="0" borderId="0" xfId="0" applyFont="1" applyAlignment="1">
      <alignment horizontal="center"/>
    </xf>
    <xf numFmtId="2" fontId="22" fillId="0" borderId="1" xfId="0" applyNumberFormat="1" applyFont="1" applyBorder="1" applyAlignment="1">
      <alignment horizontal="center"/>
    </xf>
    <xf numFmtId="165" fontId="0" fillId="0" borderId="0" xfId="0" applyNumberFormat="1" applyFill="1"/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24" fillId="0" borderId="0" xfId="0" applyNumberFormat="1" applyFont="1" applyFill="1" applyBorder="1"/>
    <xf numFmtId="2" fontId="23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2" fontId="22" fillId="0" borderId="0" xfId="0" applyNumberFormat="1" applyFont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1" fillId="0" borderId="0" xfId="0" applyFont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0" borderId="0" xfId="0" applyBorder="1"/>
    <xf numFmtId="0" fontId="21" fillId="0" borderId="0" xfId="0" applyFont="1" applyBorder="1"/>
    <xf numFmtId="165" fontId="0" fillId="0" borderId="0" xfId="0" applyNumberFormat="1" applyBorder="1"/>
    <xf numFmtId="0" fontId="21" fillId="0" borderId="0" xfId="0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4" fontId="14" fillId="0" borderId="0" xfId="0" applyNumberFormat="1" applyFont="1" applyBorder="1"/>
    <xf numFmtId="0" fontId="2" fillId="0" borderId="0" xfId="0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9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0" fontId="0" fillId="3" borderId="0" xfId="0" applyFill="1"/>
    <xf numFmtId="165" fontId="19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2" borderId="0" xfId="0" applyFill="1"/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Alignment="1">
      <alignment horizontal="center"/>
    </xf>
    <xf numFmtId="1" fontId="26" fillId="0" borderId="0" xfId="0" applyNumberFormat="1" applyFont="1" applyBorder="1" applyAlignment="1">
      <alignment horizontal="center"/>
    </xf>
    <xf numFmtId="1" fontId="27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164" fontId="2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2" fontId="2" fillId="0" borderId="0" xfId="0" applyNumberFormat="1" applyFont="1"/>
    <xf numFmtId="1" fontId="0" fillId="0" borderId="0" xfId="0" applyNumberFormat="1" applyAlignment="1">
      <alignment horizontal="center"/>
    </xf>
    <xf numFmtId="0" fontId="1" fillId="0" borderId="0" xfId="0" applyFont="1"/>
    <xf numFmtId="1" fontId="0" fillId="0" borderId="1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20" fillId="0" borderId="0" xfId="0" applyFont="1"/>
    <xf numFmtId="164" fontId="19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4" fontId="0" fillId="0" borderId="1" xfId="0" applyNumberFormat="1" applyBorder="1"/>
    <xf numFmtId="1" fontId="25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8"/>
  <sheetViews>
    <sheetView topLeftCell="A39" workbookViewId="0">
      <selection activeCell="R283" sqref="R283"/>
    </sheetView>
  </sheetViews>
  <sheetFormatPr defaultRowHeight="15" x14ac:dyDescent="0.25"/>
  <cols>
    <col min="1" max="1" width="16" bestFit="1" customWidth="1"/>
    <col min="2" max="2" width="13.7109375" bestFit="1" customWidth="1"/>
    <col min="3" max="3" width="9.5703125" bestFit="1" customWidth="1"/>
    <col min="4" max="4" width="15.85546875" customWidth="1"/>
    <col min="5" max="5" width="9.5703125" bestFit="1" customWidth="1"/>
    <col min="7" max="7" width="9.85546875" bestFit="1" customWidth="1"/>
    <col min="9" max="9" width="13.7109375" bestFit="1" customWidth="1"/>
    <col min="10" max="10" width="12.5703125" bestFit="1" customWidth="1"/>
  </cols>
  <sheetData>
    <row r="1" spans="1:15" x14ac:dyDescent="0.25">
      <c r="A1" s="3"/>
      <c r="B1" s="140" t="s">
        <v>40</v>
      </c>
      <c r="C1" s="141"/>
      <c r="D1" s="141"/>
      <c r="E1" s="141"/>
      <c r="F1" s="141"/>
      <c r="G1" s="141"/>
      <c r="H1" s="3"/>
      <c r="I1" s="3"/>
      <c r="J1" s="3"/>
      <c r="K1" s="3"/>
      <c r="L1" s="3"/>
      <c r="M1" s="3"/>
      <c r="N1" s="5"/>
      <c r="O1" s="3"/>
    </row>
    <row r="2" spans="1:15" ht="17.25" x14ac:dyDescent="0.25">
      <c r="A2" s="138" t="s">
        <v>53</v>
      </c>
      <c r="B2" s="139"/>
      <c r="C2" s="139"/>
      <c r="D2" s="22"/>
      <c r="E2" s="3"/>
      <c r="F2" s="3"/>
      <c r="G2" s="3"/>
      <c r="H2" s="3"/>
      <c r="I2" s="3"/>
      <c r="J2" s="3"/>
      <c r="K2" s="3"/>
      <c r="L2" s="3"/>
      <c r="M2" s="3"/>
      <c r="N2" s="5"/>
      <c r="O2" s="3"/>
    </row>
    <row r="3" spans="1:15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/>
      <c r="H3" s="7"/>
      <c r="I3" s="6" t="s">
        <v>6</v>
      </c>
      <c r="J3" s="7"/>
      <c r="K3" s="7"/>
      <c r="L3" s="7"/>
      <c r="M3" s="7"/>
      <c r="N3" s="136" t="s">
        <v>7</v>
      </c>
      <c r="O3" s="137"/>
    </row>
    <row r="4" spans="1:15" ht="15.75" x14ac:dyDescent="0.3">
      <c r="A4" s="6" t="s">
        <v>33</v>
      </c>
      <c r="B4" s="8">
        <v>19.433322266400001</v>
      </c>
      <c r="C4" s="8">
        <v>13.078747684799998</v>
      </c>
      <c r="D4" s="8">
        <v>11.484912393500002</v>
      </c>
      <c r="E4" s="9">
        <f t="shared" ref="E4:E11" si="0">SUM(B4:D4)</f>
        <v>43.996982344700001</v>
      </c>
      <c r="F4" s="10">
        <f t="shared" ref="F4:F11" si="1">E4/3</f>
        <v>14.665660781566666</v>
      </c>
      <c r="G4" s="7"/>
      <c r="H4" s="7"/>
      <c r="I4" s="7"/>
      <c r="J4" s="7"/>
      <c r="K4" s="7"/>
      <c r="L4" s="7"/>
      <c r="M4" s="7"/>
      <c r="N4" s="11">
        <v>1</v>
      </c>
      <c r="O4" s="12">
        <f>SUM(F4:F7)/4</f>
        <v>13.0868778606125</v>
      </c>
    </row>
    <row r="5" spans="1:15" x14ac:dyDescent="0.25">
      <c r="A5" s="6" t="s">
        <v>32</v>
      </c>
      <c r="B5" s="8">
        <v>12.494016690399997</v>
      </c>
      <c r="C5" s="8">
        <v>9.0215639135999997</v>
      </c>
      <c r="D5" s="8">
        <v>16.260934956</v>
      </c>
      <c r="E5" s="9">
        <f t="shared" si="0"/>
        <v>37.776515559999993</v>
      </c>
      <c r="F5" s="10">
        <f t="shared" si="1"/>
        <v>12.592171853333332</v>
      </c>
      <c r="G5" s="7"/>
      <c r="H5" s="13" t="s">
        <v>8</v>
      </c>
      <c r="I5" s="13" t="s">
        <v>9</v>
      </c>
      <c r="J5" s="13" t="s">
        <v>10</v>
      </c>
      <c r="K5" s="13" t="s">
        <v>11</v>
      </c>
      <c r="L5" s="13" t="s">
        <v>12</v>
      </c>
      <c r="M5" s="7"/>
      <c r="N5" s="11">
        <v>0.75</v>
      </c>
      <c r="O5" s="12">
        <f>SUM(F8:F11)/4</f>
        <v>13.003285347775</v>
      </c>
    </row>
    <row r="6" spans="1:15" ht="15.75" x14ac:dyDescent="0.3">
      <c r="A6" s="6" t="s">
        <v>34</v>
      </c>
      <c r="B6" s="8">
        <v>14.280263712050001</v>
      </c>
      <c r="C6" s="8">
        <v>12.912148351200001</v>
      </c>
      <c r="D6" s="8">
        <v>14.431667273099999</v>
      </c>
      <c r="E6" s="9">
        <f t="shared" si="0"/>
        <v>41.62407933635</v>
      </c>
      <c r="F6" s="10">
        <f t="shared" si="1"/>
        <v>13.874693112116667</v>
      </c>
      <c r="G6" s="13" t="s">
        <v>13</v>
      </c>
      <c r="H6" s="7">
        <v>2</v>
      </c>
      <c r="I6" s="14">
        <f>D15</f>
        <v>20.211927028278751</v>
      </c>
      <c r="J6" s="14">
        <f t="shared" ref="J6:J11" si="2">I6/H6</f>
        <v>10.105963514139376</v>
      </c>
      <c r="K6" s="15">
        <f>J6/J11</f>
        <v>0.59903764727628661</v>
      </c>
      <c r="L6" s="14">
        <f>FINV(0.05,2,14)</f>
        <v>3.7388918324407361</v>
      </c>
      <c r="M6" s="1" t="str">
        <f>IF(K6&gt;=L6,"sig","ns")</f>
        <v>ns</v>
      </c>
      <c r="N6" s="13" t="s">
        <v>14</v>
      </c>
      <c r="O6" s="12">
        <f>SQRT(J11/(3*4))</f>
        <v>1.1856900664993089</v>
      </c>
    </row>
    <row r="7" spans="1:15" ht="15.75" x14ac:dyDescent="0.3">
      <c r="A7" s="6" t="s">
        <v>35</v>
      </c>
      <c r="B7" s="8">
        <v>10.850948262700001</v>
      </c>
      <c r="C7" s="8">
        <v>12.197451210000002</v>
      </c>
      <c r="D7" s="8">
        <v>10.5965576136</v>
      </c>
      <c r="E7" s="9">
        <f t="shared" si="0"/>
        <v>33.644957086300003</v>
      </c>
      <c r="F7" s="10">
        <f t="shared" si="1"/>
        <v>11.214985695433334</v>
      </c>
      <c r="G7" s="13" t="s">
        <v>15</v>
      </c>
      <c r="H7" s="7">
        <v>7</v>
      </c>
      <c r="I7" s="14">
        <f>B16</f>
        <v>42.849882337725376</v>
      </c>
      <c r="J7" s="14">
        <f t="shared" si="2"/>
        <v>6.1214117625321967</v>
      </c>
      <c r="K7" s="15">
        <f>J7/J11</f>
        <v>0.36285071632271299</v>
      </c>
      <c r="L7" s="14">
        <f>FINV(0.05,7,14)</f>
        <v>2.7641992567781792</v>
      </c>
      <c r="M7" s="1" t="str">
        <f>IF(K7&gt;=L7,"sig","ns")</f>
        <v>ns</v>
      </c>
      <c r="N7" s="13" t="s">
        <v>16</v>
      </c>
      <c r="O7" s="12">
        <f>SQRT((2*J11)/(3*4))*L12</f>
        <v>3.5964190109402878</v>
      </c>
    </row>
    <row r="8" spans="1:15" ht="15.75" x14ac:dyDescent="0.3">
      <c r="A8" s="6" t="s">
        <v>36</v>
      </c>
      <c r="B8" s="8">
        <v>10</v>
      </c>
      <c r="C8" s="8">
        <v>17.147714742200002</v>
      </c>
      <c r="D8" s="8">
        <v>12.4076837024</v>
      </c>
      <c r="E8" s="9">
        <f t="shared" si="0"/>
        <v>39.555398444600002</v>
      </c>
      <c r="F8" s="10">
        <f t="shared" si="1"/>
        <v>13.185132814866668</v>
      </c>
      <c r="G8" s="7" t="s">
        <v>17</v>
      </c>
      <c r="H8" s="7">
        <v>1</v>
      </c>
      <c r="I8" s="14">
        <f>((E4+E5+E6+E7)^2+(E8+E9+E10+E11)^2)/12-B14</f>
        <v>4.1926249215066491E-2</v>
      </c>
      <c r="J8" s="14">
        <f t="shared" si="2"/>
        <v>4.1926249215066491E-2</v>
      </c>
      <c r="K8" s="15">
        <f>J8/J11</f>
        <v>2.4852060522258398E-3</v>
      </c>
      <c r="L8" s="14">
        <f>FINV(0.05,1,14)</f>
        <v>4.6001099366694227</v>
      </c>
      <c r="M8" s="1" t="str">
        <f>IF(K8&gt;=L8,"sig","ns")</f>
        <v>ns</v>
      </c>
      <c r="N8" s="16" t="s">
        <v>18</v>
      </c>
      <c r="O8" s="12">
        <f>(F4+F8)/2</f>
        <v>13.925396798216667</v>
      </c>
    </row>
    <row r="9" spans="1:15" x14ac:dyDescent="0.25">
      <c r="A9" s="6" t="s">
        <v>37</v>
      </c>
      <c r="B9" s="8">
        <v>10.5126746158</v>
      </c>
      <c r="C9" s="8">
        <v>8.5761031954499991</v>
      </c>
      <c r="D9" s="8">
        <v>13.109197563</v>
      </c>
      <c r="E9" s="9">
        <f t="shared" si="0"/>
        <v>32.197975374249999</v>
      </c>
      <c r="F9" s="10">
        <f t="shared" si="1"/>
        <v>10.732658458083334</v>
      </c>
      <c r="G9" s="7" t="s">
        <v>19</v>
      </c>
      <c r="H9" s="7">
        <v>3</v>
      </c>
      <c r="I9" s="14">
        <f xml:space="preserve"> ((E4+E8)^2+(E5+E9)^2+(E6+E10)^2+(E7+E11)^2)/6-B14</f>
        <v>21.15208352255695</v>
      </c>
      <c r="J9" s="14">
        <f t="shared" si="2"/>
        <v>7.0506945075189833</v>
      </c>
      <c r="K9" s="15">
        <f>J9/J11</f>
        <v>0.41793456344253316</v>
      </c>
      <c r="L9" s="14">
        <f>FINV(0.05,3,14)</f>
        <v>3.3438886781189128</v>
      </c>
      <c r="M9" s="1" t="str">
        <f>IF(K9&gt;=L9,"sig","ns")</f>
        <v>ns</v>
      </c>
      <c r="N9" s="16" t="s">
        <v>20</v>
      </c>
      <c r="O9" s="12">
        <f>(F5+F9)/2</f>
        <v>11.662415155708333</v>
      </c>
    </row>
    <row r="10" spans="1:15" ht="15.75" x14ac:dyDescent="0.3">
      <c r="A10" s="6" t="s">
        <v>38</v>
      </c>
      <c r="B10" s="8">
        <v>9.7791358833000004</v>
      </c>
      <c r="C10" s="8">
        <v>22.898308406399998</v>
      </c>
      <c r="D10" s="8">
        <v>9.0570887715000001</v>
      </c>
      <c r="E10" s="9">
        <f t="shared" si="0"/>
        <v>41.734533061199997</v>
      </c>
      <c r="F10" s="10">
        <f t="shared" si="1"/>
        <v>13.911511020399999</v>
      </c>
      <c r="G10" s="17" t="s">
        <v>21</v>
      </c>
      <c r="H10" s="18">
        <v>3</v>
      </c>
      <c r="I10" s="14">
        <f>(I7-(I8+I9))</f>
        <v>21.655872565953359</v>
      </c>
      <c r="J10" s="14">
        <f t="shared" si="2"/>
        <v>7.2186241886511198</v>
      </c>
      <c r="K10" s="15">
        <f>J10/J11</f>
        <v>0.42788870595972184</v>
      </c>
      <c r="L10" s="14">
        <f>FINV(0.05,3,14)</f>
        <v>3.3438886781189128</v>
      </c>
      <c r="M10" s="1" t="str">
        <f>IF(K10&gt;=L10,"sig","ns")</f>
        <v>ns</v>
      </c>
      <c r="N10" s="16" t="s">
        <v>22</v>
      </c>
      <c r="O10" s="12">
        <f>(F6+F10)/2</f>
        <v>13.893102066258333</v>
      </c>
    </row>
    <row r="11" spans="1:15" ht="15.75" x14ac:dyDescent="0.3">
      <c r="A11" s="6" t="s">
        <v>39</v>
      </c>
      <c r="B11" s="8">
        <v>12.262200951000001</v>
      </c>
      <c r="C11" s="8">
        <v>18.898874404199997</v>
      </c>
      <c r="D11" s="8">
        <v>11.390441938050001</v>
      </c>
      <c r="E11" s="9">
        <f t="shared" si="0"/>
        <v>42.551517293250001</v>
      </c>
      <c r="F11" s="10">
        <f t="shared" si="1"/>
        <v>14.183839097750001</v>
      </c>
      <c r="G11" s="13" t="s">
        <v>23</v>
      </c>
      <c r="H11" s="7">
        <v>14</v>
      </c>
      <c r="I11" s="14">
        <f>D16</f>
        <v>236.18463687758276</v>
      </c>
      <c r="J11" s="14">
        <f t="shared" si="2"/>
        <v>16.870331205541625</v>
      </c>
      <c r="K11" s="14"/>
      <c r="L11" s="14"/>
      <c r="M11" s="7"/>
      <c r="N11" s="16" t="s">
        <v>24</v>
      </c>
      <c r="O11" s="12">
        <f>(F7+F11)/2</f>
        <v>12.699412396591669</v>
      </c>
    </row>
    <row r="12" spans="1:15" x14ac:dyDescent="0.25">
      <c r="A12" s="6" t="s">
        <v>4</v>
      </c>
      <c r="B12" s="9">
        <f>SUM(B4:B11)</f>
        <v>99.612562381649994</v>
      </c>
      <c r="C12" s="9">
        <f>SUM(C4:C11)</f>
        <v>114.73091190785001</v>
      </c>
      <c r="D12" s="9">
        <f>SUM(D4:D11)</f>
        <v>98.738484211149995</v>
      </c>
      <c r="E12" s="15">
        <f>SUM(E4:E11)</f>
        <v>313.08195850064999</v>
      </c>
      <c r="F12" s="19">
        <f>AVERAGE(B4:D11)</f>
        <v>13.045081604193749</v>
      </c>
      <c r="G12" s="13" t="s">
        <v>4</v>
      </c>
      <c r="H12" s="7">
        <v>23</v>
      </c>
      <c r="I12" s="14">
        <f>B15</f>
        <v>299.24644624358689</v>
      </c>
      <c r="J12" s="14"/>
      <c r="K12" s="7" t="s">
        <v>25</v>
      </c>
      <c r="L12" s="20">
        <f>TINV(0.05,14)</f>
        <v>2.1447866879178044</v>
      </c>
      <c r="M12" s="7"/>
      <c r="N12" s="13" t="s">
        <v>14</v>
      </c>
      <c r="O12" s="12">
        <f>SQRT(J11/(3*2))</f>
        <v>1.6768189728143794</v>
      </c>
    </row>
    <row r="13" spans="1:15" x14ac:dyDescent="0.25">
      <c r="A13" s="6" t="s">
        <v>5</v>
      </c>
      <c r="B13" s="9">
        <f>B12/8</f>
        <v>12.451570297706249</v>
      </c>
      <c r="C13" s="9">
        <f>C12/8</f>
        <v>14.341363988481252</v>
      </c>
      <c r="D13" s="9">
        <f>D12/8</f>
        <v>12.342310526393749</v>
      </c>
      <c r="E13" s="14"/>
      <c r="F13" s="14"/>
      <c r="G13" s="13" t="s">
        <v>14</v>
      </c>
      <c r="H13" s="12">
        <f>SQRT(J11/3)</f>
        <v>2.3713801329986177</v>
      </c>
      <c r="I13" s="7"/>
      <c r="J13" s="21"/>
      <c r="K13" s="7"/>
      <c r="L13" s="7"/>
      <c r="M13" s="7"/>
      <c r="N13" s="13" t="s">
        <v>16</v>
      </c>
      <c r="O13" s="12">
        <f>SQRT((2*J11)/(3*2))*L12</f>
        <v>5.0861045412481873</v>
      </c>
    </row>
    <row r="14" spans="1:15" x14ac:dyDescent="0.25">
      <c r="A14" s="7" t="s">
        <v>26</v>
      </c>
      <c r="B14" s="15">
        <f>(E12*E12)/24</f>
        <v>4084.1796974417798</v>
      </c>
      <c r="C14" s="14"/>
      <c r="D14" s="14"/>
      <c r="E14" s="14"/>
      <c r="F14" s="14"/>
      <c r="G14" s="13" t="s">
        <v>16</v>
      </c>
      <c r="H14" s="12">
        <f>(SQRT((2*J11)/3))*L12</f>
        <v>7.1928380218805756</v>
      </c>
      <c r="I14" s="7"/>
      <c r="J14" s="7"/>
      <c r="K14" s="7"/>
      <c r="L14" s="7"/>
      <c r="M14" s="7"/>
      <c r="N14" s="7"/>
      <c r="O14" s="7"/>
    </row>
    <row r="15" spans="1:15" x14ac:dyDescent="0.25">
      <c r="A15" s="7" t="s">
        <v>27</v>
      </c>
      <c r="B15" s="15">
        <f>SUMSQ(B4:D11)-B14</f>
        <v>299.24644624358689</v>
      </c>
      <c r="C15" s="7" t="s">
        <v>28</v>
      </c>
      <c r="D15" s="15">
        <f>(SUMSQ(B12:D12)/8)-B14</f>
        <v>20.211927028278751</v>
      </c>
      <c r="E15" s="14"/>
      <c r="F15" s="14"/>
      <c r="G15" s="13" t="s">
        <v>29</v>
      </c>
      <c r="H15" s="12">
        <f>((SQRT(J11))/F12)*100</f>
        <v>31.485819706122886</v>
      </c>
      <c r="I15" s="7"/>
      <c r="J15" s="21"/>
      <c r="K15" s="7"/>
      <c r="L15" s="7"/>
      <c r="M15" s="7"/>
      <c r="N15" s="7"/>
      <c r="O15" s="7"/>
    </row>
    <row r="16" spans="1:15" x14ac:dyDescent="0.25">
      <c r="A16" s="7" t="s">
        <v>30</v>
      </c>
      <c r="B16" s="15">
        <f>(SUMSQ(E4:E11)/3)-B14</f>
        <v>42.849882337725376</v>
      </c>
      <c r="C16" s="7" t="s">
        <v>31</v>
      </c>
      <c r="D16" s="15">
        <f>B15-B16-D15</f>
        <v>236.18463687758276</v>
      </c>
      <c r="E16" s="14"/>
      <c r="F16" s="14"/>
      <c r="G16" s="7"/>
      <c r="H16" s="7"/>
      <c r="I16" s="7"/>
      <c r="J16" s="7"/>
      <c r="K16" s="7"/>
      <c r="L16" s="7"/>
      <c r="M16" s="2"/>
      <c r="N16" s="7"/>
      <c r="O16" s="7"/>
    </row>
    <row r="18" spans="1:15" x14ac:dyDescent="0.25">
      <c r="A18" s="138" t="s">
        <v>54</v>
      </c>
      <c r="B18" s="139"/>
      <c r="C18" s="139"/>
      <c r="D18" s="22"/>
      <c r="E18" s="3"/>
      <c r="F18" s="3"/>
      <c r="G18" s="3"/>
      <c r="H18" s="3"/>
      <c r="I18" s="3"/>
      <c r="J18" s="3"/>
      <c r="K18" s="3"/>
      <c r="L18" s="3"/>
      <c r="M18" s="3"/>
      <c r="N18" s="5"/>
      <c r="O18" s="3"/>
    </row>
    <row r="19" spans="1:15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7"/>
      <c r="H19" s="7"/>
      <c r="I19" s="6" t="s">
        <v>6</v>
      </c>
      <c r="J19" s="7"/>
      <c r="K19" s="7"/>
      <c r="L19" s="7"/>
      <c r="M19" s="7"/>
      <c r="N19" s="136" t="s">
        <v>7</v>
      </c>
      <c r="O19" s="137"/>
    </row>
    <row r="20" spans="1:15" ht="15.75" x14ac:dyDescent="0.3">
      <c r="A20" s="6" t="s">
        <v>33</v>
      </c>
      <c r="B20" s="8">
        <v>142.35318058499999</v>
      </c>
      <c r="C20" s="8">
        <v>208.45683283599996</v>
      </c>
      <c r="D20" s="8">
        <v>229.20533317499996</v>
      </c>
      <c r="E20" s="9">
        <f t="shared" ref="E20:E27" si="3">SUM(B20:D20)</f>
        <v>580.01534659599997</v>
      </c>
      <c r="F20" s="10">
        <f t="shared" ref="F20:F27" si="4">E20/3</f>
        <v>193.33844886533333</v>
      </c>
      <c r="G20" s="7"/>
      <c r="H20" s="7"/>
      <c r="I20" s="7"/>
      <c r="J20" s="7"/>
      <c r="K20" s="7"/>
      <c r="L20" s="7"/>
      <c r="M20" s="7"/>
      <c r="N20" s="11">
        <v>1</v>
      </c>
      <c r="O20" s="12">
        <f>SUM(F20:F23)/4</f>
        <v>194.74455851865</v>
      </c>
    </row>
    <row r="21" spans="1:15" x14ac:dyDescent="0.25">
      <c r="A21" s="6" t="s">
        <v>32</v>
      </c>
      <c r="B21" s="8">
        <v>126.37661949149998</v>
      </c>
      <c r="C21" s="8">
        <v>181.68835657699998</v>
      </c>
      <c r="D21" s="8">
        <v>231.02357590199998</v>
      </c>
      <c r="E21" s="9">
        <f t="shared" si="3"/>
        <v>539.08855197049991</v>
      </c>
      <c r="F21" s="10">
        <f t="shared" si="4"/>
        <v>179.69618399016665</v>
      </c>
      <c r="G21" s="7"/>
      <c r="H21" s="13" t="s">
        <v>8</v>
      </c>
      <c r="I21" s="13" t="s">
        <v>9</v>
      </c>
      <c r="J21" s="13" t="s">
        <v>10</v>
      </c>
      <c r="K21" s="13" t="s">
        <v>11</v>
      </c>
      <c r="L21" s="13" t="s">
        <v>12</v>
      </c>
      <c r="M21" s="7"/>
      <c r="N21" s="11">
        <v>0.75</v>
      </c>
      <c r="O21" s="12">
        <f>SUM(F24:F27)/4</f>
        <v>162.82092857479165</v>
      </c>
    </row>
    <row r="22" spans="1:15" ht="15.75" x14ac:dyDescent="0.3">
      <c r="A22" s="6" t="s">
        <v>34</v>
      </c>
      <c r="B22" s="8">
        <v>163.69189522980002</v>
      </c>
      <c r="C22" s="8">
        <v>185.28050887499998</v>
      </c>
      <c r="D22" s="8">
        <v>240.18653924999998</v>
      </c>
      <c r="E22" s="9">
        <f t="shared" si="3"/>
        <v>589.15894335480004</v>
      </c>
      <c r="F22" s="10">
        <f t="shared" si="4"/>
        <v>196.38631445160001</v>
      </c>
      <c r="G22" s="13" t="s">
        <v>13</v>
      </c>
      <c r="H22" s="7">
        <v>2</v>
      </c>
      <c r="I22" s="14">
        <f>D31</f>
        <v>33453.555397973396</v>
      </c>
      <c r="J22" s="14">
        <f t="shared" ref="J22:J27" si="5">I22/H22</f>
        <v>16726.777698986698</v>
      </c>
      <c r="K22" s="15">
        <f>J22/J27</f>
        <v>22.528061464251511</v>
      </c>
      <c r="L22" s="14">
        <f>FINV(0.05,2,14)</f>
        <v>3.7388918324407361</v>
      </c>
      <c r="M22" s="1" t="str">
        <f>IF(K22&gt;=L22,"sig","ns")</f>
        <v>sig</v>
      </c>
      <c r="N22" s="13" t="s">
        <v>14</v>
      </c>
      <c r="O22" s="12">
        <f>SQRT(J27/(3*4))</f>
        <v>7.8659939555482374</v>
      </c>
    </row>
    <row r="23" spans="1:15" ht="15.75" x14ac:dyDescent="0.3">
      <c r="A23" s="6" t="s">
        <v>35</v>
      </c>
      <c r="B23" s="8">
        <v>187.87924848</v>
      </c>
      <c r="C23" s="8">
        <v>217.45413017999996</v>
      </c>
      <c r="D23" s="8">
        <v>223.33848164249997</v>
      </c>
      <c r="E23" s="9">
        <f t="shared" si="3"/>
        <v>628.67186030249991</v>
      </c>
      <c r="F23" s="10">
        <f t="shared" si="4"/>
        <v>209.55728676749996</v>
      </c>
      <c r="G23" s="13" t="s">
        <v>15</v>
      </c>
      <c r="H23" s="7">
        <v>7</v>
      </c>
      <c r="I23" s="14">
        <f>B32</f>
        <v>28143.504167660256</v>
      </c>
      <c r="J23" s="14">
        <f t="shared" si="5"/>
        <v>4020.5005953800364</v>
      </c>
      <c r="K23" s="15">
        <f>J23/J27</f>
        <v>5.4149153028600479</v>
      </c>
      <c r="L23" s="14">
        <f>FINV(0.05,7,14)</f>
        <v>2.7641992567781792</v>
      </c>
      <c r="M23" s="1" t="str">
        <f>IF(K23&gt;=L23,"sig","ns")</f>
        <v>sig</v>
      </c>
      <c r="N23" s="13" t="s">
        <v>16</v>
      </c>
      <c r="O23" s="12">
        <f>SQRT((2*J27)/(3*4))*L28</f>
        <v>23.859026065047637</v>
      </c>
    </row>
    <row r="24" spans="1:15" ht="15.75" x14ac:dyDescent="0.3">
      <c r="A24" s="6" t="s">
        <v>36</v>
      </c>
      <c r="B24" s="8">
        <v>0</v>
      </c>
      <c r="C24" s="8">
        <v>157.14003810399998</v>
      </c>
      <c r="D24" s="8">
        <v>151.27814488499999</v>
      </c>
      <c r="E24" s="9">
        <f t="shared" si="3"/>
        <v>308.418182989</v>
      </c>
      <c r="F24" s="10">
        <f t="shared" si="4"/>
        <v>102.80606099633333</v>
      </c>
      <c r="G24" s="7" t="s">
        <v>17</v>
      </c>
      <c r="H24" s="7">
        <v>1</v>
      </c>
      <c r="I24" s="14">
        <f>((E20+E21+E22+E23)^2+(E24+E25+E26+E27)^2)/12-B30</f>
        <v>6114.7088927546283</v>
      </c>
      <c r="J24" s="14">
        <f t="shared" si="5"/>
        <v>6114.7088927546283</v>
      </c>
      <c r="K24" s="15">
        <f>J24/J27</f>
        <v>8.2354497830342162</v>
      </c>
      <c r="L24" s="14">
        <f>FINV(0.05,1,14)</f>
        <v>4.6001099366694227</v>
      </c>
      <c r="M24" s="1" t="str">
        <f>IF(K24&gt;=L24,"sig","ns")</f>
        <v>sig</v>
      </c>
      <c r="N24" s="16" t="s">
        <v>18</v>
      </c>
      <c r="O24" s="12">
        <f>(F20+F24)/2</f>
        <v>148.07225493083334</v>
      </c>
    </row>
    <row r="25" spans="1:15" x14ac:dyDescent="0.25">
      <c r="A25" s="6" t="s">
        <v>37</v>
      </c>
      <c r="B25" s="8">
        <v>133.33021667699998</v>
      </c>
      <c r="C25" s="8">
        <v>125.90412138149998</v>
      </c>
      <c r="D25" s="8">
        <v>187.05150179099996</v>
      </c>
      <c r="E25" s="9">
        <f t="shared" si="3"/>
        <v>446.28583984949989</v>
      </c>
      <c r="F25" s="10">
        <f t="shared" si="4"/>
        <v>148.76194661649996</v>
      </c>
      <c r="G25" s="7" t="s">
        <v>19</v>
      </c>
      <c r="H25" s="7">
        <v>3</v>
      </c>
      <c r="I25" s="14">
        <f xml:space="preserve"> ((E20+E24)^2+(E21+E25)^2+(E22+E26)^2+(E23+E27)^2)/6-B30</f>
        <v>14252.844756245613</v>
      </c>
      <c r="J25" s="14">
        <f t="shared" si="5"/>
        <v>4750.948252081871</v>
      </c>
      <c r="K25" s="15">
        <f>J25/J27</f>
        <v>6.3987013017374226</v>
      </c>
      <c r="L25" s="14">
        <f>FINV(0.05,3,14)</f>
        <v>3.3438886781189128</v>
      </c>
      <c r="M25" s="1" t="str">
        <f>IF(K25&gt;=L25,"sig","ns")</f>
        <v>sig</v>
      </c>
      <c r="N25" s="16" t="s">
        <v>20</v>
      </c>
      <c r="O25" s="12">
        <f>(F21+F25)/2</f>
        <v>164.2290653033333</v>
      </c>
    </row>
    <row r="26" spans="1:15" ht="15.75" x14ac:dyDescent="0.3">
      <c r="A26" s="6" t="s">
        <v>38</v>
      </c>
      <c r="B26" s="8">
        <v>128.826901357</v>
      </c>
      <c r="C26" s="8">
        <v>212.21815112399997</v>
      </c>
      <c r="D26" s="8">
        <v>218.87162451</v>
      </c>
      <c r="E26" s="9">
        <f t="shared" si="3"/>
        <v>559.91667699100003</v>
      </c>
      <c r="F26" s="10">
        <f t="shared" si="4"/>
        <v>186.63889233033333</v>
      </c>
      <c r="G26" s="17" t="s">
        <v>21</v>
      </c>
      <c r="H26" s="18">
        <v>3</v>
      </c>
      <c r="I26" s="14">
        <f>(I23-(I24+I25))</f>
        <v>7775.9505186600145</v>
      </c>
      <c r="J26" s="14">
        <f t="shared" si="5"/>
        <v>2591.983506220005</v>
      </c>
      <c r="K26" s="15">
        <f>J26/J27</f>
        <v>3.4909511439246184</v>
      </c>
      <c r="L26" s="14">
        <f>FINV(0.05,3,14)</f>
        <v>3.3438886781189128</v>
      </c>
      <c r="M26" s="1" t="str">
        <f>IF(K26&gt;=L26,"sig","ns")</f>
        <v>sig</v>
      </c>
      <c r="N26" s="16" t="s">
        <v>22</v>
      </c>
      <c r="O26" s="12">
        <f>(F22+F26)/2</f>
        <v>191.51260339096666</v>
      </c>
    </row>
    <row r="27" spans="1:15" ht="15.75" x14ac:dyDescent="0.3">
      <c r="A27" s="6" t="s">
        <v>39</v>
      </c>
      <c r="B27" s="8">
        <v>147.93974157199997</v>
      </c>
      <c r="C27" s="8">
        <v>224.17176997600001</v>
      </c>
      <c r="D27" s="8">
        <v>267.11893151999999</v>
      </c>
      <c r="E27" s="9">
        <f t="shared" si="3"/>
        <v>639.23044306799989</v>
      </c>
      <c r="F27" s="10">
        <f t="shared" si="4"/>
        <v>213.07681435599997</v>
      </c>
      <c r="G27" s="13" t="s">
        <v>23</v>
      </c>
      <c r="H27" s="7">
        <v>14</v>
      </c>
      <c r="I27" s="14">
        <f>D32</f>
        <v>10394.808632665197</v>
      </c>
      <c r="J27" s="14">
        <f t="shared" si="5"/>
        <v>742.48633090465694</v>
      </c>
      <c r="K27" s="14"/>
      <c r="L27" s="14"/>
      <c r="M27" s="7"/>
      <c r="N27" s="16" t="s">
        <v>24</v>
      </c>
      <c r="O27" s="12">
        <f>(F23+F27)/2</f>
        <v>211.31705056174997</v>
      </c>
    </row>
    <row r="28" spans="1:15" x14ac:dyDescent="0.25">
      <c r="A28" s="6" t="s">
        <v>4</v>
      </c>
      <c r="B28" s="9">
        <f>SUM(B20:B27)</f>
        <v>1030.3978033922999</v>
      </c>
      <c r="C28" s="9">
        <f>SUM(C20:C27)</f>
        <v>1512.3139090534999</v>
      </c>
      <c r="D28" s="9">
        <f>SUM(D20:D27)</f>
        <v>1748.0741326754999</v>
      </c>
      <c r="E28" s="15">
        <f>SUM(E20:E27)</f>
        <v>4290.7858451212996</v>
      </c>
      <c r="F28" s="19">
        <f>AVERAGE(B20:D27)</f>
        <v>178.78274354672081</v>
      </c>
      <c r="G28" s="13" t="s">
        <v>4</v>
      </c>
      <c r="H28" s="7">
        <v>23</v>
      </c>
      <c r="I28" s="14">
        <f>B31</f>
        <v>71991.868198298849</v>
      </c>
      <c r="J28" s="14"/>
      <c r="K28" s="7" t="s">
        <v>25</v>
      </c>
      <c r="L28" s="20">
        <f>TINV(0.05,14)</f>
        <v>2.1447866879178044</v>
      </c>
      <c r="M28" s="7"/>
      <c r="N28" s="13" t="s">
        <v>14</v>
      </c>
      <c r="O28" s="12">
        <f>SQRT(J27/(3*2))</f>
        <v>11.124195333481106</v>
      </c>
    </row>
    <row r="29" spans="1:15" x14ac:dyDescent="0.25">
      <c r="A29" s="6" t="s">
        <v>5</v>
      </c>
      <c r="B29" s="9">
        <f>B28/8</f>
        <v>128.79972542403749</v>
      </c>
      <c r="C29" s="9">
        <f>C28/8</f>
        <v>189.03923863168748</v>
      </c>
      <c r="D29" s="9">
        <f>D28/8</f>
        <v>218.50926658443748</v>
      </c>
      <c r="E29" s="14"/>
      <c r="F29" s="14"/>
      <c r="G29" s="13" t="s">
        <v>14</v>
      </c>
      <c r="H29" s="12">
        <f>SQRT(J27/3)</f>
        <v>15.731987911096475</v>
      </c>
      <c r="I29" s="7"/>
      <c r="J29" s="21"/>
      <c r="K29" s="7"/>
      <c r="L29" s="7"/>
      <c r="M29" s="7"/>
      <c r="N29" s="13" t="s">
        <v>16</v>
      </c>
      <c r="O29" s="12">
        <f>SQRT((2*J27)/(3*2))*L28</f>
        <v>33.741758246203545</v>
      </c>
    </row>
    <row r="30" spans="1:15" x14ac:dyDescent="0.25">
      <c r="A30" s="7" t="s">
        <v>26</v>
      </c>
      <c r="B30" s="15">
        <f>(E28*E28)/24</f>
        <v>767118.465362221</v>
      </c>
      <c r="C30" s="14"/>
      <c r="D30" s="14"/>
      <c r="E30" s="14"/>
      <c r="F30" s="14"/>
      <c r="G30" s="13" t="s">
        <v>16</v>
      </c>
      <c r="H30" s="12">
        <f>(SQRT((2*J27)/3))*L28</f>
        <v>47.718052130095273</v>
      </c>
      <c r="I30" s="7"/>
      <c r="J30" s="7"/>
      <c r="K30" s="7"/>
      <c r="L30" s="7"/>
      <c r="M30" s="7"/>
      <c r="N30" s="7"/>
      <c r="O30" s="7"/>
    </row>
    <row r="31" spans="1:15" x14ac:dyDescent="0.25">
      <c r="A31" s="7" t="s">
        <v>27</v>
      </c>
      <c r="B31" s="15">
        <f>SUMSQ(B20:D27)-B30</f>
        <v>71991.868198298849</v>
      </c>
      <c r="C31" s="7" t="s">
        <v>28</v>
      </c>
      <c r="D31" s="15">
        <f>(SUMSQ(B28:D28)/8)-B30</f>
        <v>33453.555397973396</v>
      </c>
      <c r="E31" s="14"/>
      <c r="F31" s="14"/>
      <c r="G31" s="13" t="s">
        <v>29</v>
      </c>
      <c r="H31" s="12">
        <f>((SQRT(J27))/F28)*100</f>
        <v>15.241181461653575</v>
      </c>
      <c r="I31" s="7"/>
      <c r="J31" s="21"/>
      <c r="K31" s="7"/>
      <c r="L31" s="7"/>
      <c r="M31" s="7"/>
      <c r="N31" s="7"/>
      <c r="O31" s="7"/>
    </row>
    <row r="32" spans="1:15" x14ac:dyDescent="0.25">
      <c r="A32" s="7" t="s">
        <v>30</v>
      </c>
      <c r="B32" s="15">
        <f>(SUMSQ(E20:E27)/3)-B30</f>
        <v>28143.504167660256</v>
      </c>
      <c r="C32" s="7" t="s">
        <v>31</v>
      </c>
      <c r="D32" s="15">
        <f>B31-B32-D31</f>
        <v>10394.808632665197</v>
      </c>
      <c r="E32" s="14"/>
      <c r="F32" s="14"/>
      <c r="G32" s="7"/>
      <c r="H32" s="7"/>
      <c r="I32" s="7"/>
      <c r="J32" s="7"/>
      <c r="K32" s="7"/>
      <c r="L32" s="7"/>
      <c r="M32" s="2"/>
      <c r="N32" s="7"/>
      <c r="O32" s="7"/>
    </row>
    <row r="34" spans="1:15" x14ac:dyDescent="0.25">
      <c r="A34" s="138" t="s">
        <v>55</v>
      </c>
      <c r="B34" s="139"/>
      <c r="C34" s="139"/>
      <c r="D34" s="22"/>
      <c r="E34" s="3"/>
      <c r="F34" s="3"/>
      <c r="G34" s="3"/>
      <c r="H34" s="3"/>
      <c r="I34" s="3"/>
      <c r="J34" s="3"/>
      <c r="K34" s="3"/>
      <c r="L34" s="3"/>
      <c r="M34" s="3"/>
      <c r="N34" s="5"/>
      <c r="O34" s="3"/>
    </row>
    <row r="35" spans="1:15" x14ac:dyDescent="0.25">
      <c r="A35" s="6" t="s">
        <v>0</v>
      </c>
      <c r="B35" s="6" t="s">
        <v>1</v>
      </c>
      <c r="C35" s="6" t="s">
        <v>2</v>
      </c>
      <c r="D35" s="6" t="s">
        <v>3</v>
      </c>
      <c r="E35" s="6" t="s">
        <v>4</v>
      </c>
      <c r="F35" s="6" t="s">
        <v>5</v>
      </c>
      <c r="G35" s="7"/>
      <c r="H35" s="7"/>
      <c r="I35" s="6" t="s">
        <v>6</v>
      </c>
      <c r="J35" s="7"/>
      <c r="K35" s="7"/>
      <c r="L35" s="7"/>
      <c r="M35" s="7"/>
      <c r="N35" s="136" t="s">
        <v>7</v>
      </c>
      <c r="O35" s="137"/>
    </row>
    <row r="36" spans="1:15" ht="15.75" x14ac:dyDescent="0.3">
      <c r="A36" s="6" t="s">
        <v>33</v>
      </c>
      <c r="B36" s="8">
        <v>328.85868455999997</v>
      </c>
      <c r="C36" s="8">
        <v>252.27899088000001</v>
      </c>
      <c r="D36" s="8">
        <v>258.26980025</v>
      </c>
      <c r="E36" s="9">
        <f t="shared" ref="E36:E43" si="6">SUM(B36:D36)</f>
        <v>839.40747568999996</v>
      </c>
      <c r="F36" s="10">
        <f t="shared" ref="F36:F43" si="7">E36/3</f>
        <v>279.80249189666665</v>
      </c>
      <c r="G36" s="7"/>
      <c r="H36" s="7"/>
      <c r="I36" s="7"/>
      <c r="J36" s="7"/>
      <c r="K36" s="7"/>
      <c r="L36" s="7"/>
      <c r="M36" s="7"/>
      <c r="N36" s="11">
        <v>1</v>
      </c>
      <c r="O36" s="12">
        <f>SUM(F36:F39)/4</f>
        <v>328.58500509916666</v>
      </c>
    </row>
    <row r="37" spans="1:15" x14ac:dyDescent="0.25">
      <c r="A37" s="6" t="s">
        <v>32</v>
      </c>
      <c r="B37" s="8">
        <v>298.98630405000006</v>
      </c>
      <c r="C37" s="8">
        <v>297.73214239999999</v>
      </c>
      <c r="D37" s="8">
        <v>354.77608088999995</v>
      </c>
      <c r="E37" s="9">
        <f t="shared" si="6"/>
        <v>951.4945273400001</v>
      </c>
      <c r="F37" s="10">
        <f t="shared" si="7"/>
        <v>317.16484244666668</v>
      </c>
      <c r="G37" s="7"/>
      <c r="H37" s="13" t="s">
        <v>8</v>
      </c>
      <c r="I37" s="13" t="s">
        <v>9</v>
      </c>
      <c r="J37" s="13" t="s">
        <v>10</v>
      </c>
      <c r="K37" s="13" t="s">
        <v>11</v>
      </c>
      <c r="L37" s="13" t="s">
        <v>12</v>
      </c>
      <c r="M37" s="7"/>
      <c r="N37" s="11">
        <v>0.75</v>
      </c>
      <c r="O37" s="12">
        <f>SUM(F40:F43)/4</f>
        <v>329.04972546250002</v>
      </c>
    </row>
    <row r="38" spans="1:15" ht="15.75" x14ac:dyDescent="0.3">
      <c r="A38" s="6" t="s">
        <v>34</v>
      </c>
      <c r="B38" s="8">
        <v>360.17772594999997</v>
      </c>
      <c r="C38" s="8">
        <v>316.66123334999997</v>
      </c>
      <c r="D38" s="8">
        <v>360.35855856000001</v>
      </c>
      <c r="E38" s="9">
        <f t="shared" si="6"/>
        <v>1037.1975178600001</v>
      </c>
      <c r="F38" s="10">
        <f t="shared" si="7"/>
        <v>345.73250595333337</v>
      </c>
      <c r="G38" s="13" t="s">
        <v>13</v>
      </c>
      <c r="H38" s="7">
        <v>2</v>
      </c>
      <c r="I38" s="14">
        <f>D47</f>
        <v>-1109426.3226640602</v>
      </c>
      <c r="J38" s="14">
        <f t="shared" ref="J38:J43" si="8">I38/H38</f>
        <v>-554713.16133203008</v>
      </c>
      <c r="K38" s="15">
        <f>J38/J43</f>
        <v>-6.0064941049235614</v>
      </c>
      <c r="L38" s="14">
        <f>FINV(0.05,2,14)</f>
        <v>3.7388918324407361</v>
      </c>
      <c r="M38" s="1" t="str">
        <f>IF(K38&gt;=L38,"sig","ns")</f>
        <v>ns</v>
      </c>
      <c r="N38" s="13" t="s">
        <v>14</v>
      </c>
      <c r="O38" s="12">
        <f>SQRT(J43/(3*4))</f>
        <v>87.72696090564186</v>
      </c>
    </row>
    <row r="39" spans="1:15" ht="15.75" x14ac:dyDescent="0.3">
      <c r="A39" s="6" t="s">
        <v>35</v>
      </c>
      <c r="B39" s="8">
        <v>394.78675418</v>
      </c>
      <c r="C39" s="8">
        <v>309.16543000000001</v>
      </c>
      <c r="D39" s="8">
        <v>410.96835612000001</v>
      </c>
      <c r="E39" s="9">
        <f t="shared" si="6"/>
        <v>1114.9205403000001</v>
      </c>
      <c r="F39" s="10">
        <f t="shared" si="7"/>
        <v>371.64018010000001</v>
      </c>
      <c r="G39" s="13" t="s">
        <v>15</v>
      </c>
      <c r="H39" s="7">
        <v>7</v>
      </c>
      <c r="I39" s="14">
        <f>B48</f>
        <v>43086.058340367861</v>
      </c>
      <c r="J39" s="14">
        <f t="shared" si="8"/>
        <v>6155.1511914811226</v>
      </c>
      <c r="K39" s="15">
        <f>J39/J43</f>
        <v>6.6648642800842511E-2</v>
      </c>
      <c r="L39" s="14">
        <f>FINV(0.05,7,14)</f>
        <v>2.7641992567781792</v>
      </c>
      <c r="M39" s="1" t="str">
        <f>IF(K39&gt;=L39,"sig","ns")</f>
        <v>ns</v>
      </c>
      <c r="N39" s="13" t="s">
        <v>16</v>
      </c>
      <c r="O39" s="12">
        <f>SQRT((2*J43)/(3*4))*L44</f>
        <v>266.09222670185011</v>
      </c>
    </row>
    <row r="40" spans="1:15" ht="15.75" x14ac:dyDescent="0.3">
      <c r="A40" s="6" t="s">
        <v>36</v>
      </c>
      <c r="B40" s="8">
        <v>0</v>
      </c>
      <c r="C40" s="8">
        <v>267.25893095999999</v>
      </c>
      <c r="D40" s="8">
        <v>477.08892496999999</v>
      </c>
      <c r="E40" s="9">
        <f t="shared" si="6"/>
        <v>744.34785592999992</v>
      </c>
      <c r="F40" s="10">
        <f t="shared" si="7"/>
        <v>248.11595197666665</v>
      </c>
      <c r="G40" s="7" t="s">
        <v>17</v>
      </c>
      <c r="H40" s="7">
        <v>1</v>
      </c>
      <c r="I40" s="14">
        <f>((E36+E37+E38+E39)^2+(E40+E41+E42+E43)^2)/12-B46</f>
        <v>1.295790096744895</v>
      </c>
      <c r="J40" s="14">
        <f t="shared" si="8"/>
        <v>1.295790096744895</v>
      </c>
      <c r="K40" s="15">
        <f>J40/J43</f>
        <v>1.4030955311438597E-5</v>
      </c>
      <c r="L40" s="14">
        <f>FINV(0.05,1,14)</f>
        <v>4.6001099366694227</v>
      </c>
      <c r="M40" s="1" t="str">
        <f>IF(K40&gt;=L40,"sig","ns")</f>
        <v>ns</v>
      </c>
      <c r="N40" s="16" t="s">
        <v>18</v>
      </c>
      <c r="O40" s="12">
        <f>(F36+F40)/2</f>
        <v>263.95922193666667</v>
      </c>
    </row>
    <row r="41" spans="1:15" x14ac:dyDescent="0.25">
      <c r="A41" s="6" t="s">
        <v>37</v>
      </c>
      <c r="B41" s="8">
        <v>292.68632924999997</v>
      </c>
      <c r="C41" s="8">
        <v>367.86602852999999</v>
      </c>
      <c r="D41" s="8">
        <v>369.94852019999996</v>
      </c>
      <c r="E41" s="9">
        <f t="shared" si="6"/>
        <v>1030.50087798</v>
      </c>
      <c r="F41" s="10">
        <f t="shared" si="7"/>
        <v>343.50029266000001</v>
      </c>
      <c r="G41" s="7" t="s">
        <v>19</v>
      </c>
      <c r="H41" s="7">
        <v>3</v>
      </c>
      <c r="I41" s="14">
        <f xml:space="preserve"> ((E36+E40)^2+(E37+E41)^2+(E38+E42)^2+(E39+E43)^2)/6-B46</f>
        <v>40384.969376986846</v>
      </c>
      <c r="J41" s="14">
        <f t="shared" si="8"/>
        <v>13461.656458995616</v>
      </c>
      <c r="K41" s="15">
        <f>J41/J43</f>
        <v>0.14576427205963702</v>
      </c>
      <c r="L41" s="14">
        <f>FINV(0.05,3,14)</f>
        <v>3.3438886781189128</v>
      </c>
      <c r="M41" s="1" t="str">
        <f>IF(K41&gt;=L41,"sig","ns")</f>
        <v>ns</v>
      </c>
      <c r="N41" s="16" t="s">
        <v>20</v>
      </c>
      <c r="O41" s="12">
        <f>(F37+F41)/2</f>
        <v>330.33256755333332</v>
      </c>
    </row>
    <row r="42" spans="1:15" ht="15.75" x14ac:dyDescent="0.3">
      <c r="A42" s="6" t="s">
        <v>38</v>
      </c>
      <c r="B42" s="8">
        <v>248.83150466999999</v>
      </c>
      <c r="C42" s="8">
        <v>286.78885284000006</v>
      </c>
      <c r="D42" s="8">
        <v>493.76052494999999</v>
      </c>
      <c r="E42" s="9">
        <f t="shared" si="6"/>
        <v>1029.3808824600001</v>
      </c>
      <c r="F42" s="10">
        <f t="shared" si="7"/>
        <v>343.12696082000002</v>
      </c>
      <c r="G42" s="17" t="s">
        <v>21</v>
      </c>
      <c r="H42" s="18">
        <v>3</v>
      </c>
      <c r="I42" s="14">
        <f>(I39-(I40+I41))</f>
        <v>2699.7931732842699</v>
      </c>
      <c r="J42" s="14">
        <f t="shared" si="8"/>
        <v>899.93105776142329</v>
      </c>
      <c r="K42" s="15">
        <f>J42/J43</f>
        <v>9.7445508238917199E-3</v>
      </c>
      <c r="L42" s="14">
        <f>FINV(0.05,3,14)</f>
        <v>3.3438886781189128</v>
      </c>
      <c r="M42" s="1" t="str">
        <f>IF(K42&gt;=L42,"sig","ns")</f>
        <v>ns</v>
      </c>
      <c r="N42" s="16" t="s">
        <v>22</v>
      </c>
      <c r="O42" s="12">
        <f>(F38+F42)/2</f>
        <v>344.42973338666673</v>
      </c>
    </row>
    <row r="43" spans="1:15" ht="15.75" x14ac:dyDescent="0.3">
      <c r="A43" s="6" t="s">
        <v>39</v>
      </c>
      <c r="B43" s="8">
        <v>360.25355898000004</v>
      </c>
      <c r="C43" s="8">
        <v>483.81473139999997</v>
      </c>
      <c r="D43" s="8">
        <v>300.29879879999999</v>
      </c>
      <c r="E43" s="9">
        <f t="shared" si="6"/>
        <v>1144.36708918</v>
      </c>
      <c r="F43" s="10">
        <f t="shared" si="7"/>
        <v>381.45569639333331</v>
      </c>
      <c r="G43" s="13" t="s">
        <v>23</v>
      </c>
      <c r="H43" s="7">
        <v>14</v>
      </c>
      <c r="I43" s="14">
        <f>D48</f>
        <v>1292931.3045163224</v>
      </c>
      <c r="J43" s="14">
        <f t="shared" si="8"/>
        <v>92352.236036880175</v>
      </c>
      <c r="K43" s="14"/>
      <c r="L43" s="14"/>
      <c r="M43" s="7"/>
      <c r="N43" s="16" t="s">
        <v>24</v>
      </c>
      <c r="O43" s="12">
        <f>(F39+F43)/2</f>
        <v>376.54793824666666</v>
      </c>
    </row>
    <row r="44" spans="1:15" x14ac:dyDescent="0.25">
      <c r="A44" s="6" t="s">
        <v>4</v>
      </c>
      <c r="B44" s="9">
        <f>SUM(B36:B43)</f>
        <v>2284.58086164</v>
      </c>
      <c r="C44" s="9">
        <f>SUM(C36:C43)</f>
        <v>2581.5663403599997</v>
      </c>
      <c r="D44" s="9" t="s">
        <v>57</v>
      </c>
      <c r="E44" s="15">
        <f>SUM(E36:E43)</f>
        <v>7891.6167667400005</v>
      </c>
      <c r="F44" s="19">
        <f>AVERAGE(B36:D43)</f>
        <v>328.81736528083337</v>
      </c>
      <c r="G44" s="13" t="s">
        <v>4</v>
      </c>
      <c r="H44" s="7">
        <v>23</v>
      </c>
      <c r="I44" s="14">
        <f>B47</f>
        <v>226591.04019263014</v>
      </c>
      <c r="J44" s="14"/>
      <c r="K44" s="7" t="s">
        <v>25</v>
      </c>
      <c r="L44" s="20">
        <f>TINV(0.05,14)</f>
        <v>2.1447866879178044</v>
      </c>
      <c r="M44" s="7"/>
      <c r="N44" s="13" t="s">
        <v>14</v>
      </c>
      <c r="O44" s="12">
        <f>SQRT(J43/(3*2))</f>
        <v>124.06465789853301</v>
      </c>
    </row>
    <row r="45" spans="1:15" x14ac:dyDescent="0.25">
      <c r="A45" s="6" t="s">
        <v>5</v>
      </c>
      <c r="B45" s="9">
        <f>B44/8</f>
        <v>285.572607705</v>
      </c>
      <c r="C45" s="9">
        <f>C44/8</f>
        <v>322.69579254499996</v>
      </c>
      <c r="D45" s="9" t="e">
        <f>D44/8</f>
        <v>#VALUE!</v>
      </c>
      <c r="E45" s="14"/>
      <c r="F45" s="14"/>
      <c r="G45" s="13" t="s">
        <v>14</v>
      </c>
      <c r="H45" s="12">
        <f>SQRT(J43/3)</f>
        <v>175.45392181128372</v>
      </c>
      <c r="I45" s="7"/>
      <c r="J45" s="21"/>
      <c r="K45" s="7"/>
      <c r="L45" s="7"/>
      <c r="M45" s="7"/>
      <c r="N45" s="13" t="s">
        <v>16</v>
      </c>
      <c r="O45" s="12">
        <f>SQRT((2*J43)/(3*2))*L44</f>
        <v>376.3112358438126</v>
      </c>
    </row>
    <row r="46" spans="1:15" x14ac:dyDescent="0.25">
      <c r="A46" s="7" t="s">
        <v>26</v>
      </c>
      <c r="B46" s="15">
        <f>(E44*E44)/24</f>
        <v>2594900.633045496</v>
      </c>
      <c r="C46" s="14"/>
      <c r="D46" s="14"/>
      <c r="E46" s="14"/>
      <c r="F46" s="14"/>
      <c r="G46" s="13" t="s">
        <v>16</v>
      </c>
      <c r="H46" s="12">
        <f>(SQRT((2*J43)/3))*L44</f>
        <v>532.18445340370022</v>
      </c>
      <c r="I46" s="7"/>
      <c r="J46" s="7"/>
      <c r="K46" s="7"/>
      <c r="L46" s="7"/>
      <c r="M46" s="7"/>
      <c r="N46" s="7"/>
      <c r="O46" s="7"/>
    </row>
    <row r="47" spans="1:15" x14ac:dyDescent="0.25">
      <c r="A47" s="7" t="s">
        <v>27</v>
      </c>
      <c r="B47" s="15">
        <f>SUMSQ(B36:D43)-B46</f>
        <v>226591.04019263014</v>
      </c>
      <c r="C47" s="7" t="s">
        <v>28</v>
      </c>
      <c r="D47" s="15">
        <f>(SUMSQ(B44:D44)/8)-B46</f>
        <v>-1109426.3226640602</v>
      </c>
      <c r="E47" s="14"/>
      <c r="F47" s="14"/>
      <c r="G47" s="13" t="s">
        <v>29</v>
      </c>
      <c r="H47" s="12">
        <f>((SQRT(J43))/F44)*100</f>
        <v>92.420638035589334</v>
      </c>
      <c r="I47" s="7"/>
      <c r="J47" s="21"/>
      <c r="K47" s="7"/>
      <c r="L47" s="7"/>
      <c r="M47" s="7"/>
      <c r="N47" s="7"/>
      <c r="O47" s="7"/>
    </row>
    <row r="48" spans="1:15" x14ac:dyDescent="0.25">
      <c r="A48" s="7" t="s">
        <v>30</v>
      </c>
      <c r="B48" s="15">
        <f>(SUMSQ(E36:E43)/3)-B46</f>
        <v>43086.058340367861</v>
      </c>
      <c r="C48" s="7" t="s">
        <v>31</v>
      </c>
      <c r="D48" s="15">
        <f>B47-B48-D47</f>
        <v>1292931.3045163224</v>
      </c>
      <c r="E48" s="14"/>
      <c r="F48" s="14"/>
      <c r="G48" s="7"/>
      <c r="H48" s="7"/>
      <c r="I48" s="7"/>
      <c r="J48" s="7"/>
      <c r="K48" s="7"/>
      <c r="L48" s="7"/>
      <c r="M48" s="2"/>
      <c r="N48" s="7"/>
      <c r="O48" s="7"/>
    </row>
    <row r="50" spans="1:15" x14ac:dyDescent="0.25">
      <c r="A50" s="4" t="s">
        <v>56</v>
      </c>
      <c r="B50" s="23"/>
      <c r="C50" s="23"/>
      <c r="D50" s="22"/>
      <c r="E50" s="3"/>
      <c r="F50" s="3"/>
      <c r="G50" s="3"/>
      <c r="H50" s="3"/>
      <c r="I50" s="3"/>
      <c r="J50" s="3"/>
      <c r="K50" s="3"/>
      <c r="L50" s="3"/>
      <c r="M50" s="3"/>
      <c r="N50" s="5"/>
      <c r="O50" s="3"/>
    </row>
    <row r="51" spans="1:15" x14ac:dyDescent="0.25">
      <c r="A51" s="6" t="s">
        <v>0</v>
      </c>
      <c r="B51" s="6" t="s">
        <v>1</v>
      </c>
      <c r="C51" s="6" t="s">
        <v>2</v>
      </c>
      <c r="D51" s="6" t="s">
        <v>3</v>
      </c>
      <c r="E51" s="6" t="s">
        <v>4</v>
      </c>
      <c r="F51" s="6" t="s">
        <v>5</v>
      </c>
      <c r="G51" s="7"/>
      <c r="H51" s="7"/>
      <c r="I51" s="6" t="s">
        <v>6</v>
      </c>
      <c r="J51" s="7"/>
      <c r="K51" s="7"/>
      <c r="L51" s="7"/>
      <c r="M51" s="7"/>
      <c r="N51" s="136" t="s">
        <v>7</v>
      </c>
      <c r="O51" s="137"/>
    </row>
    <row r="52" spans="1:15" ht="15.75" x14ac:dyDescent="0.3">
      <c r="A52" s="6" t="s">
        <v>33</v>
      </c>
      <c r="B52" s="8">
        <v>123.62008885099998</v>
      </c>
      <c r="C52" s="8">
        <v>167.72107911299997</v>
      </c>
      <c r="D52" s="8">
        <v>146.78007954399999</v>
      </c>
      <c r="E52" s="9">
        <f t="shared" ref="E52:E59" si="9">SUM(B52:D52)</f>
        <v>438.12124750799995</v>
      </c>
      <c r="F52" s="10">
        <f t="shared" ref="F52:F59" si="10">E52/3</f>
        <v>146.04041583599999</v>
      </c>
      <c r="G52" s="7"/>
      <c r="H52" s="7"/>
      <c r="I52" s="7"/>
      <c r="J52" s="7"/>
      <c r="K52" s="7"/>
      <c r="L52" s="7"/>
      <c r="M52" s="7"/>
      <c r="N52" s="11">
        <v>1</v>
      </c>
      <c r="O52" s="12">
        <f>SUM(F52:F55)/4</f>
        <v>147.07062699291666</v>
      </c>
    </row>
    <row r="53" spans="1:15" x14ac:dyDescent="0.25">
      <c r="A53" s="6" t="s">
        <v>32</v>
      </c>
      <c r="B53" s="8">
        <v>110.38080847499998</v>
      </c>
      <c r="C53" s="8">
        <v>104.808247432</v>
      </c>
      <c r="D53" s="8">
        <v>95.759616960000002</v>
      </c>
      <c r="E53" s="9">
        <f t="shared" si="9"/>
        <v>310.94867286699997</v>
      </c>
      <c r="F53" s="10">
        <f t="shared" si="10"/>
        <v>103.64955762233332</v>
      </c>
      <c r="G53" s="7"/>
      <c r="H53" s="13" t="s">
        <v>8</v>
      </c>
      <c r="I53" s="13" t="s">
        <v>9</v>
      </c>
      <c r="J53" s="13" t="s">
        <v>10</v>
      </c>
      <c r="K53" s="13" t="s">
        <v>11</v>
      </c>
      <c r="L53" s="13" t="s">
        <v>12</v>
      </c>
      <c r="M53" s="7"/>
      <c r="N53" s="11">
        <v>0.75</v>
      </c>
      <c r="O53" s="12">
        <f>SUM(F56:F59)/4</f>
        <v>127.43463609275</v>
      </c>
    </row>
    <row r="54" spans="1:15" ht="15.75" x14ac:dyDescent="0.3">
      <c r="A54" s="6" t="s">
        <v>34</v>
      </c>
      <c r="B54" s="8">
        <v>180.99127603199997</v>
      </c>
      <c r="C54" s="8">
        <v>224.72476776399995</v>
      </c>
      <c r="D54" s="8">
        <v>93.583792329999994</v>
      </c>
      <c r="E54" s="9">
        <f t="shared" si="9"/>
        <v>499.29983612599989</v>
      </c>
      <c r="F54" s="10">
        <f t="shared" si="10"/>
        <v>166.43327870866662</v>
      </c>
      <c r="G54" s="13" t="s">
        <v>13</v>
      </c>
      <c r="H54" s="7">
        <v>2</v>
      </c>
      <c r="I54" s="14">
        <f>D63</f>
        <v>4854.1439618137665</v>
      </c>
      <c r="J54" s="14">
        <f t="shared" ref="J54:J59" si="11">I54/H54</f>
        <v>2427.0719809068833</v>
      </c>
      <c r="K54" s="15">
        <f>J54/J59</f>
        <v>1.2385566069630185</v>
      </c>
      <c r="L54" s="14">
        <f>FINV(0.05,2,14)</f>
        <v>3.7388918324407361</v>
      </c>
      <c r="M54" s="1" t="str">
        <f>IF(K54&gt;=L54,"sig","ns")</f>
        <v>ns</v>
      </c>
      <c r="N54" s="13" t="s">
        <v>14</v>
      </c>
      <c r="O54" s="12">
        <f>SQRT(J59/(3*4))</f>
        <v>12.77887950523232</v>
      </c>
    </row>
    <row r="55" spans="1:15" ht="15.75" x14ac:dyDescent="0.3">
      <c r="A55" s="6" t="s">
        <v>35</v>
      </c>
      <c r="B55" s="8">
        <v>196.260548288</v>
      </c>
      <c r="C55" s="8">
        <v>182.31777072599999</v>
      </c>
      <c r="D55" s="8">
        <v>137.89944839999998</v>
      </c>
      <c r="E55" s="9">
        <f t="shared" si="9"/>
        <v>516.47776741400003</v>
      </c>
      <c r="F55" s="10">
        <f t="shared" si="10"/>
        <v>172.15925580466669</v>
      </c>
      <c r="G55" s="13" t="s">
        <v>15</v>
      </c>
      <c r="H55" s="7">
        <v>7</v>
      </c>
      <c r="I55" s="14">
        <f>B64</f>
        <v>37505.442812282068</v>
      </c>
      <c r="J55" s="14">
        <f t="shared" si="11"/>
        <v>5357.9204017545808</v>
      </c>
      <c r="K55" s="15">
        <f>J55/J59</f>
        <v>2.7341948509889233</v>
      </c>
      <c r="L55" s="14">
        <f>FINV(0.05,7,14)</f>
        <v>2.7641992567781792</v>
      </c>
      <c r="M55" s="1" t="str">
        <f>IF(K55&gt;=L55,"sig","ns")</f>
        <v>ns</v>
      </c>
      <c r="N55" s="13" t="s">
        <v>16</v>
      </c>
      <c r="O55" s="12">
        <f>SQRT((2*J59)/(3*4))*L60</f>
        <v>38.760723809403288</v>
      </c>
    </row>
    <row r="56" spans="1:15" ht="15.75" x14ac:dyDescent="0.3">
      <c r="A56" s="6" t="s">
        <v>36</v>
      </c>
      <c r="B56" s="8">
        <v>0</v>
      </c>
      <c r="C56" s="8">
        <v>153.53096920699997</v>
      </c>
      <c r="D56" s="8">
        <v>106.33657465199998</v>
      </c>
      <c r="E56" s="9">
        <f t="shared" si="9"/>
        <v>259.86754385899997</v>
      </c>
      <c r="F56" s="10">
        <f t="shared" si="10"/>
        <v>86.62251461966666</v>
      </c>
      <c r="G56" s="7" t="s">
        <v>17</v>
      </c>
      <c r="H56" s="7">
        <v>1</v>
      </c>
      <c r="I56" s="14">
        <f>((E52+E53+E54+E55)^2+(E56+E57+E58+E59)^2)/12-B62</f>
        <v>2313.4328317883774</v>
      </c>
      <c r="J56" s="14">
        <f t="shared" si="11"/>
        <v>2313.4328317883774</v>
      </c>
      <c r="K56" s="15">
        <f>J56/J59</f>
        <v>1.1805655296247231</v>
      </c>
      <c r="L56" s="14">
        <f>FINV(0.05,1,14)</f>
        <v>4.6001099366694227</v>
      </c>
      <c r="M56" s="1" t="str">
        <f>IF(K56&gt;=L56,"sig","ns")</f>
        <v>ns</v>
      </c>
      <c r="N56" s="16" t="s">
        <v>18</v>
      </c>
      <c r="O56" s="12">
        <f>(F52+F56)/2</f>
        <v>116.33146522783332</v>
      </c>
    </row>
    <row r="57" spans="1:15" x14ac:dyDescent="0.25">
      <c r="A57" s="6" t="s">
        <v>37</v>
      </c>
      <c r="B57" s="8">
        <v>76.964692139999997</v>
      </c>
      <c r="C57" s="8">
        <v>95.834283327999984</v>
      </c>
      <c r="D57" s="8">
        <v>107.75815229900002</v>
      </c>
      <c r="E57" s="9">
        <f t="shared" si="9"/>
        <v>280.557127767</v>
      </c>
      <c r="F57" s="10">
        <f t="shared" si="10"/>
        <v>93.519042588999994</v>
      </c>
      <c r="G57" s="7" t="s">
        <v>19</v>
      </c>
      <c r="H57" s="7">
        <v>3</v>
      </c>
      <c r="I57" s="14">
        <f xml:space="preserve"> ((E52+E56)^2+(E53+E57)^2+(E54+E58)^2+(E55+E59)^2)/6-B62</f>
        <v>27813.237087937188</v>
      </c>
      <c r="J57" s="14">
        <f t="shared" si="11"/>
        <v>9271.0790293123955</v>
      </c>
      <c r="K57" s="15">
        <f>J57/J59</f>
        <v>4.7311148065499848</v>
      </c>
      <c r="L57" s="14">
        <f>FINV(0.05,3,14)</f>
        <v>3.3438886781189128</v>
      </c>
      <c r="M57" s="1" t="str">
        <f>IF(K57&gt;=L57,"sig","ns")</f>
        <v>sig</v>
      </c>
      <c r="N57" s="16" t="s">
        <v>20</v>
      </c>
      <c r="O57" s="12">
        <f>(F53+F57)/2</f>
        <v>98.584300105666657</v>
      </c>
    </row>
    <row r="58" spans="1:15" ht="15.75" x14ac:dyDescent="0.3">
      <c r="A58" s="6" t="s">
        <v>38</v>
      </c>
      <c r="B58" s="8">
        <v>111.68163660500001</v>
      </c>
      <c r="C58" s="8">
        <v>112.80338211800003</v>
      </c>
      <c r="D58" s="8">
        <v>149.31465273900002</v>
      </c>
      <c r="E58" s="9">
        <f t="shared" si="9"/>
        <v>373.79967146200011</v>
      </c>
      <c r="F58" s="10">
        <f t="shared" si="10"/>
        <v>124.59989048733337</v>
      </c>
      <c r="G58" s="17" t="s">
        <v>21</v>
      </c>
      <c r="H58" s="18">
        <v>3</v>
      </c>
      <c r="I58" s="14">
        <f>(I55-(I56+I57))</f>
        <v>7378.7728925565025</v>
      </c>
      <c r="J58" s="14">
        <f t="shared" si="11"/>
        <v>2459.590964185501</v>
      </c>
      <c r="K58" s="15">
        <f>J58/J59</f>
        <v>1.2551513358825961</v>
      </c>
      <c r="L58" s="14">
        <f>FINV(0.05,3,14)</f>
        <v>3.3438886781189128</v>
      </c>
      <c r="M58" s="1" t="str">
        <f>IF(K58&gt;=L58,"sig","ns")</f>
        <v>ns</v>
      </c>
      <c r="N58" s="16" t="s">
        <v>22</v>
      </c>
      <c r="O58" s="12">
        <f>(F54+F58)/2</f>
        <v>145.51658459800001</v>
      </c>
    </row>
    <row r="59" spans="1:15" ht="15.75" x14ac:dyDescent="0.3">
      <c r="A59" s="6" t="s">
        <v>39</v>
      </c>
      <c r="B59" s="8">
        <v>259.57646168999997</v>
      </c>
      <c r="C59" s="8">
        <v>210.83915663999997</v>
      </c>
      <c r="D59" s="8">
        <v>144.57567169499998</v>
      </c>
      <c r="E59" s="9">
        <f t="shared" si="9"/>
        <v>614.9912900249999</v>
      </c>
      <c r="F59" s="10">
        <f t="shared" si="10"/>
        <v>204.99709667499997</v>
      </c>
      <c r="G59" s="13" t="s">
        <v>23</v>
      </c>
      <c r="H59" s="7">
        <v>14</v>
      </c>
      <c r="I59" s="14">
        <f>D64</f>
        <v>27434.359916753427</v>
      </c>
      <c r="J59" s="14">
        <f t="shared" si="11"/>
        <v>1959.5971369109591</v>
      </c>
      <c r="K59" s="14"/>
      <c r="L59" s="14"/>
      <c r="M59" s="7"/>
      <c r="N59" s="16" t="s">
        <v>24</v>
      </c>
      <c r="O59" s="12">
        <f>(F55+F59)/2</f>
        <v>188.57817623983334</v>
      </c>
    </row>
    <row r="60" spans="1:15" x14ac:dyDescent="0.25">
      <c r="A60" s="6" t="s">
        <v>4</v>
      </c>
      <c r="B60" s="9">
        <f>SUM(B52:B59)</f>
        <v>1059.475512081</v>
      </c>
      <c r="C60" s="9">
        <f>SUM(C52:C59)</f>
        <v>1252.5796563280001</v>
      </c>
      <c r="D60" s="9">
        <f>SUM(D52:D59)</f>
        <v>982.007988619</v>
      </c>
      <c r="E60" s="15">
        <f>SUM(E52:E59)</f>
        <v>3294.0631570280002</v>
      </c>
      <c r="F60" s="19">
        <f>AVERAGE(B52:D59)</f>
        <v>137.25263154283334</v>
      </c>
      <c r="G60" s="13" t="s">
        <v>4</v>
      </c>
      <c r="H60" s="7">
        <v>23</v>
      </c>
      <c r="I60" s="14">
        <f>B63</f>
        <v>69793.946690849261</v>
      </c>
      <c r="J60" s="14"/>
      <c r="K60" s="7" t="s">
        <v>25</v>
      </c>
      <c r="L60" s="20">
        <f>TINV(0.05,14)</f>
        <v>2.1447866879178044</v>
      </c>
      <c r="M60" s="7"/>
      <c r="N60" s="13" t="s">
        <v>14</v>
      </c>
      <c r="O60" s="12">
        <f>SQRT(J59/(3*2))</f>
        <v>18.072064708231132</v>
      </c>
    </row>
    <row r="61" spans="1:15" x14ac:dyDescent="0.25">
      <c r="A61" s="6" t="s">
        <v>5</v>
      </c>
      <c r="B61" s="9">
        <f>B60/8</f>
        <v>132.434439010125</v>
      </c>
      <c r="C61" s="9">
        <f>C60/8</f>
        <v>156.57245704100001</v>
      </c>
      <c r="D61" s="9">
        <f>D60/8</f>
        <v>122.750998577375</v>
      </c>
      <c r="E61" s="14"/>
      <c r="F61" s="14"/>
      <c r="G61" s="13" t="s">
        <v>14</v>
      </c>
      <c r="H61" s="12">
        <f>SQRT(J59/3)</f>
        <v>25.55775901046464</v>
      </c>
      <c r="I61" s="7"/>
      <c r="J61" s="21"/>
      <c r="K61" s="7"/>
      <c r="L61" s="7"/>
      <c r="M61" s="7"/>
      <c r="N61" s="13" t="s">
        <v>16</v>
      </c>
      <c r="O61" s="12">
        <f>SQRT((2*J59)/(3*2))*L60</f>
        <v>54.815941298655872</v>
      </c>
    </row>
    <row r="62" spans="1:15" x14ac:dyDescent="0.25">
      <c r="A62" s="7" t="s">
        <v>26</v>
      </c>
      <c r="B62" s="15">
        <f>(E60*E60)/24</f>
        <v>452118.83677038649</v>
      </c>
      <c r="C62" s="14"/>
      <c r="D62" s="14"/>
      <c r="E62" s="14"/>
      <c r="F62" s="14"/>
      <c r="G62" s="13" t="s">
        <v>16</v>
      </c>
      <c r="H62" s="12">
        <f>(SQRT((2*J59)/3))*L60</f>
        <v>77.521447618806576</v>
      </c>
      <c r="I62" s="7"/>
      <c r="J62" s="7"/>
      <c r="K62" s="7"/>
      <c r="L62" s="7"/>
      <c r="M62" s="7"/>
      <c r="N62" s="7"/>
      <c r="O62" s="7"/>
    </row>
    <row r="63" spans="1:15" x14ac:dyDescent="0.25">
      <c r="A63" s="7" t="s">
        <v>27</v>
      </c>
      <c r="B63" s="15">
        <f>SUMSQ(B52:D59)-B62</f>
        <v>69793.946690849261</v>
      </c>
      <c r="C63" s="7" t="s">
        <v>28</v>
      </c>
      <c r="D63" s="15">
        <f>(SUMSQ(B60:D60)/8)-B62</f>
        <v>4854.1439618137665</v>
      </c>
      <c r="E63" s="14"/>
      <c r="F63" s="14"/>
      <c r="G63" s="13" t="s">
        <v>29</v>
      </c>
      <c r="H63" s="12">
        <f>((SQRT(J59))/F60)*100</f>
        <v>32.252450562240206</v>
      </c>
      <c r="I63" s="7"/>
      <c r="J63" s="21"/>
      <c r="K63" s="7"/>
      <c r="L63" s="7"/>
      <c r="M63" s="7"/>
      <c r="N63" s="7"/>
      <c r="O63" s="7"/>
    </row>
    <row r="64" spans="1:15" x14ac:dyDescent="0.25">
      <c r="A64" s="7" t="s">
        <v>30</v>
      </c>
      <c r="B64" s="15">
        <f>(SUMSQ(E52:E59)/3)-B62</f>
        <v>37505.442812282068</v>
      </c>
      <c r="C64" s="7" t="s">
        <v>31</v>
      </c>
      <c r="D64" s="15">
        <f>B63-B64-D63</f>
        <v>27434.359916753427</v>
      </c>
      <c r="E64" s="14"/>
      <c r="F64" s="14"/>
      <c r="G64" s="7"/>
      <c r="H64" s="7"/>
      <c r="I64" s="7"/>
      <c r="J64" s="7"/>
      <c r="K64" s="7"/>
      <c r="L64" s="7"/>
      <c r="M64" s="2"/>
      <c r="N64" s="7"/>
      <c r="O64" s="7"/>
    </row>
    <row r="66" spans="1:15" x14ac:dyDescent="0.25">
      <c r="A66" s="138" t="s">
        <v>58</v>
      </c>
      <c r="B66" s="139"/>
      <c r="C66" s="139"/>
      <c r="D66" s="22"/>
      <c r="E66" s="3"/>
      <c r="F66" s="3"/>
      <c r="G66" s="3"/>
      <c r="H66" s="3"/>
      <c r="I66" s="3"/>
      <c r="J66" s="3"/>
      <c r="K66" s="3"/>
      <c r="L66" s="3"/>
      <c r="M66" s="3"/>
      <c r="N66" s="5"/>
      <c r="O66" s="3"/>
    </row>
    <row r="67" spans="1:15" x14ac:dyDescent="0.25">
      <c r="A67" s="6" t="s">
        <v>0</v>
      </c>
      <c r="B67" s="6" t="s">
        <v>1</v>
      </c>
      <c r="C67" s="6" t="s">
        <v>2</v>
      </c>
      <c r="D67" s="6" t="s">
        <v>3</v>
      </c>
      <c r="E67" s="6" t="s">
        <v>4</v>
      </c>
      <c r="F67" s="6" t="s">
        <v>5</v>
      </c>
      <c r="G67" s="7"/>
      <c r="H67" s="7"/>
      <c r="I67" s="6" t="s">
        <v>6</v>
      </c>
      <c r="J67" s="7"/>
      <c r="K67" s="7"/>
      <c r="L67" s="7"/>
      <c r="M67" s="7"/>
      <c r="N67" s="136" t="s">
        <v>7</v>
      </c>
      <c r="O67" s="137"/>
    </row>
    <row r="68" spans="1:15" ht="15.75" x14ac:dyDescent="0.3">
      <c r="A68" s="6" t="s">
        <v>33</v>
      </c>
      <c r="B68" s="8"/>
      <c r="C68" s="8"/>
      <c r="D68" s="8"/>
      <c r="E68" s="9">
        <f t="shared" ref="E68:E75" si="12">SUM(B68:D68)</f>
        <v>0</v>
      </c>
      <c r="F68" s="10">
        <f t="shared" ref="F68:F75" si="13">E68/3</f>
        <v>0</v>
      </c>
      <c r="G68" s="7"/>
      <c r="H68" s="7"/>
      <c r="I68" s="7"/>
      <c r="J68" s="7"/>
      <c r="K68" s="7"/>
      <c r="L68" s="7"/>
      <c r="M68" s="7"/>
      <c r="N68" s="11">
        <v>1</v>
      </c>
      <c r="O68" s="12">
        <f>SUM(F68:F71)/4</f>
        <v>0</v>
      </c>
    </row>
    <row r="69" spans="1:15" x14ac:dyDescent="0.25">
      <c r="A69" s="6" t="s">
        <v>32</v>
      </c>
      <c r="B69" s="8"/>
      <c r="C69" s="8"/>
      <c r="D69" s="8"/>
      <c r="E69" s="9">
        <f t="shared" si="12"/>
        <v>0</v>
      </c>
      <c r="F69" s="10">
        <f t="shared" si="13"/>
        <v>0</v>
      </c>
      <c r="G69" s="7"/>
      <c r="H69" s="13" t="s">
        <v>8</v>
      </c>
      <c r="I69" s="13" t="s">
        <v>9</v>
      </c>
      <c r="J69" s="13" t="s">
        <v>10</v>
      </c>
      <c r="K69" s="13" t="s">
        <v>11</v>
      </c>
      <c r="L69" s="13" t="s">
        <v>12</v>
      </c>
      <c r="M69" s="7"/>
      <c r="N69" s="11">
        <v>0.75</v>
      </c>
      <c r="O69" s="12">
        <f>SUM(F72:F75)/4</f>
        <v>0</v>
      </c>
    </row>
    <row r="70" spans="1:15" ht="15.75" x14ac:dyDescent="0.3">
      <c r="A70" s="6" t="s">
        <v>34</v>
      </c>
      <c r="B70" s="8"/>
      <c r="C70" s="8"/>
      <c r="D70" s="8"/>
      <c r="E70" s="9">
        <f t="shared" si="12"/>
        <v>0</v>
      </c>
      <c r="F70" s="10">
        <f t="shared" si="13"/>
        <v>0</v>
      </c>
      <c r="G70" s="13" t="s">
        <v>13</v>
      </c>
      <c r="H70" s="7">
        <v>2</v>
      </c>
      <c r="I70" s="14">
        <f>D79</f>
        <v>0</v>
      </c>
      <c r="J70" s="14">
        <f t="shared" ref="J70:J75" si="14">I70/H70</f>
        <v>0</v>
      </c>
      <c r="K70" s="15" t="e">
        <f>J70/J75</f>
        <v>#DIV/0!</v>
      </c>
      <c r="L70" s="14">
        <f>FINV(0.05,2,14)</f>
        <v>3.7388918324407361</v>
      </c>
      <c r="M70" s="1" t="e">
        <f>IF(K70&gt;=L70,"sig","ns")</f>
        <v>#DIV/0!</v>
      </c>
      <c r="N70" s="13" t="s">
        <v>14</v>
      </c>
      <c r="O70" s="12">
        <f>SQRT(J75/(3*4))</f>
        <v>0</v>
      </c>
    </row>
    <row r="71" spans="1:15" ht="15.75" x14ac:dyDescent="0.3">
      <c r="A71" s="6" t="s">
        <v>35</v>
      </c>
      <c r="B71" s="8"/>
      <c r="C71" s="8"/>
      <c r="D71" s="8"/>
      <c r="E71" s="9">
        <f t="shared" si="12"/>
        <v>0</v>
      </c>
      <c r="F71" s="10">
        <f t="shared" si="13"/>
        <v>0</v>
      </c>
      <c r="G71" s="13" t="s">
        <v>15</v>
      </c>
      <c r="H71" s="7">
        <v>7</v>
      </c>
      <c r="I71" s="14">
        <f>B80</f>
        <v>0</v>
      </c>
      <c r="J71" s="14">
        <f t="shared" si="14"/>
        <v>0</v>
      </c>
      <c r="K71" s="15" t="e">
        <f>J71/J75</f>
        <v>#DIV/0!</v>
      </c>
      <c r="L71" s="14">
        <f>FINV(0.05,7,14)</f>
        <v>2.7641992567781792</v>
      </c>
      <c r="M71" s="1" t="e">
        <f>IF(K71&gt;=L71,"sig","ns")</f>
        <v>#DIV/0!</v>
      </c>
      <c r="N71" s="13" t="s">
        <v>16</v>
      </c>
      <c r="O71" s="12">
        <f>SQRT((2*J75)/(3*4))*L76</f>
        <v>0</v>
      </c>
    </row>
    <row r="72" spans="1:15" ht="15.75" x14ac:dyDescent="0.3">
      <c r="A72" s="6" t="s">
        <v>36</v>
      </c>
      <c r="B72" s="8"/>
      <c r="C72" s="8"/>
      <c r="D72" s="8"/>
      <c r="E72" s="9">
        <f t="shared" si="12"/>
        <v>0</v>
      </c>
      <c r="F72" s="10">
        <f t="shared" si="13"/>
        <v>0</v>
      </c>
      <c r="G72" s="7" t="s">
        <v>17</v>
      </c>
      <c r="H72" s="7">
        <v>1</v>
      </c>
      <c r="I72" s="14">
        <f>((E68+E69+E70+E71)^2+(E72+E73+E74+E75)^2)/12-B78</f>
        <v>0</v>
      </c>
      <c r="J72" s="14">
        <f t="shared" si="14"/>
        <v>0</v>
      </c>
      <c r="K72" s="15" t="e">
        <f>J72/J75</f>
        <v>#DIV/0!</v>
      </c>
      <c r="L72" s="14">
        <f>FINV(0.05,1,14)</f>
        <v>4.6001099366694227</v>
      </c>
      <c r="M72" s="1" t="e">
        <f>IF(K72&gt;=L72,"sig","ns")</f>
        <v>#DIV/0!</v>
      </c>
      <c r="N72" s="16" t="s">
        <v>18</v>
      </c>
      <c r="O72" s="12">
        <f>(F68+F72)/2</f>
        <v>0</v>
      </c>
    </row>
    <row r="73" spans="1:15" x14ac:dyDescent="0.25">
      <c r="A73" s="6" t="s">
        <v>37</v>
      </c>
      <c r="B73" s="8"/>
      <c r="C73" s="8"/>
      <c r="D73" s="8"/>
      <c r="E73" s="9">
        <f t="shared" si="12"/>
        <v>0</v>
      </c>
      <c r="F73" s="10">
        <f t="shared" si="13"/>
        <v>0</v>
      </c>
      <c r="G73" s="7" t="s">
        <v>19</v>
      </c>
      <c r="H73" s="7">
        <v>3</v>
      </c>
      <c r="I73" s="14">
        <f xml:space="preserve"> ((E68+E72)^2+(E69+E73)^2+(E70+E74)^2+(E71+E75)^2)/6-B78</f>
        <v>0</v>
      </c>
      <c r="J73" s="14">
        <f t="shared" si="14"/>
        <v>0</v>
      </c>
      <c r="K73" s="15" t="e">
        <f>J73/J75</f>
        <v>#DIV/0!</v>
      </c>
      <c r="L73" s="14">
        <f>FINV(0.05,3,14)</f>
        <v>3.3438886781189128</v>
      </c>
      <c r="M73" s="1" t="e">
        <f>IF(K73&gt;=L73,"sig","ns")</f>
        <v>#DIV/0!</v>
      </c>
      <c r="N73" s="16" t="s">
        <v>20</v>
      </c>
      <c r="O73" s="12">
        <f>(F69+F73)/2</f>
        <v>0</v>
      </c>
    </row>
    <row r="74" spans="1:15" ht="15.75" x14ac:dyDescent="0.3">
      <c r="A74" s="6" t="s">
        <v>38</v>
      </c>
      <c r="B74" s="8"/>
      <c r="C74" s="8"/>
      <c r="D74" s="8"/>
      <c r="E74" s="9">
        <f t="shared" si="12"/>
        <v>0</v>
      </c>
      <c r="F74" s="10">
        <f t="shared" si="13"/>
        <v>0</v>
      </c>
      <c r="G74" s="17" t="s">
        <v>21</v>
      </c>
      <c r="H74" s="18">
        <v>3</v>
      </c>
      <c r="I74" s="14">
        <f>(I71-(I72+I73))</f>
        <v>0</v>
      </c>
      <c r="J74" s="14">
        <f t="shared" si="14"/>
        <v>0</v>
      </c>
      <c r="K74" s="15" t="e">
        <f>J74/J75</f>
        <v>#DIV/0!</v>
      </c>
      <c r="L74" s="14">
        <f>FINV(0.05,3,14)</f>
        <v>3.3438886781189128</v>
      </c>
      <c r="M74" s="1" t="e">
        <f>IF(K74&gt;=L74,"sig","ns")</f>
        <v>#DIV/0!</v>
      </c>
      <c r="N74" s="16" t="s">
        <v>22</v>
      </c>
      <c r="O74" s="12">
        <f>(F70+F74)/2</f>
        <v>0</v>
      </c>
    </row>
    <row r="75" spans="1:15" ht="15.75" x14ac:dyDescent="0.3">
      <c r="A75" s="6" t="s">
        <v>39</v>
      </c>
      <c r="B75" s="8"/>
      <c r="C75" s="8"/>
      <c r="D75" s="8"/>
      <c r="E75" s="9">
        <f t="shared" si="12"/>
        <v>0</v>
      </c>
      <c r="F75" s="10">
        <f t="shared" si="13"/>
        <v>0</v>
      </c>
      <c r="G75" s="13" t="s">
        <v>23</v>
      </c>
      <c r="H75" s="7">
        <v>14</v>
      </c>
      <c r="I75" s="14">
        <f>D80</f>
        <v>0</v>
      </c>
      <c r="J75" s="14">
        <f t="shared" si="14"/>
        <v>0</v>
      </c>
      <c r="K75" s="14"/>
      <c r="L75" s="14"/>
      <c r="M75" s="7"/>
      <c r="N75" s="16" t="s">
        <v>24</v>
      </c>
      <c r="O75" s="12">
        <f>(F71+F75)/2</f>
        <v>0</v>
      </c>
    </row>
    <row r="76" spans="1:15" x14ac:dyDescent="0.25">
      <c r="A76" s="6" t="s">
        <v>4</v>
      </c>
      <c r="B76" s="9">
        <f>SUM(B68:B75)</f>
        <v>0</v>
      </c>
      <c r="C76" s="9">
        <f>SUM(C68:C75)</f>
        <v>0</v>
      </c>
      <c r="D76" s="9">
        <f>SUM(D68:D75)</f>
        <v>0</v>
      </c>
      <c r="E76" s="15">
        <f>SUM(E68:E75)</f>
        <v>0</v>
      </c>
      <c r="F76" s="19" t="e">
        <f>AVERAGE(B68:D75)</f>
        <v>#DIV/0!</v>
      </c>
      <c r="G76" s="13" t="s">
        <v>4</v>
      </c>
      <c r="H76" s="7">
        <v>23</v>
      </c>
      <c r="I76" s="14">
        <f>B79</f>
        <v>0</v>
      </c>
      <c r="J76" s="14"/>
      <c r="K76" s="7" t="s">
        <v>25</v>
      </c>
      <c r="L76" s="20">
        <f>TINV(0.05,14)</f>
        <v>2.1447866879178044</v>
      </c>
      <c r="M76" s="7"/>
      <c r="N76" s="13" t="s">
        <v>14</v>
      </c>
      <c r="O76" s="12">
        <f>SQRT(J75/(3*2))</f>
        <v>0</v>
      </c>
    </row>
    <row r="77" spans="1:15" x14ac:dyDescent="0.25">
      <c r="A77" s="6" t="s">
        <v>5</v>
      </c>
      <c r="B77" s="9">
        <f>B76/8</f>
        <v>0</v>
      </c>
      <c r="C77" s="9">
        <f>C76/8</f>
        <v>0</v>
      </c>
      <c r="D77" s="9">
        <f>D76/8</f>
        <v>0</v>
      </c>
      <c r="E77" s="14"/>
      <c r="F77" s="14"/>
      <c r="G77" s="13" t="s">
        <v>14</v>
      </c>
      <c r="H77" s="12">
        <f>SQRT(J75/3)</f>
        <v>0</v>
      </c>
      <c r="I77" s="7"/>
      <c r="J77" s="21"/>
      <c r="K77" s="7"/>
      <c r="L77" s="7"/>
      <c r="M77" s="7"/>
      <c r="N77" s="13" t="s">
        <v>16</v>
      </c>
      <c r="O77" s="12">
        <f>SQRT((2*J75)/(3*2))*L76</f>
        <v>0</v>
      </c>
    </row>
    <row r="78" spans="1:15" x14ac:dyDescent="0.25">
      <c r="A78" s="7" t="s">
        <v>26</v>
      </c>
      <c r="B78" s="15">
        <f>(E76*E76)/24</f>
        <v>0</v>
      </c>
      <c r="C78" s="14"/>
      <c r="D78" s="14"/>
      <c r="E78" s="14"/>
      <c r="F78" s="14"/>
      <c r="G78" s="13" t="s">
        <v>16</v>
      </c>
      <c r="H78" s="12">
        <f>(SQRT((2*J75)/3))*L76</f>
        <v>0</v>
      </c>
      <c r="I78" s="7"/>
      <c r="J78" s="7"/>
      <c r="K78" s="7"/>
      <c r="L78" s="7"/>
      <c r="M78" s="7"/>
      <c r="N78" s="7"/>
      <c r="O78" s="7"/>
    </row>
    <row r="79" spans="1:15" x14ac:dyDescent="0.25">
      <c r="A79" s="7" t="s">
        <v>27</v>
      </c>
      <c r="B79" s="15">
        <f>SUMSQ(B68:D75)-B78</f>
        <v>0</v>
      </c>
      <c r="C79" s="7" t="s">
        <v>28</v>
      </c>
      <c r="D79" s="15">
        <f>(SUMSQ(B76:D76)/8)-B78</f>
        <v>0</v>
      </c>
      <c r="E79" s="14"/>
      <c r="F79" s="14"/>
      <c r="G79" s="13" t="s">
        <v>29</v>
      </c>
      <c r="H79" s="12" t="e">
        <f>((SQRT(J75))/F76)*100</f>
        <v>#DIV/0!</v>
      </c>
      <c r="I79" s="7"/>
      <c r="J79" s="21"/>
      <c r="K79" s="7"/>
      <c r="L79" s="7"/>
      <c r="M79" s="7"/>
      <c r="N79" s="7"/>
      <c r="O79" s="7"/>
    </row>
    <row r="80" spans="1:15" x14ac:dyDescent="0.25">
      <c r="A80" s="7" t="s">
        <v>30</v>
      </c>
      <c r="B80" s="15">
        <f>(SUMSQ(E68:E75)/3)-B78</f>
        <v>0</v>
      </c>
      <c r="C80" s="7" t="s">
        <v>31</v>
      </c>
      <c r="D80" s="15">
        <f>B79-B80-D79</f>
        <v>0</v>
      </c>
      <c r="E80" s="14"/>
      <c r="F80" s="14"/>
      <c r="G80" s="7"/>
      <c r="H80" s="7"/>
      <c r="I80" s="7"/>
      <c r="J80" s="7"/>
      <c r="K80" s="7"/>
      <c r="L80" s="7"/>
      <c r="M80" s="2"/>
      <c r="N80" s="7"/>
      <c r="O80" s="7"/>
    </row>
    <row r="82" spans="1:15" x14ac:dyDescent="0.25">
      <c r="A82" s="138" t="s">
        <v>83</v>
      </c>
      <c r="B82" s="139"/>
      <c r="C82" s="139"/>
      <c r="D82" s="22"/>
      <c r="E82" s="3"/>
      <c r="F82" s="3"/>
      <c r="G82" s="3"/>
      <c r="H82" s="3"/>
      <c r="I82" s="3"/>
      <c r="J82" s="3"/>
      <c r="K82" s="3"/>
      <c r="L82" s="3"/>
      <c r="M82" s="3"/>
      <c r="N82" s="5"/>
      <c r="O82" s="3"/>
    </row>
    <row r="83" spans="1:15" x14ac:dyDescent="0.25">
      <c r="A83" s="6" t="s">
        <v>0</v>
      </c>
      <c r="B83" s="6" t="s">
        <v>1</v>
      </c>
      <c r="C83" s="6" t="s">
        <v>2</v>
      </c>
      <c r="D83" s="6" t="s">
        <v>3</v>
      </c>
      <c r="E83" s="6" t="s">
        <v>4</v>
      </c>
      <c r="F83" s="6" t="s">
        <v>5</v>
      </c>
      <c r="G83" s="7"/>
      <c r="H83" s="7"/>
      <c r="I83" s="6" t="s">
        <v>6</v>
      </c>
      <c r="J83" s="7"/>
      <c r="K83" s="7"/>
      <c r="L83" s="7"/>
      <c r="M83" s="7"/>
      <c r="N83" s="136" t="s">
        <v>7</v>
      </c>
      <c r="O83" s="137"/>
    </row>
    <row r="84" spans="1:15" ht="15.75" x14ac:dyDescent="0.3">
      <c r="A84" s="6" t="s">
        <v>33</v>
      </c>
      <c r="B84" s="8">
        <f t="shared" ref="B84:D91" si="15">B52+B68</f>
        <v>123.62008885099998</v>
      </c>
      <c r="C84" s="8">
        <f t="shared" si="15"/>
        <v>167.72107911299997</v>
      </c>
      <c r="D84" s="8">
        <f t="shared" si="15"/>
        <v>146.78007954399999</v>
      </c>
      <c r="E84" s="9">
        <f t="shared" ref="E84:E91" si="16">SUM(B84:D84)</f>
        <v>438.12124750799995</v>
      </c>
      <c r="F84" s="10">
        <f t="shared" ref="F84:F91" si="17">E84/3</f>
        <v>146.04041583599999</v>
      </c>
      <c r="G84" s="7"/>
      <c r="H84" s="7"/>
      <c r="I84" s="7"/>
      <c r="J84" s="7"/>
      <c r="K84" s="7"/>
      <c r="L84" s="7"/>
      <c r="M84" s="7"/>
      <c r="N84" s="11">
        <v>1</v>
      </c>
      <c r="O84" s="12">
        <f>SUM(F84:F87)/4</f>
        <v>147.07062699291666</v>
      </c>
    </row>
    <row r="85" spans="1:15" x14ac:dyDescent="0.25">
      <c r="A85" s="6" t="s">
        <v>32</v>
      </c>
      <c r="B85" s="8">
        <f t="shared" si="15"/>
        <v>110.38080847499998</v>
      </c>
      <c r="C85" s="8">
        <f t="shared" si="15"/>
        <v>104.808247432</v>
      </c>
      <c r="D85" s="8">
        <f t="shared" si="15"/>
        <v>95.759616960000002</v>
      </c>
      <c r="E85" s="9">
        <f t="shared" si="16"/>
        <v>310.94867286699997</v>
      </c>
      <c r="F85" s="10">
        <f t="shared" si="17"/>
        <v>103.64955762233332</v>
      </c>
      <c r="G85" s="7"/>
      <c r="H85" s="13" t="s">
        <v>8</v>
      </c>
      <c r="I85" s="13" t="s">
        <v>9</v>
      </c>
      <c r="J85" s="13" t="s">
        <v>10</v>
      </c>
      <c r="K85" s="13" t="s">
        <v>11</v>
      </c>
      <c r="L85" s="13" t="s">
        <v>12</v>
      </c>
      <c r="M85" s="7"/>
      <c r="N85" s="11">
        <v>0.75</v>
      </c>
      <c r="O85" s="12">
        <f>SUM(F88:F91)/4</f>
        <v>127.43463609275</v>
      </c>
    </row>
    <row r="86" spans="1:15" ht="15.75" x14ac:dyDescent="0.3">
      <c r="A86" s="6" t="s">
        <v>34</v>
      </c>
      <c r="B86" s="8">
        <f t="shared" si="15"/>
        <v>180.99127603199997</v>
      </c>
      <c r="C86" s="8">
        <f t="shared" si="15"/>
        <v>224.72476776399995</v>
      </c>
      <c r="D86" s="8">
        <f t="shared" si="15"/>
        <v>93.583792329999994</v>
      </c>
      <c r="E86" s="9">
        <f t="shared" si="16"/>
        <v>499.29983612599989</v>
      </c>
      <c r="F86" s="10">
        <f t="shared" si="17"/>
        <v>166.43327870866662</v>
      </c>
      <c r="G86" s="13" t="s">
        <v>13</v>
      </c>
      <c r="H86" s="7">
        <v>2</v>
      </c>
      <c r="I86" s="14">
        <f>D95</f>
        <v>4854.1439618137665</v>
      </c>
      <c r="J86" s="14">
        <f t="shared" ref="J86:J91" si="18">I86/H86</f>
        <v>2427.0719809068833</v>
      </c>
      <c r="K86" s="15">
        <f>J86/J91</f>
        <v>1.2385566069630185</v>
      </c>
      <c r="L86" s="14">
        <f>FINV(0.05,2,14)</f>
        <v>3.7388918324407361</v>
      </c>
      <c r="M86" s="1" t="str">
        <f>IF(K86&gt;=L86,"sig","ns")</f>
        <v>ns</v>
      </c>
      <c r="N86" s="13" t="s">
        <v>14</v>
      </c>
      <c r="O86" s="12">
        <f>SQRT(J91/(3*4))</f>
        <v>12.77887950523232</v>
      </c>
    </row>
    <row r="87" spans="1:15" ht="15.75" x14ac:dyDescent="0.3">
      <c r="A87" s="6" t="s">
        <v>35</v>
      </c>
      <c r="B87" s="8">
        <f t="shared" si="15"/>
        <v>196.260548288</v>
      </c>
      <c r="C87" s="8">
        <f t="shared" si="15"/>
        <v>182.31777072599999</v>
      </c>
      <c r="D87" s="8">
        <f t="shared" si="15"/>
        <v>137.89944839999998</v>
      </c>
      <c r="E87" s="9">
        <f t="shared" si="16"/>
        <v>516.47776741400003</v>
      </c>
      <c r="F87" s="10">
        <f t="shared" si="17"/>
        <v>172.15925580466669</v>
      </c>
      <c r="G87" s="13" t="s">
        <v>15</v>
      </c>
      <c r="H87" s="7">
        <v>7</v>
      </c>
      <c r="I87" s="14">
        <f>B96</f>
        <v>37505.442812282068</v>
      </c>
      <c r="J87" s="14">
        <f t="shared" si="18"/>
        <v>5357.9204017545808</v>
      </c>
      <c r="K87" s="15">
        <f>J87/J91</f>
        <v>2.7341948509889233</v>
      </c>
      <c r="L87" s="14">
        <f>FINV(0.05,7,14)</f>
        <v>2.7641992567781792</v>
      </c>
      <c r="M87" s="1" t="str">
        <f>IF(K87&gt;=L87,"sig","ns")</f>
        <v>ns</v>
      </c>
      <c r="N87" s="13" t="s">
        <v>16</v>
      </c>
      <c r="O87" s="12">
        <f>SQRT((2*J91)/(3*4))*L92</f>
        <v>38.760723809403288</v>
      </c>
    </row>
    <row r="88" spans="1:15" ht="15.75" x14ac:dyDescent="0.3">
      <c r="A88" s="6" t="s">
        <v>36</v>
      </c>
      <c r="B88" s="8">
        <v>0</v>
      </c>
      <c r="C88" s="8">
        <f t="shared" si="15"/>
        <v>153.53096920699997</v>
      </c>
      <c r="D88" s="8">
        <f t="shared" si="15"/>
        <v>106.33657465199998</v>
      </c>
      <c r="E88" s="9">
        <f t="shared" si="16"/>
        <v>259.86754385899997</v>
      </c>
      <c r="F88" s="10">
        <f t="shared" si="17"/>
        <v>86.62251461966666</v>
      </c>
      <c r="G88" s="7" t="s">
        <v>17</v>
      </c>
      <c r="H88" s="7">
        <v>1</v>
      </c>
      <c r="I88" s="14">
        <f>((E84+E85+E86+E87)^2+(E88+E89+E90+E91)^2)/12-B94</f>
        <v>2313.4328317883774</v>
      </c>
      <c r="J88" s="14">
        <f t="shared" si="18"/>
        <v>2313.4328317883774</v>
      </c>
      <c r="K88" s="15">
        <f>J88/J91</f>
        <v>1.1805655296247231</v>
      </c>
      <c r="L88" s="14">
        <f>FINV(0.05,1,14)</f>
        <v>4.6001099366694227</v>
      </c>
      <c r="M88" s="1" t="str">
        <f>IF(K88&gt;=L88,"sig","ns")</f>
        <v>ns</v>
      </c>
      <c r="N88" s="16" t="s">
        <v>18</v>
      </c>
      <c r="O88" s="12">
        <f>(F84+F88)/2</f>
        <v>116.33146522783332</v>
      </c>
    </row>
    <row r="89" spans="1:15" x14ac:dyDescent="0.25">
      <c r="A89" s="6" t="s">
        <v>37</v>
      </c>
      <c r="B89" s="8">
        <f t="shared" si="15"/>
        <v>76.964692139999997</v>
      </c>
      <c r="C89" s="8">
        <f t="shared" si="15"/>
        <v>95.834283327999984</v>
      </c>
      <c r="D89" s="8">
        <f t="shared" si="15"/>
        <v>107.75815229900002</v>
      </c>
      <c r="E89" s="9">
        <f t="shared" si="16"/>
        <v>280.557127767</v>
      </c>
      <c r="F89" s="10">
        <f t="shared" si="17"/>
        <v>93.519042588999994</v>
      </c>
      <c r="G89" s="7" t="s">
        <v>19</v>
      </c>
      <c r="H89" s="7">
        <v>3</v>
      </c>
      <c r="I89" s="14">
        <f xml:space="preserve"> ((E84+E88)^2+(E85+E89)^2+(E86+E90)^2+(E87+E91)^2)/6-B94</f>
        <v>27813.237087937188</v>
      </c>
      <c r="J89" s="14">
        <f t="shared" si="18"/>
        <v>9271.0790293123955</v>
      </c>
      <c r="K89" s="15">
        <f>J89/J91</f>
        <v>4.7311148065499848</v>
      </c>
      <c r="L89" s="14">
        <f>FINV(0.05,3,14)</f>
        <v>3.3438886781189128</v>
      </c>
      <c r="M89" s="1" t="str">
        <f>IF(K89&gt;=L89,"sig","ns")</f>
        <v>sig</v>
      </c>
      <c r="N89" s="16" t="s">
        <v>20</v>
      </c>
      <c r="O89" s="12">
        <f>(F85+F89)/2</f>
        <v>98.584300105666657</v>
      </c>
    </row>
    <row r="90" spans="1:15" ht="15.75" x14ac:dyDescent="0.3">
      <c r="A90" s="6" t="s">
        <v>38</v>
      </c>
      <c r="B90" s="8">
        <f t="shared" si="15"/>
        <v>111.68163660500001</v>
      </c>
      <c r="C90" s="8">
        <f t="shared" si="15"/>
        <v>112.80338211800003</v>
      </c>
      <c r="D90" s="8">
        <f t="shared" si="15"/>
        <v>149.31465273900002</v>
      </c>
      <c r="E90" s="9">
        <f t="shared" si="16"/>
        <v>373.79967146200011</v>
      </c>
      <c r="F90" s="10">
        <f t="shared" si="17"/>
        <v>124.59989048733337</v>
      </c>
      <c r="G90" s="17" t="s">
        <v>21</v>
      </c>
      <c r="H90" s="18">
        <v>3</v>
      </c>
      <c r="I90" s="14">
        <f>(I87-(I88+I89))</f>
        <v>7378.7728925565025</v>
      </c>
      <c r="J90" s="14">
        <f t="shared" si="18"/>
        <v>2459.590964185501</v>
      </c>
      <c r="K90" s="15">
        <f>J90/J91</f>
        <v>1.2551513358825961</v>
      </c>
      <c r="L90" s="14">
        <f>FINV(0.05,3,14)</f>
        <v>3.3438886781189128</v>
      </c>
      <c r="M90" s="1" t="str">
        <f>IF(K90&gt;=L90,"sig","ns")</f>
        <v>ns</v>
      </c>
      <c r="N90" s="16" t="s">
        <v>22</v>
      </c>
      <c r="O90" s="12">
        <f>(F86+F90)/2</f>
        <v>145.51658459800001</v>
      </c>
    </row>
    <row r="91" spans="1:15" ht="15.75" x14ac:dyDescent="0.3">
      <c r="A91" s="6" t="s">
        <v>39</v>
      </c>
      <c r="B91" s="8">
        <f t="shared" si="15"/>
        <v>259.57646168999997</v>
      </c>
      <c r="C91" s="8">
        <f t="shared" si="15"/>
        <v>210.83915663999997</v>
      </c>
      <c r="D91" s="8">
        <f t="shared" si="15"/>
        <v>144.57567169499998</v>
      </c>
      <c r="E91" s="9">
        <f t="shared" si="16"/>
        <v>614.9912900249999</v>
      </c>
      <c r="F91" s="10">
        <f t="shared" si="17"/>
        <v>204.99709667499997</v>
      </c>
      <c r="G91" s="13" t="s">
        <v>23</v>
      </c>
      <c r="H91" s="7">
        <v>14</v>
      </c>
      <c r="I91" s="14">
        <f>D96</f>
        <v>27434.359916753427</v>
      </c>
      <c r="J91" s="14">
        <f t="shared" si="18"/>
        <v>1959.5971369109591</v>
      </c>
      <c r="K91" s="14"/>
      <c r="L91" s="14"/>
      <c r="M91" s="7"/>
      <c r="N91" s="16" t="s">
        <v>24</v>
      </c>
      <c r="O91" s="12">
        <f>(F87+F91)/2</f>
        <v>188.57817623983334</v>
      </c>
    </row>
    <row r="92" spans="1:15" x14ac:dyDescent="0.25">
      <c r="A92" s="6" t="s">
        <v>4</v>
      </c>
      <c r="B92" s="9">
        <f>SUM(B84:B91)</f>
        <v>1059.475512081</v>
      </c>
      <c r="C92" s="9">
        <f>SUM(C84:C91)</f>
        <v>1252.5796563280001</v>
      </c>
      <c r="D92" s="9">
        <f>SUM(D84:D91)</f>
        <v>982.007988619</v>
      </c>
      <c r="E92" s="15">
        <f>SUM(E84:E91)</f>
        <v>3294.0631570280002</v>
      </c>
      <c r="F92" s="19">
        <f>AVERAGE(B84:D91)</f>
        <v>137.25263154283334</v>
      </c>
      <c r="G92" s="13" t="s">
        <v>4</v>
      </c>
      <c r="H92" s="7">
        <v>23</v>
      </c>
      <c r="I92" s="14">
        <f>B95</f>
        <v>69793.946690849261</v>
      </c>
      <c r="J92" s="14"/>
      <c r="K92" s="7" t="s">
        <v>25</v>
      </c>
      <c r="L92" s="20">
        <f>TINV(0.05,14)</f>
        <v>2.1447866879178044</v>
      </c>
      <c r="M92" s="7"/>
      <c r="N92" s="13" t="s">
        <v>14</v>
      </c>
      <c r="O92" s="12">
        <f>SQRT(J91/(3*2))</f>
        <v>18.072064708231132</v>
      </c>
    </row>
    <row r="93" spans="1:15" x14ac:dyDescent="0.25">
      <c r="A93" s="6" t="s">
        <v>5</v>
      </c>
      <c r="B93" s="9">
        <f>B92/8</f>
        <v>132.434439010125</v>
      </c>
      <c r="C93" s="9">
        <f>C92/8</f>
        <v>156.57245704100001</v>
      </c>
      <c r="D93" s="9">
        <f>D92/8</f>
        <v>122.750998577375</v>
      </c>
      <c r="E93" s="14"/>
      <c r="F93" s="14"/>
      <c r="G93" s="13" t="s">
        <v>14</v>
      </c>
      <c r="H93" s="12">
        <f>SQRT(J91/3)</f>
        <v>25.55775901046464</v>
      </c>
      <c r="I93" s="7"/>
      <c r="J93" s="21"/>
      <c r="K93" s="7"/>
      <c r="L93" s="7"/>
      <c r="M93" s="7"/>
      <c r="N93" s="13" t="s">
        <v>16</v>
      </c>
      <c r="O93" s="12">
        <f>SQRT((2*J91)/(3*2))*L92</f>
        <v>54.815941298655872</v>
      </c>
    </row>
    <row r="94" spans="1:15" x14ac:dyDescent="0.25">
      <c r="A94" s="7" t="s">
        <v>26</v>
      </c>
      <c r="B94" s="15">
        <f>(E92*E92)/24</f>
        <v>452118.83677038649</v>
      </c>
      <c r="C94" s="14"/>
      <c r="D94" s="14"/>
      <c r="E94" s="14"/>
      <c r="F94" s="14"/>
      <c r="G94" s="13" t="s">
        <v>16</v>
      </c>
      <c r="H94" s="12">
        <f>(SQRT((2*J91)/3))*L92</f>
        <v>77.521447618806576</v>
      </c>
      <c r="I94" s="7"/>
      <c r="J94" s="7"/>
      <c r="K94" s="7"/>
      <c r="L94" s="7"/>
      <c r="M94" s="7"/>
      <c r="N94" s="7"/>
      <c r="O94" s="7"/>
    </row>
    <row r="95" spans="1:15" x14ac:dyDescent="0.25">
      <c r="A95" s="7" t="s">
        <v>27</v>
      </c>
      <c r="B95" s="15">
        <f>SUMSQ(B84:D91)-B94</f>
        <v>69793.946690849261</v>
      </c>
      <c r="C95" s="7" t="s">
        <v>28</v>
      </c>
      <c r="D95" s="15">
        <f>(SUMSQ(B92:D92)/8)-B94</f>
        <v>4854.1439618137665</v>
      </c>
      <c r="E95" s="14"/>
      <c r="F95" s="14"/>
      <c r="G95" s="13" t="s">
        <v>29</v>
      </c>
      <c r="H95" s="12">
        <f>((SQRT(J91))/F92)*100</f>
        <v>32.252450562240206</v>
      </c>
      <c r="I95" s="7"/>
      <c r="J95" s="21"/>
      <c r="K95" s="7"/>
      <c r="L95" s="7"/>
      <c r="M95" s="7"/>
      <c r="N95" s="7"/>
      <c r="O95" s="7"/>
    </row>
    <row r="96" spans="1:15" x14ac:dyDescent="0.25">
      <c r="A96" s="7" t="s">
        <v>30</v>
      </c>
      <c r="B96" s="15">
        <f>(SUMSQ(E84:E91)/3)-B94</f>
        <v>37505.442812282068</v>
      </c>
      <c r="C96" s="7" t="s">
        <v>31</v>
      </c>
      <c r="D96" s="15">
        <f>B95-B96-D95</f>
        <v>27434.359916753427</v>
      </c>
      <c r="E96" s="14"/>
      <c r="F96" s="14"/>
      <c r="G96" s="7"/>
      <c r="H96" s="7"/>
      <c r="I96" s="7"/>
      <c r="J96" s="7"/>
      <c r="K96" s="7"/>
      <c r="L96" s="7"/>
      <c r="M96" s="2"/>
      <c r="N96" s="7"/>
      <c r="O96" s="7"/>
    </row>
    <row r="98" spans="1:15" x14ac:dyDescent="0.25">
      <c r="A98" s="138" t="s">
        <v>59</v>
      </c>
      <c r="B98" s="139"/>
      <c r="C98" s="139"/>
      <c r="D98" s="22"/>
      <c r="E98" s="3"/>
      <c r="F98" s="3"/>
      <c r="G98" s="3"/>
      <c r="H98" s="3"/>
      <c r="I98" s="3"/>
      <c r="J98" s="3"/>
      <c r="K98" s="3"/>
      <c r="L98" s="3"/>
      <c r="M98" s="3"/>
      <c r="N98" s="5"/>
      <c r="O98" s="3"/>
    </row>
    <row r="99" spans="1:15" x14ac:dyDescent="0.25">
      <c r="A99" s="6" t="s">
        <v>0</v>
      </c>
      <c r="B99" s="6" t="s">
        <v>1</v>
      </c>
      <c r="C99" s="6" t="s">
        <v>2</v>
      </c>
      <c r="D99" s="6" t="s">
        <v>3</v>
      </c>
      <c r="E99" s="6" t="s">
        <v>4</v>
      </c>
      <c r="F99" s="6" t="s">
        <v>5</v>
      </c>
      <c r="G99" s="7"/>
      <c r="H99" s="7"/>
      <c r="I99" s="6" t="s">
        <v>6</v>
      </c>
      <c r="J99" s="7"/>
      <c r="K99" s="7"/>
      <c r="L99" s="7"/>
      <c r="M99" s="7"/>
      <c r="N99" s="136" t="s">
        <v>7</v>
      </c>
      <c r="O99" s="137"/>
    </row>
    <row r="100" spans="1:15" ht="15.75" x14ac:dyDescent="0.3">
      <c r="A100" s="6" t="s">
        <v>33</v>
      </c>
      <c r="B100" s="25">
        <v>3.9854252347058821</v>
      </c>
      <c r="C100" s="25">
        <v>2.0964622023529413</v>
      </c>
      <c r="D100" s="25">
        <v>2.0558741294117651</v>
      </c>
      <c r="E100" s="9">
        <f t="shared" ref="E100:E107" si="19">SUM(B100:D100)</f>
        <v>8.1377615664705871</v>
      </c>
      <c r="F100" s="10">
        <f t="shared" ref="F100:F107" si="20">E100/3</f>
        <v>2.7125871888235289</v>
      </c>
      <c r="G100" s="7"/>
      <c r="H100" s="7"/>
      <c r="I100" s="7"/>
      <c r="J100" s="7"/>
      <c r="K100" s="7"/>
      <c r="L100" s="7"/>
      <c r="M100" s="7"/>
      <c r="N100" s="11">
        <v>1</v>
      </c>
      <c r="O100" s="12">
        <f>SUM(F100:F103)/4</f>
        <v>2.3490939532598039</v>
      </c>
    </row>
    <row r="101" spans="1:15" x14ac:dyDescent="0.25">
      <c r="A101" s="6" t="s">
        <v>32</v>
      </c>
      <c r="B101" s="25">
        <v>2.3687160152941171</v>
      </c>
      <c r="C101" s="25">
        <v>1.8426396882352947</v>
      </c>
      <c r="D101" s="25">
        <v>2.896311944117647</v>
      </c>
      <c r="E101" s="9">
        <f t="shared" si="19"/>
        <v>7.1076676476470588</v>
      </c>
      <c r="F101" s="10">
        <f t="shared" si="20"/>
        <v>2.3692225492156864</v>
      </c>
      <c r="G101" s="7"/>
      <c r="H101" s="13" t="s">
        <v>8</v>
      </c>
      <c r="I101" s="13" t="s">
        <v>9</v>
      </c>
      <c r="J101" s="13" t="s">
        <v>10</v>
      </c>
      <c r="K101" s="13" t="s">
        <v>11</v>
      </c>
      <c r="L101" s="13" t="s">
        <v>12</v>
      </c>
      <c r="M101" s="7"/>
      <c r="N101" s="11">
        <v>0.75</v>
      </c>
      <c r="O101" s="12">
        <f>SUM(F104:F107)/4</f>
        <v>1.9441997395098043</v>
      </c>
    </row>
    <row r="102" spans="1:15" ht="15.75" x14ac:dyDescent="0.3">
      <c r="A102" s="6" t="s">
        <v>34</v>
      </c>
      <c r="B102" s="25">
        <v>2.5836171164705881</v>
      </c>
      <c r="C102" s="25">
        <v>2.0934475085294126</v>
      </c>
      <c r="D102" s="25">
        <v>2.5666564000000007</v>
      </c>
      <c r="E102" s="9">
        <f t="shared" si="19"/>
        <v>7.243721025000001</v>
      </c>
      <c r="F102" s="10">
        <f t="shared" si="20"/>
        <v>2.4145736750000002</v>
      </c>
      <c r="G102" s="13" t="s">
        <v>13</v>
      </c>
      <c r="H102" s="7">
        <v>2</v>
      </c>
      <c r="I102" s="14">
        <f>D111</f>
        <v>0.42107967427261883</v>
      </c>
      <c r="J102" s="14">
        <f t="shared" ref="J102:J107" si="21">I102/H102</f>
        <v>0.21053983713630942</v>
      </c>
      <c r="K102" s="15">
        <f>J102/J107</f>
        <v>0.30168468423869749</v>
      </c>
      <c r="L102" s="14">
        <f>FINV(0.05,2,14)</f>
        <v>3.7388918324407361</v>
      </c>
      <c r="M102" s="1" t="str">
        <f>IF(K102&gt;=L102,"sig","ns")</f>
        <v>ns</v>
      </c>
      <c r="N102" s="13" t="s">
        <v>14</v>
      </c>
      <c r="O102" s="12">
        <f>SQRT(J107/(3*4))</f>
        <v>0.24115700797033224</v>
      </c>
    </row>
    <row r="103" spans="1:15" ht="15.75" x14ac:dyDescent="0.3">
      <c r="A103" s="6" t="s">
        <v>35</v>
      </c>
      <c r="B103" s="25">
        <v>2.0379330247058824</v>
      </c>
      <c r="C103" s="25">
        <v>2.0499918000000004</v>
      </c>
      <c r="D103" s="25">
        <v>1.6120523752941178</v>
      </c>
      <c r="E103" s="9">
        <f t="shared" si="19"/>
        <v>5.6999772000000011</v>
      </c>
      <c r="F103" s="10">
        <f t="shared" si="20"/>
        <v>1.8999924000000004</v>
      </c>
      <c r="G103" s="13" t="s">
        <v>15</v>
      </c>
      <c r="H103" s="7">
        <v>7</v>
      </c>
      <c r="I103" s="14">
        <f>B112</f>
        <v>3.5708349904093097</v>
      </c>
      <c r="J103" s="14">
        <f t="shared" si="21"/>
        <v>0.51011928434418707</v>
      </c>
      <c r="K103" s="15">
        <f>J103/J107</f>
        <v>0.73095513568679327</v>
      </c>
      <c r="L103" s="14">
        <f>FINV(0.05,7,14)</f>
        <v>2.7641992567781792</v>
      </c>
      <c r="M103" s="1" t="str">
        <f>IF(K103&gt;=L103,"sig","ns")</f>
        <v>ns</v>
      </c>
      <c r="N103" s="13" t="s">
        <v>16</v>
      </c>
      <c r="O103" s="12">
        <f>SQRT((2*J107)/(3*4))*L108</f>
        <v>0.73147416225443007</v>
      </c>
    </row>
    <row r="104" spans="1:15" ht="15.75" x14ac:dyDescent="0.3">
      <c r="A104" s="6" t="s">
        <v>36</v>
      </c>
      <c r="B104" s="25">
        <v>0</v>
      </c>
      <c r="C104" s="25">
        <v>2.7630526732352938</v>
      </c>
      <c r="D104" s="25">
        <v>1.5866603200000002</v>
      </c>
      <c r="E104" s="9">
        <f t="shared" si="19"/>
        <v>4.3497129932352943</v>
      </c>
      <c r="F104" s="10">
        <f t="shared" si="20"/>
        <v>1.4499043310784314</v>
      </c>
      <c r="G104" s="7" t="s">
        <v>17</v>
      </c>
      <c r="H104" s="7">
        <v>1</v>
      </c>
      <c r="I104" s="14">
        <f>((E100+E101+E102+E103)^2+(E104+E105+E106+E107)^2)/12-B110</f>
        <v>0.98363594596941084</v>
      </c>
      <c r="J104" s="14">
        <f t="shared" si="21"/>
        <v>0.98363594596941084</v>
      </c>
      <c r="K104" s="15">
        <f>J104/J107</f>
        <v>1.4094619992200872</v>
      </c>
      <c r="L104" s="14">
        <f>FINV(0.05,1,14)</f>
        <v>4.6001099366694227</v>
      </c>
      <c r="M104" s="1" t="str">
        <f>IF(K104&gt;=L104,"sig","ns")</f>
        <v>ns</v>
      </c>
      <c r="N104" s="16" t="s">
        <v>18</v>
      </c>
      <c r="O104" s="12">
        <f>(F100+F104)/2</f>
        <v>2.0812457599509804</v>
      </c>
    </row>
    <row r="105" spans="1:15" x14ac:dyDescent="0.25">
      <c r="A105" s="6" t="s">
        <v>37</v>
      </c>
      <c r="B105" s="25">
        <v>2.5592054494117646</v>
      </c>
      <c r="C105" s="25">
        <v>1.3634504285294116</v>
      </c>
      <c r="D105" s="25">
        <v>1.4743813573529412</v>
      </c>
      <c r="E105" s="9">
        <f t="shared" si="19"/>
        <v>5.3970372352941176</v>
      </c>
      <c r="F105" s="10">
        <f t="shared" si="20"/>
        <v>1.7990124117647059</v>
      </c>
      <c r="G105" s="7" t="s">
        <v>19</v>
      </c>
      <c r="H105" s="7">
        <v>3</v>
      </c>
      <c r="I105" s="14">
        <f xml:space="preserve"> ((E100+E104)^2+(E101+E105)^2+(E102+E106)^2+(E103+E107)^2)/6-B110</f>
        <v>0.12414503628055229</v>
      </c>
      <c r="J105" s="14">
        <f t="shared" si="21"/>
        <v>4.1381678760184094E-2</v>
      </c>
      <c r="K105" s="15">
        <f>J105/J107</f>
        <v>5.929623039439666E-2</v>
      </c>
      <c r="L105" s="14">
        <f>FINV(0.05,3,14)</f>
        <v>3.3438886781189128</v>
      </c>
      <c r="M105" s="1" t="str">
        <f>IF(K105&gt;=L105,"sig","ns")</f>
        <v>ns</v>
      </c>
      <c r="N105" s="16" t="s">
        <v>20</v>
      </c>
      <c r="O105" s="12">
        <f>(F101+F105)/2</f>
        <v>2.0841174804901961</v>
      </c>
    </row>
    <row r="106" spans="1:15" ht="15.75" x14ac:dyDescent="0.3">
      <c r="A106" s="6" t="s">
        <v>38</v>
      </c>
      <c r="B106" s="25">
        <v>1.5000675291176473</v>
      </c>
      <c r="C106" s="25">
        <v>3.1843009882352953</v>
      </c>
      <c r="D106" s="25">
        <v>1.6144543264705888</v>
      </c>
      <c r="E106" s="9">
        <f t="shared" si="19"/>
        <v>6.2988228438235314</v>
      </c>
      <c r="F106" s="10">
        <f t="shared" si="20"/>
        <v>2.099607614607844</v>
      </c>
      <c r="G106" s="17" t="s">
        <v>21</v>
      </c>
      <c r="H106" s="18">
        <v>3</v>
      </c>
      <c r="I106" s="14">
        <f>(I103-(I104+I105))</f>
        <v>2.4630540081593466</v>
      </c>
      <c r="J106" s="14">
        <f t="shared" si="21"/>
        <v>0.8210180027197822</v>
      </c>
      <c r="K106" s="15">
        <f>J106/J107</f>
        <v>1.1764450864680922</v>
      </c>
      <c r="L106" s="14">
        <f>FINV(0.05,3,14)</f>
        <v>3.3438886781189128</v>
      </c>
      <c r="M106" s="1" t="str">
        <f>IF(K106&gt;=L106,"sig","ns")</f>
        <v>ns</v>
      </c>
      <c r="N106" s="16" t="s">
        <v>22</v>
      </c>
      <c r="O106" s="12">
        <f>(F102+F106)/2</f>
        <v>2.2570906448039221</v>
      </c>
    </row>
    <row r="107" spans="1:15" ht="15.75" x14ac:dyDescent="0.3">
      <c r="A107" s="6" t="s">
        <v>39</v>
      </c>
      <c r="B107" s="25">
        <v>2.6430041338235295</v>
      </c>
      <c r="C107" s="25">
        <v>2.7494007670588236</v>
      </c>
      <c r="D107" s="25">
        <v>1.8924189008823529</v>
      </c>
      <c r="E107" s="9">
        <f t="shared" si="19"/>
        <v>7.2848238017647056</v>
      </c>
      <c r="F107" s="10">
        <f t="shared" si="20"/>
        <v>2.4282746005882352</v>
      </c>
      <c r="G107" s="13" t="s">
        <v>23</v>
      </c>
      <c r="H107" s="7">
        <v>14</v>
      </c>
      <c r="I107" s="14">
        <f>D112</f>
        <v>9.7703260188580856</v>
      </c>
      <c r="J107" s="14">
        <f t="shared" si="21"/>
        <v>0.69788042991843469</v>
      </c>
      <c r="K107" s="14"/>
      <c r="L107" s="14"/>
      <c r="M107" s="7"/>
      <c r="N107" s="16" t="s">
        <v>24</v>
      </c>
      <c r="O107" s="12">
        <f>(F103+F107)/2</f>
        <v>2.1641335002941178</v>
      </c>
    </row>
    <row r="108" spans="1:15" x14ac:dyDescent="0.25">
      <c r="A108" s="6" t="s">
        <v>4</v>
      </c>
      <c r="B108" s="9">
        <f>SUM(B100:B107)</f>
        <v>17.677968503529414</v>
      </c>
      <c r="C108" s="9">
        <f>SUM(C100:C107)</f>
        <v>18.142746056176474</v>
      </c>
      <c r="D108" s="9">
        <f>SUM(D100:D107)</f>
        <v>15.698809753529414</v>
      </c>
      <c r="E108" s="15">
        <f>SUM(E100:E107)</f>
        <v>51.519524313235294</v>
      </c>
      <c r="F108" s="19">
        <f>AVERAGE(B100:D107)</f>
        <v>2.1466468463848041</v>
      </c>
      <c r="G108" s="13" t="s">
        <v>4</v>
      </c>
      <c r="H108" s="7">
        <v>23</v>
      </c>
      <c r="I108" s="14">
        <f>B111</f>
        <v>13.762240683540014</v>
      </c>
      <c r="J108" s="14"/>
      <c r="K108" s="7" t="s">
        <v>25</v>
      </c>
      <c r="L108" s="20">
        <f>TINV(0.05,14)</f>
        <v>2.1447866879178044</v>
      </c>
      <c r="M108" s="7"/>
      <c r="N108" s="13" t="s">
        <v>14</v>
      </c>
      <c r="O108" s="12">
        <f>SQRT(J107/(3*2))</f>
        <v>0.34104751133296046</v>
      </c>
    </row>
    <row r="109" spans="1:15" x14ac:dyDescent="0.25">
      <c r="A109" s="6" t="s">
        <v>5</v>
      </c>
      <c r="B109" s="9">
        <f>B108/8</f>
        <v>2.2097460629411767</v>
      </c>
      <c r="C109" s="9">
        <f>C108/8</f>
        <v>2.2678432570220592</v>
      </c>
      <c r="D109" s="9">
        <f>D108/8</f>
        <v>1.9623512191911767</v>
      </c>
      <c r="E109" s="14"/>
      <c r="F109" s="14"/>
      <c r="G109" s="13" t="s">
        <v>14</v>
      </c>
      <c r="H109" s="12">
        <f>SQRT(J107/3)</f>
        <v>0.48231401594066448</v>
      </c>
      <c r="I109" s="7"/>
      <c r="J109" s="21"/>
      <c r="K109" s="7"/>
      <c r="L109" s="7"/>
      <c r="M109" s="7"/>
      <c r="N109" s="13" t="s">
        <v>16</v>
      </c>
      <c r="O109" s="12">
        <f>SQRT((2*J107)/(3*2))*L108</f>
        <v>1.0344606807857128</v>
      </c>
    </row>
    <row r="110" spans="1:15" x14ac:dyDescent="0.25">
      <c r="A110" s="7" t="s">
        <v>26</v>
      </c>
      <c r="B110" s="15">
        <f>(E108*E108)/24</f>
        <v>110.59422439425178</v>
      </c>
      <c r="C110" s="14"/>
      <c r="D110" s="14"/>
      <c r="E110" s="14"/>
      <c r="F110" s="14"/>
      <c r="G110" s="13" t="s">
        <v>16</v>
      </c>
      <c r="H110" s="12">
        <f>(SQRT((2*J107)/3))*L108</f>
        <v>1.4629483245088601</v>
      </c>
      <c r="I110" s="7"/>
      <c r="J110" s="7"/>
      <c r="K110" s="7"/>
      <c r="L110" s="7"/>
      <c r="M110" s="7"/>
      <c r="N110" s="7"/>
      <c r="O110" s="7"/>
    </row>
    <row r="111" spans="1:15" x14ac:dyDescent="0.25">
      <c r="A111" s="7" t="s">
        <v>27</v>
      </c>
      <c r="B111" s="15">
        <f>SUMSQ(B100:D107)-B110</f>
        <v>13.762240683540014</v>
      </c>
      <c r="C111" s="7" t="s">
        <v>28</v>
      </c>
      <c r="D111" s="15">
        <f>(SUMSQ(B108:D108)/8)-B110</f>
        <v>0.42107967427261883</v>
      </c>
      <c r="E111" s="14"/>
      <c r="F111" s="14"/>
      <c r="G111" s="13" t="s">
        <v>29</v>
      </c>
      <c r="H111" s="12">
        <f>((SQRT(J107))/F108)*100</f>
        <v>38.916153452008722</v>
      </c>
      <c r="I111" s="7"/>
      <c r="J111" s="21"/>
      <c r="K111" s="7"/>
      <c r="L111" s="7"/>
      <c r="M111" s="7"/>
      <c r="N111" s="7"/>
      <c r="O111" s="7"/>
    </row>
    <row r="112" spans="1:15" x14ac:dyDescent="0.25">
      <c r="A112" s="7" t="s">
        <v>30</v>
      </c>
      <c r="B112" s="15">
        <f>(SUMSQ(E100:E107)/3)-B110</f>
        <v>3.5708349904093097</v>
      </c>
      <c r="C112" s="7" t="s">
        <v>31</v>
      </c>
      <c r="D112" s="15">
        <f>B111-B112-D111</f>
        <v>9.7703260188580856</v>
      </c>
      <c r="E112" s="14"/>
      <c r="F112" s="14"/>
      <c r="G112" s="7"/>
      <c r="H112" s="7"/>
      <c r="I112" s="7"/>
      <c r="J112" s="7"/>
      <c r="K112" s="7"/>
      <c r="L112" s="7"/>
      <c r="M112" s="2"/>
      <c r="N112" s="7"/>
      <c r="O112" s="7"/>
    </row>
    <row r="114" spans="1:15" x14ac:dyDescent="0.25">
      <c r="A114" s="138" t="s">
        <v>60</v>
      </c>
      <c r="B114" s="139"/>
      <c r="C114" s="139"/>
      <c r="D114" s="22"/>
      <c r="E114" s="3"/>
      <c r="F114" s="3"/>
      <c r="G114" s="3"/>
      <c r="H114" s="3"/>
      <c r="I114" s="3"/>
      <c r="J114" s="3"/>
      <c r="K114" s="3"/>
      <c r="L114" s="3"/>
      <c r="M114" s="3"/>
      <c r="N114" s="5"/>
      <c r="O114" s="3"/>
    </row>
    <row r="115" spans="1:15" x14ac:dyDescent="0.25">
      <c r="A115" s="6" t="s">
        <v>0</v>
      </c>
      <c r="B115" s="6" t="s">
        <v>1</v>
      </c>
      <c r="C115" s="6" t="s">
        <v>2</v>
      </c>
      <c r="D115" s="6" t="s">
        <v>3</v>
      </c>
      <c r="E115" s="6" t="s">
        <v>4</v>
      </c>
      <c r="F115" s="6" t="s">
        <v>5</v>
      </c>
      <c r="G115" s="7"/>
      <c r="H115" s="7"/>
      <c r="I115" s="6" t="s">
        <v>6</v>
      </c>
      <c r="J115" s="7"/>
      <c r="K115" s="7"/>
      <c r="L115" s="7"/>
      <c r="M115" s="7"/>
      <c r="N115" s="136" t="s">
        <v>7</v>
      </c>
      <c r="O115" s="137"/>
    </row>
    <row r="116" spans="1:15" ht="15.75" x14ac:dyDescent="0.3">
      <c r="A116" s="6" t="s">
        <v>33</v>
      </c>
      <c r="B116" s="8">
        <v>21.749913000000006</v>
      </c>
      <c r="C116" s="8">
        <v>27.771457541176471</v>
      </c>
      <c r="D116" s="8">
        <v>30.817523788235295</v>
      </c>
      <c r="E116" s="9">
        <f t="shared" ref="E116:E123" si="22">SUM(B116:D116)</f>
        <v>80.338894329411772</v>
      </c>
      <c r="F116" s="10">
        <f t="shared" ref="F116:F123" si="23">E116/3</f>
        <v>26.779631443137259</v>
      </c>
      <c r="G116" s="7"/>
      <c r="H116" s="7"/>
      <c r="I116" s="7"/>
      <c r="J116" s="7"/>
      <c r="K116" s="7"/>
      <c r="L116" s="7"/>
      <c r="M116" s="7"/>
      <c r="N116" s="11">
        <v>1</v>
      </c>
      <c r="O116" s="12">
        <f>SUM(F116:F119)/4</f>
        <v>27.695951307254905</v>
      </c>
    </row>
    <row r="117" spans="1:15" x14ac:dyDescent="0.25">
      <c r="A117" s="6" t="s">
        <v>32</v>
      </c>
      <c r="B117" s="8">
        <v>19.367569588235295</v>
      </c>
      <c r="C117" s="8">
        <v>27.102832764705887</v>
      </c>
      <c r="D117" s="8">
        <v>35.179271047058826</v>
      </c>
      <c r="E117" s="9">
        <f t="shared" si="22"/>
        <v>81.649673400000012</v>
      </c>
      <c r="F117" s="10">
        <f t="shared" si="23"/>
        <v>27.216557800000004</v>
      </c>
      <c r="G117" s="7"/>
      <c r="H117" s="13" t="s">
        <v>8</v>
      </c>
      <c r="I117" s="13" t="s">
        <v>9</v>
      </c>
      <c r="J117" s="13" t="s">
        <v>10</v>
      </c>
      <c r="K117" s="13" t="s">
        <v>11</v>
      </c>
      <c r="L117" s="13" t="s">
        <v>12</v>
      </c>
      <c r="M117" s="7"/>
      <c r="N117" s="11">
        <v>0.75</v>
      </c>
      <c r="O117" s="12">
        <f>SUM(F120:F123)/4</f>
        <v>22.543721099264708</v>
      </c>
    </row>
    <row r="118" spans="1:15" ht="15.75" x14ac:dyDescent="0.3">
      <c r="A118" s="6" t="s">
        <v>34</v>
      </c>
      <c r="B118" s="8">
        <v>18.651690098823533</v>
      </c>
      <c r="C118" s="8">
        <v>27.580772029411769</v>
      </c>
      <c r="D118" s="8">
        <v>29.779292647058824</v>
      </c>
      <c r="E118" s="9">
        <f t="shared" si="22"/>
        <v>76.011754775294122</v>
      </c>
      <c r="F118" s="10">
        <f t="shared" si="23"/>
        <v>25.337251591764709</v>
      </c>
      <c r="G118" s="13" t="s">
        <v>13</v>
      </c>
      <c r="H118" s="7">
        <v>2</v>
      </c>
      <c r="I118" s="14">
        <f>D127</f>
        <v>705.00546029872748</v>
      </c>
      <c r="J118" s="14">
        <f t="shared" ref="J118:J123" si="24">I118/H118</f>
        <v>352.50273014936374</v>
      </c>
      <c r="K118" s="15">
        <f>J118/J123</f>
        <v>12.099676268216124</v>
      </c>
      <c r="L118" s="14">
        <f>FINV(0.05,2,14)</f>
        <v>3.7388918324407361</v>
      </c>
      <c r="M118" s="1" t="str">
        <f>IF(K118&gt;=L118,"sig","ns")</f>
        <v>sig</v>
      </c>
      <c r="N118" s="13" t="s">
        <v>14</v>
      </c>
      <c r="O118" s="12">
        <f>SQRT(J123/(3*4))</f>
        <v>1.5581301958847023</v>
      </c>
    </row>
    <row r="119" spans="1:15" ht="15.75" x14ac:dyDescent="0.3">
      <c r="A119" s="6" t="s">
        <v>35</v>
      </c>
      <c r="B119" s="8">
        <v>23.294024470588237</v>
      </c>
      <c r="C119" s="8">
        <v>40.393956070588231</v>
      </c>
      <c r="D119" s="8">
        <v>30.663112641176472</v>
      </c>
      <c r="E119" s="9">
        <f t="shared" si="22"/>
        <v>94.35109318235294</v>
      </c>
      <c r="F119" s="10">
        <f t="shared" si="23"/>
        <v>31.450364394117646</v>
      </c>
      <c r="G119" s="13" t="s">
        <v>15</v>
      </c>
      <c r="H119" s="7">
        <v>7</v>
      </c>
      <c r="I119" s="14">
        <f>B128</f>
        <v>388.1658933253002</v>
      </c>
      <c r="J119" s="14">
        <f t="shared" si="24"/>
        <v>55.452270475042887</v>
      </c>
      <c r="K119" s="15">
        <f>J119/J123</f>
        <v>1.9034023390436685</v>
      </c>
      <c r="L119" s="14">
        <f>FINV(0.05,7,14)</f>
        <v>2.7641992567781792</v>
      </c>
      <c r="M119" s="1" t="str">
        <f>IF(K119&gt;=L119,"sig","ns")</f>
        <v>ns</v>
      </c>
      <c r="N119" s="13" t="s">
        <v>16</v>
      </c>
      <c r="O119" s="12">
        <f>SQRT((2*J123)/(3*4))*L124</f>
        <v>4.7260993545678192</v>
      </c>
    </row>
    <row r="120" spans="1:15" ht="15.75" x14ac:dyDescent="0.3">
      <c r="A120" s="6" t="s">
        <v>36</v>
      </c>
      <c r="B120" s="8">
        <v>0</v>
      </c>
      <c r="C120" s="8">
        <v>26.672442329411766</v>
      </c>
      <c r="D120" s="8">
        <v>26.999892000000003</v>
      </c>
      <c r="E120" s="9">
        <f t="shared" si="22"/>
        <v>53.672334329411768</v>
      </c>
      <c r="F120" s="10">
        <f t="shared" si="23"/>
        <v>17.890778109803922</v>
      </c>
      <c r="G120" s="7" t="s">
        <v>17</v>
      </c>
      <c r="H120" s="7">
        <v>1</v>
      </c>
      <c r="I120" s="14">
        <f>((E116+E117+E118+E119)^2+(E120+E121+E122+E123)^2)/12-B126</f>
        <v>159.27285669676166</v>
      </c>
      <c r="J120" s="14">
        <f t="shared" si="24"/>
        <v>159.27285669676166</v>
      </c>
      <c r="K120" s="15">
        <f>J120/J123</f>
        <v>5.4670498680342572</v>
      </c>
      <c r="L120" s="14">
        <f>FINV(0.05,1,14)</f>
        <v>4.6001099366694227</v>
      </c>
      <c r="M120" s="1" t="str">
        <f>IF(K120&gt;=L120,"sig","ns")</f>
        <v>sig</v>
      </c>
      <c r="N120" s="16" t="s">
        <v>18</v>
      </c>
      <c r="O120" s="12">
        <f>(F116+F120)/2</f>
        <v>22.33520477647059</v>
      </c>
    </row>
    <row r="121" spans="1:15" x14ac:dyDescent="0.25">
      <c r="A121" s="6" t="s">
        <v>37</v>
      </c>
      <c r="B121" s="8">
        <v>20.816583399999999</v>
      </c>
      <c r="C121" s="8">
        <v>19.174433105882354</v>
      </c>
      <c r="D121" s="8">
        <v>20.446977035294118</v>
      </c>
      <c r="E121" s="9">
        <f t="shared" si="22"/>
        <v>60.437993541176475</v>
      </c>
      <c r="F121" s="10">
        <f t="shared" si="23"/>
        <v>20.145997847058826</v>
      </c>
      <c r="G121" s="7" t="s">
        <v>19</v>
      </c>
      <c r="H121" s="7">
        <v>3</v>
      </c>
      <c r="I121" s="14">
        <f xml:space="preserve"> ((E116+E120)^2+(E117+E121)^2+(E118+E122)^2+(E119+E123)^2)/6-B126</f>
        <v>169.0547511681707</v>
      </c>
      <c r="J121" s="14">
        <f t="shared" si="24"/>
        <v>56.351583722723568</v>
      </c>
      <c r="K121" s="15">
        <f>J121/J123</f>
        <v>1.9342713174372361</v>
      </c>
      <c r="L121" s="14">
        <f>FINV(0.05,3,14)</f>
        <v>3.3438886781189128</v>
      </c>
      <c r="M121" s="1" t="str">
        <f>IF(K121&gt;=L121,"sig","ns")</f>
        <v>ns</v>
      </c>
      <c r="N121" s="16" t="s">
        <v>20</v>
      </c>
      <c r="O121" s="12">
        <f>(F117+F121)/2</f>
        <v>23.681277823529413</v>
      </c>
    </row>
    <row r="122" spans="1:15" ht="15.75" x14ac:dyDescent="0.3">
      <c r="A122" s="6" t="s">
        <v>38</v>
      </c>
      <c r="B122" s="8">
        <v>15.630819829411767</v>
      </c>
      <c r="C122" s="8">
        <v>32.993985670588231</v>
      </c>
      <c r="D122" s="8">
        <v>25.720485352941179</v>
      </c>
      <c r="E122" s="9">
        <f t="shared" si="22"/>
        <v>74.345290852941176</v>
      </c>
      <c r="F122" s="10">
        <f t="shared" si="23"/>
        <v>24.781763617647059</v>
      </c>
      <c r="G122" s="17" t="s">
        <v>21</v>
      </c>
      <c r="H122" s="18">
        <v>3</v>
      </c>
      <c r="I122" s="14">
        <f>(I119-(I120+I121))</f>
        <v>59.838285460367842</v>
      </c>
      <c r="J122" s="14">
        <f t="shared" si="24"/>
        <v>19.946095153455946</v>
      </c>
      <c r="K122" s="15">
        <f>J122/J123</f>
        <v>0.68465085098657119</v>
      </c>
      <c r="L122" s="14">
        <f>FINV(0.05,3,14)</f>
        <v>3.3438886781189128</v>
      </c>
      <c r="M122" s="1" t="str">
        <f>IF(K122&gt;=L122,"sig","ns")</f>
        <v>ns</v>
      </c>
      <c r="N122" s="16" t="s">
        <v>22</v>
      </c>
      <c r="O122" s="12">
        <f>(F118+F122)/2</f>
        <v>25.059507604705885</v>
      </c>
    </row>
    <row r="123" spans="1:15" ht="15.75" x14ac:dyDescent="0.3">
      <c r="A123" s="6" t="s">
        <v>39</v>
      </c>
      <c r="B123" s="8">
        <v>20.168791873529411</v>
      </c>
      <c r="C123" s="8">
        <v>27.995966447058827</v>
      </c>
      <c r="D123" s="8">
        <v>33.90427614705883</v>
      </c>
      <c r="E123" s="9">
        <f t="shared" si="22"/>
        <v>82.069034467647072</v>
      </c>
      <c r="F123" s="10">
        <f t="shared" si="23"/>
        <v>27.356344822549023</v>
      </c>
      <c r="G123" s="13" t="s">
        <v>23</v>
      </c>
      <c r="H123" s="7">
        <v>14</v>
      </c>
      <c r="I123" s="14">
        <f>D128</f>
        <v>407.86531083105365</v>
      </c>
      <c r="J123" s="14">
        <f t="shared" si="24"/>
        <v>29.133236487932404</v>
      </c>
      <c r="K123" s="14"/>
      <c r="L123" s="14"/>
      <c r="M123" s="7"/>
      <c r="N123" s="16" t="s">
        <v>24</v>
      </c>
      <c r="O123" s="12">
        <f>(F119+F123)/2</f>
        <v>29.403354608333334</v>
      </c>
    </row>
    <row r="124" spans="1:15" x14ac:dyDescent="0.25">
      <c r="A124" s="6" t="s">
        <v>4</v>
      </c>
      <c r="B124" s="9">
        <f>SUM(B116:B123)</f>
        <v>139.67939226058826</v>
      </c>
      <c r="C124" s="9">
        <f>SUM(C116:C123)</f>
        <v>229.68584595882351</v>
      </c>
      <c r="D124" s="9">
        <f>SUM(D116:D123)</f>
        <v>233.51083065882352</v>
      </c>
      <c r="E124" s="15">
        <f>SUM(E116:E123)</f>
        <v>602.8760688782354</v>
      </c>
      <c r="F124" s="19">
        <f>AVERAGE(B116:D123)</f>
        <v>25.119836203259805</v>
      </c>
      <c r="G124" s="13" t="s">
        <v>4</v>
      </c>
      <c r="H124" s="7">
        <v>23</v>
      </c>
      <c r="I124" s="14">
        <f>B127</f>
        <v>1501.0366644550813</v>
      </c>
      <c r="J124" s="14"/>
      <c r="K124" s="7" t="s">
        <v>25</v>
      </c>
      <c r="L124" s="20">
        <f>TINV(0.05,14)</f>
        <v>2.1447866879178044</v>
      </c>
      <c r="M124" s="7"/>
      <c r="N124" s="13" t="s">
        <v>14</v>
      </c>
      <c r="O124" s="12">
        <f>SQRT(J123/(3*2))</f>
        <v>2.2035288549631931</v>
      </c>
    </row>
    <row r="125" spans="1:15" x14ac:dyDescent="0.25">
      <c r="A125" s="6" t="s">
        <v>5</v>
      </c>
      <c r="B125" s="9">
        <f>B124/8</f>
        <v>17.459924032573532</v>
      </c>
      <c r="C125" s="9">
        <f>C124/8</f>
        <v>28.710730744852938</v>
      </c>
      <c r="D125" s="9">
        <f>D124/8</f>
        <v>29.18885383235294</v>
      </c>
      <c r="E125" s="14"/>
      <c r="F125" s="14"/>
      <c r="G125" s="13" t="s">
        <v>14</v>
      </c>
      <c r="H125" s="12">
        <f>SQRT(J123/3)</f>
        <v>3.1162603917694045</v>
      </c>
      <c r="I125" s="7"/>
      <c r="J125" s="21"/>
      <c r="K125" s="7"/>
      <c r="L125" s="7"/>
      <c r="M125" s="7"/>
      <c r="N125" s="13" t="s">
        <v>16</v>
      </c>
      <c r="O125" s="12">
        <f>SQRT((2*J123)/(3*2))*L124</f>
        <v>6.6837138043525401</v>
      </c>
    </row>
    <row r="126" spans="1:15" x14ac:dyDescent="0.25">
      <c r="A126" s="7" t="s">
        <v>26</v>
      </c>
      <c r="B126" s="15">
        <f>(E124*E124)/24</f>
        <v>15144.148101086452</v>
      </c>
      <c r="C126" s="14"/>
      <c r="D126" s="14"/>
      <c r="E126" s="14"/>
      <c r="F126" s="14"/>
      <c r="G126" s="13" t="s">
        <v>16</v>
      </c>
      <c r="H126" s="12">
        <f>(SQRT((2*J123)/3))*L124</f>
        <v>9.4521987091356383</v>
      </c>
      <c r="I126" s="7"/>
      <c r="J126" s="7"/>
      <c r="K126" s="7"/>
      <c r="L126" s="7"/>
      <c r="M126" s="7"/>
      <c r="N126" s="7"/>
      <c r="O126" s="7"/>
    </row>
    <row r="127" spans="1:15" x14ac:dyDescent="0.25">
      <c r="A127" s="7" t="s">
        <v>27</v>
      </c>
      <c r="B127" s="15">
        <f>SUMSQ(B116:D123)-B126</f>
        <v>1501.0366644550813</v>
      </c>
      <c r="C127" s="7" t="s">
        <v>28</v>
      </c>
      <c r="D127" s="15">
        <f>(SUMSQ(B124:D124)/8)-B126</f>
        <v>705.00546029872748</v>
      </c>
      <c r="E127" s="14"/>
      <c r="F127" s="14"/>
      <c r="G127" s="13" t="s">
        <v>29</v>
      </c>
      <c r="H127" s="12">
        <f>((SQRT(J123))/F124)*100</f>
        <v>21.487088070497311</v>
      </c>
      <c r="I127" s="7"/>
      <c r="J127" s="21"/>
      <c r="K127" s="7"/>
      <c r="L127" s="7"/>
      <c r="M127" s="7"/>
      <c r="N127" s="7"/>
      <c r="O127" s="7"/>
    </row>
    <row r="128" spans="1:15" x14ac:dyDescent="0.25">
      <c r="A128" s="7" t="s">
        <v>30</v>
      </c>
      <c r="B128" s="15">
        <f>(SUMSQ(E116:E123)/3)-B126</f>
        <v>388.1658933253002</v>
      </c>
      <c r="C128" s="7" t="s">
        <v>31</v>
      </c>
      <c r="D128" s="15">
        <f>B127-B128-D127</f>
        <v>407.86531083105365</v>
      </c>
      <c r="E128" s="14"/>
      <c r="F128" s="14"/>
      <c r="G128" s="7"/>
      <c r="H128" s="7"/>
      <c r="I128" s="7"/>
      <c r="J128" s="7"/>
      <c r="K128" s="7"/>
      <c r="L128" s="7"/>
      <c r="M128" s="2"/>
      <c r="N128" s="7"/>
      <c r="O128" s="7"/>
    </row>
    <row r="130" spans="1:15" x14ac:dyDescent="0.25">
      <c r="A130" s="138" t="s">
        <v>61</v>
      </c>
      <c r="B130" s="139"/>
      <c r="C130" s="139"/>
      <c r="D130" s="22"/>
      <c r="E130" s="3"/>
      <c r="F130" s="3"/>
      <c r="G130" s="3"/>
      <c r="H130" s="3"/>
      <c r="I130" s="3"/>
      <c r="J130" s="3"/>
      <c r="K130" s="3"/>
      <c r="L130" s="3"/>
      <c r="M130" s="3"/>
      <c r="N130" s="5"/>
      <c r="O130" s="3"/>
    </row>
    <row r="131" spans="1:15" s="24" customFormat="1" x14ac:dyDescent="0.25">
      <c r="A131" s="6" t="s">
        <v>0</v>
      </c>
      <c r="B131" s="6" t="s">
        <v>1</v>
      </c>
      <c r="C131" s="6" t="s">
        <v>2</v>
      </c>
      <c r="D131" s="6" t="s">
        <v>3</v>
      </c>
      <c r="E131" s="6" t="s">
        <v>4</v>
      </c>
      <c r="F131" s="6" t="s">
        <v>5</v>
      </c>
      <c r="G131" s="7"/>
      <c r="H131" s="7"/>
      <c r="I131" s="6" t="s">
        <v>6</v>
      </c>
      <c r="J131" s="7"/>
      <c r="K131" s="7"/>
      <c r="L131" s="7"/>
      <c r="M131" s="7"/>
      <c r="N131" s="136" t="s">
        <v>7</v>
      </c>
      <c r="O131" s="137"/>
    </row>
    <row r="132" spans="1:15" ht="15.75" x14ac:dyDescent="0.3">
      <c r="A132" s="6" t="s">
        <v>33</v>
      </c>
      <c r="B132" s="8">
        <v>58.367413588235294</v>
      </c>
      <c r="C132" s="8">
        <v>45.999816000000003</v>
      </c>
      <c r="D132" s="8">
        <v>46.323344117647068</v>
      </c>
      <c r="E132" s="9">
        <f t="shared" ref="E132:E139" si="25">SUM(B132:D132)</f>
        <v>150.69057370588234</v>
      </c>
      <c r="F132" s="10">
        <f t="shared" ref="F132:F139" si="26">E132/3</f>
        <v>50.230191235294114</v>
      </c>
      <c r="G132" s="7"/>
      <c r="H132" s="7"/>
      <c r="I132" s="7"/>
      <c r="J132" s="7"/>
      <c r="K132" s="7"/>
      <c r="L132" s="7"/>
      <c r="M132" s="7"/>
      <c r="N132" s="11">
        <v>1</v>
      </c>
      <c r="O132" s="12">
        <f>SUM(F132:F135)/4</f>
        <v>59.014469823529417</v>
      </c>
    </row>
    <row r="133" spans="1:15" x14ac:dyDescent="0.25">
      <c r="A133" s="6" t="s">
        <v>32</v>
      </c>
      <c r="B133" s="8">
        <v>61.087990941176479</v>
      </c>
      <c r="C133" s="8">
        <v>54.588016941176477</v>
      </c>
      <c r="D133" s="8">
        <v>59.421330941176478</v>
      </c>
      <c r="E133" s="9">
        <f t="shared" si="25"/>
        <v>175.09733882352944</v>
      </c>
      <c r="F133" s="10">
        <f t="shared" si="26"/>
        <v>58.365779607843145</v>
      </c>
      <c r="G133" s="7"/>
      <c r="H133" s="13" t="s">
        <v>8</v>
      </c>
      <c r="I133" s="13" t="s">
        <v>9</v>
      </c>
      <c r="J133" s="13" t="s">
        <v>10</v>
      </c>
      <c r="K133" s="13" t="s">
        <v>11</v>
      </c>
      <c r="L133" s="13" t="s">
        <v>12</v>
      </c>
      <c r="M133" s="7"/>
      <c r="N133" s="11">
        <v>0.75</v>
      </c>
      <c r="O133" s="12">
        <f>SUM(F136:F139)/4</f>
        <v>58.20524103431373</v>
      </c>
    </row>
    <row r="134" spans="1:15" ht="15.75" x14ac:dyDescent="0.3">
      <c r="A134" s="6" t="s">
        <v>34</v>
      </c>
      <c r="B134" s="8">
        <v>76.524203705882371</v>
      </c>
      <c r="C134" s="8">
        <v>65.676207882352941</v>
      </c>
      <c r="D134" s="8">
        <v>55.058603294117646</v>
      </c>
      <c r="E134" s="9">
        <f t="shared" si="25"/>
        <v>197.25901488235297</v>
      </c>
      <c r="F134" s="10">
        <f t="shared" si="26"/>
        <v>65.753004960784324</v>
      </c>
      <c r="G134" s="13" t="s">
        <v>13</v>
      </c>
      <c r="H134" s="7">
        <v>2</v>
      </c>
      <c r="I134" s="14">
        <f>D143</f>
        <v>165.03703233264969</v>
      </c>
      <c r="J134" s="14">
        <f t="shared" ref="J134:J139" si="27">I134/H134</f>
        <v>82.518516166324844</v>
      </c>
      <c r="K134" s="15">
        <f>J134/J139</f>
        <v>0.24965926063282068</v>
      </c>
      <c r="L134" s="14">
        <f>FINV(0.05,2,14)</f>
        <v>3.7388918324407361</v>
      </c>
      <c r="M134" s="1" t="str">
        <f>IF(K134&gt;=L134,"sig","ns")</f>
        <v>ns</v>
      </c>
      <c r="N134" s="13" t="s">
        <v>14</v>
      </c>
      <c r="O134" s="12">
        <f>SQRT(J139/(3*4))</f>
        <v>5.248210453549202</v>
      </c>
    </row>
    <row r="135" spans="1:15" ht="15.75" x14ac:dyDescent="0.3">
      <c r="A135" s="6" t="s">
        <v>35</v>
      </c>
      <c r="B135" s="8">
        <v>65.382091411764719</v>
      </c>
      <c r="C135" s="8">
        <v>57.156634117647066</v>
      </c>
      <c r="D135" s="8">
        <v>62.587984941176472</v>
      </c>
      <c r="E135" s="9">
        <f t="shared" si="25"/>
        <v>185.12671047058825</v>
      </c>
      <c r="F135" s="10">
        <f t="shared" si="26"/>
        <v>61.708903490196086</v>
      </c>
      <c r="G135" s="13" t="s">
        <v>15</v>
      </c>
      <c r="H135" s="7">
        <v>7</v>
      </c>
      <c r="I135" s="14">
        <f>B144</f>
        <v>1809.6162088975543</v>
      </c>
      <c r="J135" s="14">
        <f t="shared" si="27"/>
        <v>258.5166012710792</v>
      </c>
      <c r="K135" s="15">
        <f>J135/J139</f>
        <v>0.78214037931266189</v>
      </c>
      <c r="L135" s="14">
        <f>FINV(0.05,7,14)</f>
        <v>2.7641992567781792</v>
      </c>
      <c r="M135" s="1" t="str">
        <f>IF(K135&gt;=L135,"sig","ns")</f>
        <v>ns</v>
      </c>
      <c r="N135" s="13" t="s">
        <v>16</v>
      </c>
      <c r="O135" s="12">
        <f>SQRT((2*J139)/(3*4))*L140</f>
        <v>15.918800689868901</v>
      </c>
    </row>
    <row r="136" spans="1:15" ht="15.75" x14ac:dyDescent="0.3">
      <c r="A136" s="6" t="s">
        <v>36</v>
      </c>
      <c r="B136" s="8">
        <v>0</v>
      </c>
      <c r="C136" s="8">
        <v>45.097858823529414</v>
      </c>
      <c r="D136" s="8">
        <v>80.46046247058824</v>
      </c>
      <c r="E136" s="9">
        <f t="shared" si="25"/>
        <v>125.55832129411766</v>
      </c>
      <c r="F136" s="10">
        <f t="shared" si="26"/>
        <v>41.852773764705887</v>
      </c>
      <c r="G136" s="7" t="s">
        <v>17</v>
      </c>
      <c r="H136" s="7">
        <v>1</v>
      </c>
      <c r="I136" s="14">
        <f>((E132+E133+E134+E135)^2+(E136+E137+E138+E139)^2)/12-B142</f>
        <v>3.9291073997883359</v>
      </c>
      <c r="J136" s="14">
        <f t="shared" si="27"/>
        <v>3.9291073997883359</v>
      </c>
      <c r="K136" s="15">
        <f>J136/J139</f>
        <v>1.1887490153130184E-2</v>
      </c>
      <c r="L136" s="14">
        <f>FINV(0.05,1,14)</f>
        <v>4.6001099366694227</v>
      </c>
      <c r="M136" s="1" t="str">
        <f>IF(K136&gt;=L136,"sig","ns")</f>
        <v>ns</v>
      </c>
      <c r="N136" s="16" t="s">
        <v>18</v>
      </c>
      <c r="O136" s="12">
        <f>(F132+F136)/2</f>
        <v>46.041482500000001</v>
      </c>
    </row>
    <row r="137" spans="1:15" x14ac:dyDescent="0.25">
      <c r="A137" s="6" t="s">
        <v>37</v>
      </c>
      <c r="B137" s="8">
        <v>63.401707176470588</v>
      </c>
      <c r="C137" s="8">
        <v>73.602646764705881</v>
      </c>
      <c r="D137" s="8">
        <v>55.588012941176473</v>
      </c>
      <c r="E137" s="9">
        <f t="shared" si="25"/>
        <v>192.59236688235296</v>
      </c>
      <c r="F137" s="10">
        <f t="shared" si="26"/>
        <v>64.197455627450992</v>
      </c>
      <c r="G137" s="7" t="s">
        <v>19</v>
      </c>
      <c r="H137" s="7">
        <v>3</v>
      </c>
      <c r="I137" s="14">
        <f xml:space="preserve"> ((E132+E136)^2+(E133+E137)^2+(E134+E138)^2+(E135+E139)^2)/6-B142</f>
        <v>1376.8438997588528</v>
      </c>
      <c r="J137" s="14">
        <f t="shared" si="27"/>
        <v>458.94796658628428</v>
      </c>
      <c r="K137" s="15">
        <f>J137/J139</f>
        <v>1.3885442362526104</v>
      </c>
      <c r="L137" s="14">
        <f>FINV(0.05,3,14)</f>
        <v>3.3438886781189128</v>
      </c>
      <c r="M137" s="1" t="str">
        <f>IF(K137&gt;=L137,"sig","ns")</f>
        <v>ns</v>
      </c>
      <c r="N137" s="16" t="s">
        <v>20</v>
      </c>
      <c r="O137" s="12">
        <f>(F133+F137)/2</f>
        <v>61.281617617647072</v>
      </c>
    </row>
    <row r="138" spans="1:15" ht="15.75" x14ac:dyDescent="0.3">
      <c r="A138" s="6" t="s">
        <v>38</v>
      </c>
      <c r="B138" s="8">
        <v>41.646892235294118</v>
      </c>
      <c r="C138" s="8">
        <v>52.999787999999995</v>
      </c>
      <c r="D138" s="8">
        <v>72.793826470588229</v>
      </c>
      <c r="E138" s="9">
        <f t="shared" si="25"/>
        <v>167.44050670588234</v>
      </c>
      <c r="F138" s="10">
        <f t="shared" si="26"/>
        <v>55.813502235294116</v>
      </c>
      <c r="G138" s="17" t="s">
        <v>21</v>
      </c>
      <c r="H138" s="18">
        <v>3</v>
      </c>
      <c r="I138" s="14">
        <f>(I135-(I136+I137))</f>
        <v>428.84320173891319</v>
      </c>
      <c r="J138" s="14">
        <f t="shared" si="27"/>
        <v>142.94773391297107</v>
      </c>
      <c r="K138" s="15">
        <f>J138/J139</f>
        <v>0.43248748542589072</v>
      </c>
      <c r="L138" s="14">
        <f>FINV(0.05,3,14)</f>
        <v>3.3438886781189128</v>
      </c>
      <c r="M138" s="1" t="str">
        <f>IF(K138&gt;=L138,"sig","ns")</f>
        <v>ns</v>
      </c>
      <c r="N138" s="16" t="s">
        <v>22</v>
      </c>
      <c r="O138" s="12">
        <f>(F134+F138)/2</f>
        <v>60.783253598039224</v>
      </c>
    </row>
    <row r="139" spans="1:15" ht="15.75" x14ac:dyDescent="0.3">
      <c r="A139" s="6" t="s">
        <v>39</v>
      </c>
      <c r="B139" s="8">
        <v>72.999707999999998</v>
      </c>
      <c r="C139" s="8">
        <v>85.519265764705892</v>
      </c>
      <c r="D139" s="8">
        <v>54.3527237647059</v>
      </c>
      <c r="E139" s="9">
        <f t="shared" si="25"/>
        <v>212.87169752941179</v>
      </c>
      <c r="F139" s="10">
        <f t="shared" si="26"/>
        <v>70.95723250980393</v>
      </c>
      <c r="G139" s="13" t="s">
        <v>23</v>
      </c>
      <c r="H139" s="7">
        <v>14</v>
      </c>
      <c r="I139" s="14">
        <f>D144</f>
        <v>4627.3437780768436</v>
      </c>
      <c r="J139" s="14">
        <f t="shared" si="27"/>
        <v>330.52455557691741</v>
      </c>
      <c r="K139" s="14"/>
      <c r="L139" s="14"/>
      <c r="M139" s="7"/>
      <c r="N139" s="16" t="s">
        <v>24</v>
      </c>
      <c r="O139" s="12">
        <f>(F135+F139)/2</f>
        <v>66.333068000000011</v>
      </c>
    </row>
    <row r="140" spans="1:15" x14ac:dyDescent="0.25">
      <c r="A140" s="6" t="s">
        <v>4</v>
      </c>
      <c r="B140" s="9">
        <f>SUM(B132:B139)</f>
        <v>439.41000705882357</v>
      </c>
      <c r="C140" s="9">
        <f>SUM(C132:C139)</f>
        <v>480.6402342941177</v>
      </c>
      <c r="D140" s="9">
        <f>SUM(D132:D139)</f>
        <v>486.58628894117652</v>
      </c>
      <c r="E140" s="15">
        <f>SUM(E132:E139)</f>
        <v>1406.6365302941176</v>
      </c>
      <c r="F140" s="19">
        <f>AVERAGE(B132:D139)</f>
        <v>58.609855428921584</v>
      </c>
      <c r="G140" s="13" t="s">
        <v>4</v>
      </c>
      <c r="H140" s="7">
        <v>23</v>
      </c>
      <c r="I140" s="14">
        <f>B143</f>
        <v>6601.9970193070476</v>
      </c>
      <c r="J140" s="14"/>
      <c r="K140" s="7" t="s">
        <v>25</v>
      </c>
      <c r="L140" s="20">
        <f>TINV(0.05,14)</f>
        <v>2.1447866879178044</v>
      </c>
      <c r="M140" s="7"/>
      <c r="N140" s="13" t="s">
        <v>14</v>
      </c>
      <c r="O140" s="12">
        <f>SQRT(J139/(3*2))</f>
        <v>7.4220904015975337</v>
      </c>
    </row>
    <row r="141" spans="1:15" x14ac:dyDescent="0.25">
      <c r="A141" s="6" t="s">
        <v>5</v>
      </c>
      <c r="B141" s="9">
        <f>B140/8</f>
        <v>54.926250882352946</v>
      </c>
      <c r="C141" s="9">
        <f>C140/8</f>
        <v>60.080029286764713</v>
      </c>
      <c r="D141" s="9">
        <f>D140/8</f>
        <v>60.823286117647065</v>
      </c>
      <c r="E141" s="14"/>
      <c r="F141" s="14"/>
      <c r="G141" s="13" t="s">
        <v>14</v>
      </c>
      <c r="H141" s="12">
        <f>SQRT(J139/3)</f>
        <v>10.496420907098404</v>
      </c>
      <c r="I141" s="7"/>
      <c r="J141" s="21"/>
      <c r="K141" s="7"/>
      <c r="L141" s="7"/>
      <c r="M141" s="7"/>
      <c r="N141" s="13" t="s">
        <v>16</v>
      </c>
      <c r="O141" s="12">
        <f>SQRT((2*J139)/(3*2))*L140</f>
        <v>22.512583832326783</v>
      </c>
    </row>
    <row r="142" spans="1:15" x14ac:dyDescent="0.25">
      <c r="A142" s="7" t="s">
        <v>26</v>
      </c>
      <c r="B142" s="15">
        <f>(E140*E140)/24</f>
        <v>82442.763681578086</v>
      </c>
      <c r="C142" s="14"/>
      <c r="D142" s="14"/>
      <c r="E142" s="14"/>
      <c r="F142" s="14"/>
      <c r="G142" s="13" t="s">
        <v>16</v>
      </c>
      <c r="H142" s="12">
        <f>(SQRT((2*J139)/3))*L140</f>
        <v>31.837601379737801</v>
      </c>
      <c r="I142" s="7"/>
      <c r="J142" s="7"/>
      <c r="K142" s="7"/>
      <c r="L142" s="7"/>
      <c r="M142" s="7"/>
      <c r="N142" s="7"/>
      <c r="O142" s="7"/>
    </row>
    <row r="143" spans="1:15" x14ac:dyDescent="0.25">
      <c r="A143" s="7" t="s">
        <v>27</v>
      </c>
      <c r="B143" s="15">
        <f>SUMSQ(B132:D139)-B142</f>
        <v>6601.9970193070476</v>
      </c>
      <c r="C143" s="7" t="s">
        <v>28</v>
      </c>
      <c r="D143" s="15">
        <f>(SUMSQ(B140:D140)/8)-B142</f>
        <v>165.03703233264969</v>
      </c>
      <c r="E143" s="14"/>
      <c r="F143" s="14"/>
      <c r="G143" s="13" t="s">
        <v>29</v>
      </c>
      <c r="H143" s="12">
        <f>((SQRT(J139))/F140)*100</f>
        <v>31.01924441832249</v>
      </c>
      <c r="I143" s="7"/>
      <c r="J143" s="21"/>
      <c r="K143" s="7"/>
      <c r="L143" s="7"/>
      <c r="M143" s="7"/>
      <c r="N143" s="7"/>
      <c r="O143" s="7"/>
    </row>
    <row r="144" spans="1:15" x14ac:dyDescent="0.25">
      <c r="A144" s="7" t="s">
        <v>30</v>
      </c>
      <c r="B144" s="15">
        <f>(SUMSQ(E132:E139)/3)-B142</f>
        <v>1809.6162088975543</v>
      </c>
      <c r="C144" s="7" t="s">
        <v>31</v>
      </c>
      <c r="D144" s="15">
        <f>B143-B144-D143</f>
        <v>4627.3437780768436</v>
      </c>
      <c r="E144" s="14"/>
      <c r="F144" s="14"/>
      <c r="G144" s="7"/>
      <c r="H144" s="7"/>
      <c r="I144" s="7"/>
      <c r="J144" s="7"/>
      <c r="K144" s="7"/>
      <c r="L144" s="7"/>
      <c r="M144" s="2"/>
      <c r="N144" s="7"/>
      <c r="O144" s="7"/>
    </row>
    <row r="146" spans="1:15" x14ac:dyDescent="0.25">
      <c r="A146" s="138" t="s">
        <v>62</v>
      </c>
      <c r="B146" s="139"/>
      <c r="C146" s="139"/>
      <c r="D146" s="22"/>
      <c r="E146" s="3"/>
      <c r="F146" s="3"/>
      <c r="G146" s="3"/>
      <c r="H146" s="3"/>
      <c r="I146" s="3"/>
      <c r="J146" s="3"/>
      <c r="K146" s="3"/>
      <c r="L146" s="3"/>
      <c r="M146" s="3"/>
      <c r="N146" s="5"/>
      <c r="O146" s="3"/>
    </row>
    <row r="147" spans="1:15" x14ac:dyDescent="0.25">
      <c r="A147" s="6" t="s">
        <v>0</v>
      </c>
      <c r="B147" s="6" t="s">
        <v>1</v>
      </c>
      <c r="C147" s="6" t="s">
        <v>2</v>
      </c>
      <c r="D147" s="6" t="s">
        <v>3</v>
      </c>
      <c r="E147" s="6" t="s">
        <v>4</v>
      </c>
      <c r="F147" s="6" t="s">
        <v>5</v>
      </c>
      <c r="G147" s="7"/>
      <c r="H147" s="7"/>
      <c r="I147" s="6" t="s">
        <v>6</v>
      </c>
      <c r="J147" s="7"/>
      <c r="K147" s="7"/>
      <c r="L147" s="7"/>
      <c r="M147" s="7"/>
      <c r="N147" s="136" t="s">
        <v>7</v>
      </c>
      <c r="O147" s="137"/>
    </row>
    <row r="148" spans="1:15" ht="15.75" x14ac:dyDescent="0.3">
      <c r="A148" s="6" t="s">
        <v>33</v>
      </c>
      <c r="B148" s="8">
        <v>82.589114086666669</v>
      </c>
      <c r="C148" s="8">
        <v>15.04743981</v>
      </c>
      <c r="D148" s="8">
        <v>24.61101266666666</v>
      </c>
      <c r="E148" s="9">
        <f t="shared" ref="E148:E155" si="28">SUM(B148:D148)</f>
        <v>122.24756656333332</v>
      </c>
      <c r="F148" s="10">
        <f t="shared" ref="F148:F155" si="29">E148/3</f>
        <v>40.749188854444441</v>
      </c>
      <c r="G148" s="7"/>
      <c r="H148" s="7"/>
      <c r="I148" s="7"/>
      <c r="J148" s="7"/>
      <c r="K148" s="7"/>
      <c r="L148" s="7"/>
      <c r="M148" s="7"/>
      <c r="N148" s="11">
        <v>1</v>
      </c>
      <c r="O148" s="12">
        <f>SUM(F148:F151)/4</f>
        <v>28.748472968611111</v>
      </c>
    </row>
    <row r="149" spans="1:15" x14ac:dyDescent="0.25">
      <c r="A149" s="6" t="s">
        <v>32</v>
      </c>
      <c r="B149" s="8">
        <v>37.844848620000015</v>
      </c>
      <c r="C149" s="8">
        <v>19.558810653333339</v>
      </c>
      <c r="D149" s="8">
        <v>14.566608400000007</v>
      </c>
      <c r="E149" s="9">
        <f t="shared" si="28"/>
        <v>71.970267673333353</v>
      </c>
      <c r="F149" s="10">
        <f t="shared" si="29"/>
        <v>23.99008922444445</v>
      </c>
      <c r="G149" s="7"/>
      <c r="H149" s="13" t="s">
        <v>8</v>
      </c>
      <c r="I149" s="13" t="s">
        <v>9</v>
      </c>
      <c r="J149" s="13" t="s">
        <v>10</v>
      </c>
      <c r="K149" s="13" t="s">
        <v>11</v>
      </c>
      <c r="L149" s="13" t="s">
        <v>12</v>
      </c>
      <c r="M149" s="7"/>
      <c r="N149" s="11">
        <v>0.75</v>
      </c>
      <c r="O149" s="12">
        <f>SUM(F152:F155)/4</f>
        <v>18.506592640000004</v>
      </c>
    </row>
    <row r="150" spans="1:15" ht="15.75" x14ac:dyDescent="0.3">
      <c r="A150" s="6" t="s">
        <v>34</v>
      </c>
      <c r="B150" s="8">
        <v>26.453227520000006</v>
      </c>
      <c r="C150" s="8">
        <v>33.79319816000001</v>
      </c>
      <c r="D150" s="8">
        <v>18.263815833333329</v>
      </c>
      <c r="E150" s="9">
        <f t="shared" si="28"/>
        <v>78.510241513333341</v>
      </c>
      <c r="F150" s="10">
        <f t="shared" si="29"/>
        <v>26.170080504444446</v>
      </c>
      <c r="G150" s="13" t="s">
        <v>13</v>
      </c>
      <c r="H150" s="7">
        <v>2</v>
      </c>
      <c r="I150" s="14">
        <f>D159</f>
        <v>358.83378057281334</v>
      </c>
      <c r="J150" s="14">
        <f t="shared" ref="J150:J155" si="30">I150/H150</f>
        <v>179.41689028640667</v>
      </c>
      <c r="K150" s="15">
        <f>J150/J155</f>
        <v>0.78794174045898457</v>
      </c>
      <c r="L150" s="14">
        <f>FINV(0.05,2,14)</f>
        <v>3.7388918324407361</v>
      </c>
      <c r="M150" s="1" t="str">
        <f>IF(K150&gt;=L150,"sig","ns")</f>
        <v>ns</v>
      </c>
      <c r="N150" s="13" t="s">
        <v>14</v>
      </c>
      <c r="O150" s="12">
        <f>SQRT(J155/(3*4))</f>
        <v>4.3560613313923122</v>
      </c>
    </row>
    <row r="151" spans="1:15" ht="15.75" x14ac:dyDescent="0.3">
      <c r="A151" s="6" t="s">
        <v>35</v>
      </c>
      <c r="B151" s="8">
        <v>24.198792093333342</v>
      </c>
      <c r="C151" s="8">
        <v>26.713226480000014</v>
      </c>
      <c r="D151" s="8">
        <v>21.341581300000001</v>
      </c>
      <c r="E151" s="9">
        <f t="shared" si="28"/>
        <v>72.253599873333357</v>
      </c>
      <c r="F151" s="10">
        <f t="shared" si="29"/>
        <v>24.084533291111118</v>
      </c>
      <c r="G151" s="13" t="s">
        <v>15</v>
      </c>
      <c r="H151" s="7">
        <v>7</v>
      </c>
      <c r="I151" s="14">
        <f>B160</f>
        <v>1329.5791117054141</v>
      </c>
      <c r="J151" s="14">
        <f t="shared" si="30"/>
        <v>189.93987310077344</v>
      </c>
      <c r="K151" s="15">
        <f>J151/J155</f>
        <v>0.83415532369708578</v>
      </c>
      <c r="L151" s="14">
        <f>FINV(0.05,7,14)</f>
        <v>2.7641992567781792</v>
      </c>
      <c r="M151" s="1" t="str">
        <f>IF(K151&gt;=L151,"sig","ns")</f>
        <v>ns</v>
      </c>
      <c r="N151" s="13" t="s">
        <v>16</v>
      </c>
      <c r="O151" s="12">
        <f>SQRT((2*J155)/(3*4))*L156</f>
        <v>13.212746085741376</v>
      </c>
    </row>
    <row r="152" spans="1:15" ht="15.75" x14ac:dyDescent="0.3">
      <c r="A152" s="6" t="s">
        <v>36</v>
      </c>
      <c r="B152" s="8">
        <v>0</v>
      </c>
      <c r="C152" s="8">
        <v>23.683516376666674</v>
      </c>
      <c r="D152" s="8">
        <v>16.878821373333338</v>
      </c>
      <c r="E152" s="9">
        <f t="shared" si="28"/>
        <v>40.562337750000012</v>
      </c>
      <c r="F152" s="10">
        <f t="shared" si="29"/>
        <v>13.520779250000004</v>
      </c>
      <c r="G152" s="7" t="s">
        <v>17</v>
      </c>
      <c r="H152" s="7">
        <v>1</v>
      </c>
      <c r="I152" s="14">
        <f>((E148+E149+E150+E151)^2+(E152+E153+E154+E155)^2)/12-B158</f>
        <v>629.37667599354063</v>
      </c>
      <c r="J152" s="14">
        <f t="shared" si="30"/>
        <v>629.37667599354063</v>
      </c>
      <c r="K152" s="15">
        <f>J152/J155</f>
        <v>2.7640215628250306</v>
      </c>
      <c r="L152" s="14">
        <f>FINV(0.05,1,14)</f>
        <v>4.6001099366694227</v>
      </c>
      <c r="M152" s="1" t="str">
        <f>IF(K152&gt;=L152,"sig","ns")</f>
        <v>ns</v>
      </c>
      <c r="N152" s="16" t="s">
        <v>18</v>
      </c>
      <c r="O152" s="12">
        <f>(F148+F152)/2</f>
        <v>27.134984052222222</v>
      </c>
    </row>
    <row r="153" spans="1:15" x14ac:dyDescent="0.25">
      <c r="A153" s="6" t="s">
        <v>37</v>
      </c>
      <c r="B153" s="8">
        <v>20.36102966666666</v>
      </c>
      <c r="C153" s="8">
        <v>11.408843253333334</v>
      </c>
      <c r="D153" s="8">
        <v>24.352124813333329</v>
      </c>
      <c r="E153" s="9">
        <f t="shared" si="28"/>
        <v>56.121997733333323</v>
      </c>
      <c r="F153" s="10">
        <f t="shared" si="29"/>
        <v>18.707332577777773</v>
      </c>
      <c r="G153" s="7" t="s">
        <v>19</v>
      </c>
      <c r="H153" s="7">
        <v>3</v>
      </c>
      <c r="I153" s="14">
        <f xml:space="preserve"> ((E148+E152)^2+(E149+E153)^2+(E150+E154)^2+(E151+E155)^2)/6-B158</f>
        <v>109.50594023772464</v>
      </c>
      <c r="J153" s="14">
        <f t="shared" si="30"/>
        <v>36.501980079241548</v>
      </c>
      <c r="K153" s="15">
        <f>J153/J155</f>
        <v>0.16030505081168409</v>
      </c>
      <c r="L153" s="14">
        <f>FINV(0.05,3,14)</f>
        <v>3.3438886781189128</v>
      </c>
      <c r="M153" s="1" t="str">
        <f>IF(K153&gt;=L153,"sig","ns")</f>
        <v>ns</v>
      </c>
      <c r="N153" s="16" t="s">
        <v>20</v>
      </c>
      <c r="O153" s="12">
        <f>(F149+F153)/2</f>
        <v>21.348710901111112</v>
      </c>
    </row>
    <row r="154" spans="1:15" ht="15.75" x14ac:dyDescent="0.3">
      <c r="A154" s="6" t="s">
        <v>38</v>
      </c>
      <c r="B154" s="8">
        <v>21.272692686666669</v>
      </c>
      <c r="C154" s="8">
        <v>14.728552196666671</v>
      </c>
      <c r="D154" s="8">
        <v>23.70073853000001</v>
      </c>
      <c r="E154" s="9">
        <f t="shared" si="28"/>
        <v>59.701983413333352</v>
      </c>
      <c r="F154" s="10">
        <f t="shared" si="29"/>
        <v>19.900661137777785</v>
      </c>
      <c r="G154" s="17" t="s">
        <v>21</v>
      </c>
      <c r="H154" s="18">
        <v>3</v>
      </c>
      <c r="I154" s="14">
        <f>(I151-(I152+I153))</f>
        <v>590.69649547414883</v>
      </c>
      <c r="J154" s="14">
        <f t="shared" si="30"/>
        <v>196.89883182471627</v>
      </c>
      <c r="K154" s="15">
        <f>J154/J155</f>
        <v>0.86471685020650602</v>
      </c>
      <c r="L154" s="14">
        <f>FINV(0.05,3,14)</f>
        <v>3.3438886781189128</v>
      </c>
      <c r="M154" s="1" t="str">
        <f>IF(K154&gt;=L154,"sig","ns")</f>
        <v>ns</v>
      </c>
      <c r="N154" s="16" t="s">
        <v>22</v>
      </c>
      <c r="O154" s="12">
        <f>(F150+F154)/2</f>
        <v>23.035370821111115</v>
      </c>
    </row>
    <row r="155" spans="1:15" ht="15.75" x14ac:dyDescent="0.3">
      <c r="A155" s="6" t="s">
        <v>39</v>
      </c>
      <c r="B155" s="8">
        <v>19.967420130000008</v>
      </c>
      <c r="C155" s="8">
        <v>24.542124053333335</v>
      </c>
      <c r="D155" s="8">
        <v>21.18324860000001</v>
      </c>
      <c r="E155" s="9">
        <f t="shared" si="28"/>
        <v>65.69279278333336</v>
      </c>
      <c r="F155" s="10">
        <f t="shared" si="29"/>
        <v>21.897597594444452</v>
      </c>
      <c r="G155" s="13" t="s">
        <v>23</v>
      </c>
      <c r="H155" s="7">
        <v>14</v>
      </c>
      <c r="I155" s="14">
        <f>D160</f>
        <v>3187.8454142390292</v>
      </c>
      <c r="J155" s="14">
        <f t="shared" si="30"/>
        <v>227.70324387421638</v>
      </c>
      <c r="K155" s="14"/>
      <c r="L155" s="14"/>
      <c r="M155" s="7"/>
      <c r="N155" s="16" t="s">
        <v>24</v>
      </c>
      <c r="O155" s="12">
        <f>(F151+F155)/2</f>
        <v>22.991065442777785</v>
      </c>
    </row>
    <row r="156" spans="1:15" x14ac:dyDescent="0.25">
      <c r="A156" s="6" t="s">
        <v>4</v>
      </c>
      <c r="B156" s="9">
        <f>SUM(B148:B155)</f>
        <v>232.68712480333335</v>
      </c>
      <c r="C156" s="9">
        <f>SUM(C148:C155)</f>
        <v>169.47571098333339</v>
      </c>
      <c r="D156" s="9">
        <f>SUM(D148:D155)</f>
        <v>164.89795151666669</v>
      </c>
      <c r="E156" s="15">
        <f>SUM(E148:E155)</f>
        <v>567.06078730333354</v>
      </c>
      <c r="F156" s="19">
        <f>AVERAGE(B148:D155)</f>
        <v>23.627532804305556</v>
      </c>
      <c r="G156" s="13" t="s">
        <v>4</v>
      </c>
      <c r="H156" s="7">
        <v>23</v>
      </c>
      <c r="I156" s="14">
        <f>B159</f>
        <v>4876.2583065172566</v>
      </c>
      <c r="J156" s="14"/>
      <c r="K156" s="7" t="s">
        <v>25</v>
      </c>
      <c r="L156" s="20">
        <f>TINV(0.05,14)</f>
        <v>2.1447866879178044</v>
      </c>
      <c r="M156" s="7"/>
      <c r="N156" s="13" t="s">
        <v>14</v>
      </c>
      <c r="O156" s="12">
        <f>SQRT(J155/(3*2))</f>
        <v>6.1604010133840097</v>
      </c>
    </row>
    <row r="157" spans="1:15" x14ac:dyDescent="0.25">
      <c r="A157" s="6" t="s">
        <v>5</v>
      </c>
      <c r="B157" s="9">
        <f>B156/8</f>
        <v>29.085890600416668</v>
      </c>
      <c r="C157" s="9">
        <f>C156/8</f>
        <v>21.184463872916673</v>
      </c>
      <c r="D157" s="9">
        <f>D156/8</f>
        <v>20.612243939583337</v>
      </c>
      <c r="E157" s="14"/>
      <c r="F157" s="14"/>
      <c r="G157" s="13" t="s">
        <v>14</v>
      </c>
      <c r="H157" s="12">
        <f>SQRT(J155/3)</f>
        <v>8.7121226627846244</v>
      </c>
      <c r="I157" s="7"/>
      <c r="J157" s="21"/>
      <c r="K157" s="7"/>
      <c r="L157" s="7"/>
      <c r="M157" s="7"/>
      <c r="N157" s="13" t="s">
        <v>16</v>
      </c>
      <c r="O157" s="12">
        <f>SQRT((2*J155)/(3*2))*L156</f>
        <v>18.685644710647477</v>
      </c>
    </row>
    <row r="158" spans="1:15" x14ac:dyDescent="0.25">
      <c r="A158" s="7" t="s">
        <v>26</v>
      </c>
      <c r="B158" s="15">
        <f>(E156*E156)/24</f>
        <v>13398.247354044854</v>
      </c>
      <c r="C158" s="14"/>
      <c r="D158" s="14"/>
      <c r="E158" s="14"/>
      <c r="F158" s="14"/>
      <c r="G158" s="13" t="s">
        <v>16</v>
      </c>
      <c r="H158" s="12">
        <f>(SQRT((2*J155)/3))*L156</f>
        <v>26.425492171482752</v>
      </c>
      <c r="I158" s="7"/>
      <c r="J158" s="7"/>
      <c r="K158" s="7"/>
      <c r="L158" s="7"/>
      <c r="M158" s="7"/>
      <c r="N158" s="7"/>
      <c r="O158" s="7"/>
    </row>
    <row r="159" spans="1:15" x14ac:dyDescent="0.25">
      <c r="A159" s="7" t="s">
        <v>27</v>
      </c>
      <c r="B159" s="15">
        <f>SUMSQ(B148:D155)-B158</f>
        <v>4876.2583065172566</v>
      </c>
      <c r="C159" s="7" t="s">
        <v>28</v>
      </c>
      <c r="D159" s="15">
        <f>(SUMSQ(B156:D156)/8)-B158</f>
        <v>358.83378057281334</v>
      </c>
      <c r="E159" s="14"/>
      <c r="F159" s="14"/>
      <c r="G159" s="13" t="s">
        <v>29</v>
      </c>
      <c r="H159" s="12">
        <f>((SQRT(J155))/F156)*100</f>
        <v>63.865487855615058</v>
      </c>
      <c r="I159" s="7"/>
      <c r="J159" s="21"/>
      <c r="K159" s="7"/>
      <c r="L159" s="7"/>
      <c r="M159" s="7"/>
      <c r="N159" s="7"/>
      <c r="O159" s="7"/>
    </row>
    <row r="160" spans="1:15" x14ac:dyDescent="0.25">
      <c r="A160" s="7" t="s">
        <v>30</v>
      </c>
      <c r="B160" s="15">
        <f>(SUMSQ(E148:E155)/3)-B158</f>
        <v>1329.5791117054141</v>
      </c>
      <c r="C160" s="7" t="s">
        <v>31</v>
      </c>
      <c r="D160" s="15">
        <f>B159-B160-D159</f>
        <v>3187.8454142390292</v>
      </c>
      <c r="E160" s="14"/>
      <c r="F160" s="14"/>
      <c r="G160" s="7"/>
      <c r="H160" s="7"/>
      <c r="I160" s="7"/>
      <c r="J160" s="7"/>
      <c r="K160" s="7"/>
      <c r="L160" s="7"/>
      <c r="M160" s="2"/>
      <c r="N160" s="7"/>
      <c r="O160" s="7"/>
    </row>
    <row r="162" spans="1:15" x14ac:dyDescent="0.25">
      <c r="A162" s="138" t="s">
        <v>63</v>
      </c>
      <c r="B162" s="139"/>
      <c r="C162" s="139"/>
      <c r="D162" s="22"/>
      <c r="E162" s="3"/>
      <c r="F162" s="3"/>
      <c r="G162" s="3"/>
      <c r="H162" s="3"/>
      <c r="I162" s="3"/>
      <c r="J162" s="3"/>
      <c r="K162" s="3"/>
      <c r="L162" s="3"/>
      <c r="M162" s="3"/>
      <c r="N162" s="5"/>
      <c r="O162" s="3"/>
    </row>
    <row r="163" spans="1:15" x14ac:dyDescent="0.25">
      <c r="A163" s="6" t="s">
        <v>0</v>
      </c>
      <c r="B163" s="6" t="s">
        <v>1</v>
      </c>
      <c r="C163" s="6" t="s">
        <v>2</v>
      </c>
      <c r="D163" s="6" t="s">
        <v>3</v>
      </c>
      <c r="E163" s="6" t="s">
        <v>4</v>
      </c>
      <c r="F163" s="6" t="s">
        <v>5</v>
      </c>
      <c r="G163" s="7"/>
      <c r="H163" s="7"/>
      <c r="I163" s="6" t="s">
        <v>6</v>
      </c>
      <c r="J163" s="7"/>
      <c r="K163" s="7"/>
      <c r="L163" s="7"/>
      <c r="M163" s="7"/>
      <c r="N163" s="136" t="s">
        <v>7</v>
      </c>
      <c r="O163" s="137"/>
    </row>
    <row r="164" spans="1:15" ht="15.75" x14ac:dyDescent="0.3">
      <c r="A164" s="6" t="s">
        <v>33</v>
      </c>
      <c r="B164" s="8"/>
      <c r="C164" s="8"/>
      <c r="D164" s="8"/>
      <c r="E164" s="9">
        <f t="shared" ref="E164:E171" si="31">SUM(B164:D164)</f>
        <v>0</v>
      </c>
      <c r="F164" s="10">
        <f t="shared" ref="F164:F171" si="32">E164/3</f>
        <v>0</v>
      </c>
      <c r="G164" s="7"/>
      <c r="H164" s="7"/>
      <c r="I164" s="7"/>
      <c r="J164" s="7"/>
      <c r="K164" s="7"/>
      <c r="L164" s="7"/>
      <c r="M164" s="7"/>
      <c r="N164" s="11">
        <v>1</v>
      </c>
      <c r="O164" s="12">
        <f>SUM(F164:F167)/4</f>
        <v>0</v>
      </c>
    </row>
    <row r="165" spans="1:15" x14ac:dyDescent="0.25">
      <c r="A165" s="6" t="s">
        <v>32</v>
      </c>
      <c r="B165" s="8"/>
      <c r="C165" s="8"/>
      <c r="D165" s="8"/>
      <c r="E165" s="9">
        <f t="shared" si="31"/>
        <v>0</v>
      </c>
      <c r="F165" s="10">
        <f t="shared" si="32"/>
        <v>0</v>
      </c>
      <c r="G165" s="7"/>
      <c r="H165" s="13" t="s">
        <v>8</v>
      </c>
      <c r="I165" s="13" t="s">
        <v>9</v>
      </c>
      <c r="J165" s="13" t="s">
        <v>10</v>
      </c>
      <c r="K165" s="13" t="s">
        <v>11</v>
      </c>
      <c r="L165" s="13" t="s">
        <v>12</v>
      </c>
      <c r="M165" s="7"/>
      <c r="N165" s="11">
        <v>0.75</v>
      </c>
      <c r="O165" s="12">
        <f>SUM(F168:F171)/4</f>
        <v>0</v>
      </c>
    </row>
    <row r="166" spans="1:15" ht="15.75" x14ac:dyDescent="0.3">
      <c r="A166" s="6" t="s">
        <v>34</v>
      </c>
      <c r="B166" s="8"/>
      <c r="C166" s="8"/>
      <c r="D166" s="8"/>
      <c r="E166" s="9">
        <f t="shared" si="31"/>
        <v>0</v>
      </c>
      <c r="F166" s="10">
        <f t="shared" si="32"/>
        <v>0</v>
      </c>
      <c r="G166" s="13" t="s">
        <v>13</v>
      </c>
      <c r="H166" s="7">
        <v>2</v>
      </c>
      <c r="I166" s="14">
        <f>D175</f>
        <v>0</v>
      </c>
      <c r="J166" s="14">
        <f t="shared" ref="J166:J171" si="33">I166/H166</f>
        <v>0</v>
      </c>
      <c r="K166" s="15" t="e">
        <f>J166/J171</f>
        <v>#DIV/0!</v>
      </c>
      <c r="L166" s="14">
        <f>FINV(0.05,2,14)</f>
        <v>3.7388918324407361</v>
      </c>
      <c r="M166" s="1" t="e">
        <f>IF(K166&gt;=L166,"sig","ns")</f>
        <v>#DIV/0!</v>
      </c>
      <c r="N166" s="13" t="s">
        <v>14</v>
      </c>
      <c r="O166" s="12">
        <f>SQRT(J171/(3*4))</f>
        <v>0</v>
      </c>
    </row>
    <row r="167" spans="1:15" ht="15.75" x14ac:dyDescent="0.3">
      <c r="A167" s="6" t="s">
        <v>35</v>
      </c>
      <c r="B167" s="8"/>
      <c r="C167" s="8"/>
      <c r="D167" s="8"/>
      <c r="E167" s="9">
        <f t="shared" si="31"/>
        <v>0</v>
      </c>
      <c r="F167" s="10">
        <f t="shared" si="32"/>
        <v>0</v>
      </c>
      <c r="G167" s="13" t="s">
        <v>15</v>
      </c>
      <c r="H167" s="7">
        <v>7</v>
      </c>
      <c r="I167" s="14">
        <f>B176</f>
        <v>0</v>
      </c>
      <c r="J167" s="14">
        <f t="shared" si="33"/>
        <v>0</v>
      </c>
      <c r="K167" s="15" t="e">
        <f>J167/J171</f>
        <v>#DIV/0!</v>
      </c>
      <c r="L167" s="14">
        <f>FINV(0.05,7,14)</f>
        <v>2.7641992567781792</v>
      </c>
      <c r="M167" s="1" t="e">
        <f>IF(K167&gt;=L167,"sig","ns")</f>
        <v>#DIV/0!</v>
      </c>
      <c r="N167" s="13" t="s">
        <v>16</v>
      </c>
      <c r="O167" s="12">
        <f>SQRT((2*J171)/(3*4))*L172</f>
        <v>0</v>
      </c>
    </row>
    <row r="168" spans="1:15" ht="15.75" x14ac:dyDescent="0.3">
      <c r="A168" s="6" t="s">
        <v>36</v>
      </c>
      <c r="B168" s="8"/>
      <c r="C168" s="8"/>
      <c r="D168" s="8"/>
      <c r="E168" s="9">
        <f t="shared" si="31"/>
        <v>0</v>
      </c>
      <c r="F168" s="10">
        <f t="shared" si="32"/>
        <v>0</v>
      </c>
      <c r="G168" s="7" t="s">
        <v>17</v>
      </c>
      <c r="H168" s="7">
        <v>1</v>
      </c>
      <c r="I168" s="14">
        <f>((E164+E165+E166+E167)^2+(E168+E169+E170+E171)^2)/12-B174</f>
        <v>0</v>
      </c>
      <c r="J168" s="14">
        <f t="shared" si="33"/>
        <v>0</v>
      </c>
      <c r="K168" s="15" t="e">
        <f>J168/J171</f>
        <v>#DIV/0!</v>
      </c>
      <c r="L168" s="14">
        <f>FINV(0.05,1,14)</f>
        <v>4.6001099366694227</v>
      </c>
      <c r="M168" s="1" t="e">
        <f>IF(K168&gt;=L168,"sig","ns")</f>
        <v>#DIV/0!</v>
      </c>
      <c r="N168" s="16" t="s">
        <v>18</v>
      </c>
      <c r="O168" s="12">
        <f>(F164+F168)/2</f>
        <v>0</v>
      </c>
    </row>
    <row r="169" spans="1:15" x14ac:dyDescent="0.25">
      <c r="A169" s="6" t="s">
        <v>37</v>
      </c>
      <c r="B169" s="8"/>
      <c r="C169" s="8"/>
      <c r="D169" s="8"/>
      <c r="E169" s="9">
        <f t="shared" si="31"/>
        <v>0</v>
      </c>
      <c r="F169" s="10">
        <f t="shared" si="32"/>
        <v>0</v>
      </c>
      <c r="G169" s="7" t="s">
        <v>19</v>
      </c>
      <c r="H169" s="7">
        <v>3</v>
      </c>
      <c r="I169" s="14">
        <f xml:space="preserve"> ((E164+E168)^2+(E165+E169)^2+(E166+E170)^2+(E167+E171)^2)/6-B174</f>
        <v>0</v>
      </c>
      <c r="J169" s="14">
        <f t="shared" si="33"/>
        <v>0</v>
      </c>
      <c r="K169" s="15" t="e">
        <f>J169/J171</f>
        <v>#DIV/0!</v>
      </c>
      <c r="L169" s="14">
        <f>FINV(0.05,3,14)</f>
        <v>3.3438886781189128</v>
      </c>
      <c r="M169" s="1" t="e">
        <f>IF(K169&gt;=L169,"sig","ns")</f>
        <v>#DIV/0!</v>
      </c>
      <c r="N169" s="16" t="s">
        <v>20</v>
      </c>
      <c r="O169" s="12">
        <f>(F165+F169)/2</f>
        <v>0</v>
      </c>
    </row>
    <row r="170" spans="1:15" ht="15.75" x14ac:dyDescent="0.3">
      <c r="A170" s="6" t="s">
        <v>38</v>
      </c>
      <c r="B170" s="8"/>
      <c r="C170" s="8"/>
      <c r="D170" s="8"/>
      <c r="E170" s="9">
        <f t="shared" si="31"/>
        <v>0</v>
      </c>
      <c r="F170" s="10">
        <f t="shared" si="32"/>
        <v>0</v>
      </c>
      <c r="G170" s="17" t="s">
        <v>21</v>
      </c>
      <c r="H170" s="18">
        <v>3</v>
      </c>
      <c r="I170" s="14">
        <f>(I167-(I168+I169))</f>
        <v>0</v>
      </c>
      <c r="J170" s="14">
        <f t="shared" si="33"/>
        <v>0</v>
      </c>
      <c r="K170" s="15" t="e">
        <f>J170/J171</f>
        <v>#DIV/0!</v>
      </c>
      <c r="L170" s="14">
        <f>FINV(0.05,3,14)</f>
        <v>3.3438886781189128</v>
      </c>
      <c r="M170" s="1" t="e">
        <f>IF(K170&gt;=L170,"sig","ns")</f>
        <v>#DIV/0!</v>
      </c>
      <c r="N170" s="16" t="s">
        <v>22</v>
      </c>
      <c r="O170" s="12">
        <f>(F166+F170)/2</f>
        <v>0</v>
      </c>
    </row>
    <row r="171" spans="1:15" ht="15.75" x14ac:dyDescent="0.3">
      <c r="A171" s="6" t="s">
        <v>39</v>
      </c>
      <c r="B171" s="8"/>
      <c r="C171" s="8"/>
      <c r="D171" s="8"/>
      <c r="E171" s="9">
        <f t="shared" si="31"/>
        <v>0</v>
      </c>
      <c r="F171" s="10">
        <f t="shared" si="32"/>
        <v>0</v>
      </c>
      <c r="G171" s="13" t="s">
        <v>23</v>
      </c>
      <c r="H171" s="7">
        <v>14</v>
      </c>
      <c r="I171" s="14">
        <f>D176</f>
        <v>0</v>
      </c>
      <c r="J171" s="14">
        <f t="shared" si="33"/>
        <v>0</v>
      </c>
      <c r="K171" s="14"/>
      <c r="L171" s="14"/>
      <c r="M171" s="7"/>
      <c r="N171" s="16" t="s">
        <v>24</v>
      </c>
      <c r="O171" s="12">
        <f>(F167+F171)/2</f>
        <v>0</v>
      </c>
    </row>
    <row r="172" spans="1:15" x14ac:dyDescent="0.25">
      <c r="A172" s="6" t="s">
        <v>4</v>
      </c>
      <c r="B172" s="9">
        <f>SUM(B164:B171)</f>
        <v>0</v>
      </c>
      <c r="C172" s="9">
        <f>SUM(C164:C171)</f>
        <v>0</v>
      </c>
      <c r="D172" s="9">
        <f>SUM(D164:D171)</f>
        <v>0</v>
      </c>
      <c r="E172" s="15">
        <f>SUM(E164:E171)</f>
        <v>0</v>
      </c>
      <c r="F172" s="19" t="e">
        <f>AVERAGE(B164:D171)</f>
        <v>#DIV/0!</v>
      </c>
      <c r="G172" s="13" t="s">
        <v>4</v>
      </c>
      <c r="H172" s="7">
        <v>23</v>
      </c>
      <c r="I172" s="14">
        <f>B175</f>
        <v>0</v>
      </c>
      <c r="J172" s="14"/>
      <c r="K172" s="7" t="s">
        <v>25</v>
      </c>
      <c r="L172" s="20">
        <f>TINV(0.05,14)</f>
        <v>2.1447866879178044</v>
      </c>
      <c r="M172" s="7"/>
      <c r="N172" s="13" t="s">
        <v>14</v>
      </c>
      <c r="O172" s="12">
        <f>SQRT(J171/(3*2))</f>
        <v>0</v>
      </c>
    </row>
    <row r="173" spans="1:15" x14ac:dyDescent="0.25">
      <c r="A173" s="6" t="s">
        <v>5</v>
      </c>
      <c r="B173" s="9">
        <f>B172/8</f>
        <v>0</v>
      </c>
      <c r="C173" s="9">
        <f>C172/8</f>
        <v>0</v>
      </c>
      <c r="D173" s="9">
        <f>D172/8</f>
        <v>0</v>
      </c>
      <c r="E173" s="14"/>
      <c r="F173" s="14"/>
      <c r="G173" s="13" t="s">
        <v>14</v>
      </c>
      <c r="H173" s="12">
        <f>SQRT(J171/3)</f>
        <v>0</v>
      </c>
      <c r="I173" s="7"/>
      <c r="J173" s="21"/>
      <c r="K173" s="7"/>
      <c r="L173" s="7"/>
      <c r="M173" s="7"/>
      <c r="N173" s="13" t="s">
        <v>16</v>
      </c>
      <c r="O173" s="12">
        <f>SQRT((2*J171)/(3*2))*L172</f>
        <v>0</v>
      </c>
    </row>
    <row r="174" spans="1:15" x14ac:dyDescent="0.25">
      <c r="A174" s="7" t="s">
        <v>26</v>
      </c>
      <c r="B174" s="15">
        <f>(E172*E172)/24</f>
        <v>0</v>
      </c>
      <c r="C174" s="14"/>
      <c r="D174" s="14"/>
      <c r="E174" s="14"/>
      <c r="F174" s="14"/>
      <c r="G174" s="13" t="s">
        <v>16</v>
      </c>
      <c r="H174" s="12">
        <f>(SQRT((2*J171)/3))*L172</f>
        <v>0</v>
      </c>
      <c r="I174" s="7"/>
      <c r="J174" s="7"/>
      <c r="K174" s="7"/>
      <c r="L174" s="7"/>
      <c r="M174" s="7"/>
      <c r="N174" s="7"/>
      <c r="O174" s="7"/>
    </row>
    <row r="175" spans="1:15" x14ac:dyDescent="0.25">
      <c r="A175" s="7" t="s">
        <v>27</v>
      </c>
      <c r="B175" s="15">
        <f>SUMSQ(B164:D171)-B174</f>
        <v>0</v>
      </c>
      <c r="C175" s="7" t="s">
        <v>28</v>
      </c>
      <c r="D175" s="15">
        <f>(SUMSQ(B172:D172)/8)-B174</f>
        <v>0</v>
      </c>
      <c r="E175" s="14"/>
      <c r="F175" s="14"/>
      <c r="G175" s="13" t="s">
        <v>29</v>
      </c>
      <c r="H175" s="12" t="e">
        <f>((SQRT(J171))/F172)*100</f>
        <v>#DIV/0!</v>
      </c>
      <c r="I175" s="7"/>
      <c r="J175" s="21"/>
      <c r="K175" s="7"/>
      <c r="L175" s="7"/>
      <c r="M175" s="7"/>
      <c r="N175" s="7"/>
      <c r="O175" s="7"/>
    </row>
    <row r="176" spans="1:15" x14ac:dyDescent="0.25">
      <c r="A176" s="7" t="s">
        <v>30</v>
      </c>
      <c r="B176" s="15">
        <f>(SUMSQ(E164:E171)/3)-B174</f>
        <v>0</v>
      </c>
      <c r="C176" s="7" t="s">
        <v>31</v>
      </c>
      <c r="D176" s="15">
        <f>B175-B176-D175</f>
        <v>0</v>
      </c>
      <c r="E176" s="14"/>
      <c r="F176" s="14"/>
      <c r="G176" s="7"/>
      <c r="H176" s="7"/>
      <c r="I176" s="7"/>
      <c r="J176" s="7"/>
      <c r="K176" s="7"/>
      <c r="L176" s="7"/>
      <c r="M176" s="2"/>
      <c r="N176" s="7"/>
      <c r="O176" s="7"/>
    </row>
    <row r="178" spans="1:15" x14ac:dyDescent="0.25">
      <c r="A178" s="138" t="s">
        <v>84</v>
      </c>
      <c r="B178" s="139"/>
      <c r="C178" s="139"/>
      <c r="D178" s="22"/>
      <c r="E178" s="3"/>
      <c r="F178" s="3"/>
      <c r="G178" s="3"/>
      <c r="H178" s="3"/>
      <c r="I178" s="3"/>
      <c r="J178" s="3"/>
      <c r="K178" s="3"/>
      <c r="L178" s="3"/>
      <c r="M178" s="3"/>
      <c r="N178" s="5"/>
      <c r="O178" s="3"/>
    </row>
    <row r="179" spans="1:15" x14ac:dyDescent="0.25">
      <c r="A179" s="6" t="s">
        <v>0</v>
      </c>
      <c r="B179" s="6" t="s">
        <v>1</v>
      </c>
      <c r="C179" s="6" t="s">
        <v>2</v>
      </c>
      <c r="D179" s="6" t="s">
        <v>3</v>
      </c>
      <c r="E179" s="6" t="s">
        <v>4</v>
      </c>
      <c r="F179" s="6" t="s">
        <v>5</v>
      </c>
      <c r="G179" s="7"/>
      <c r="H179" s="7"/>
      <c r="I179" s="6" t="s">
        <v>6</v>
      </c>
      <c r="J179" s="7"/>
      <c r="K179" s="7"/>
      <c r="L179" s="7"/>
      <c r="M179" s="7"/>
      <c r="N179" s="136" t="s">
        <v>7</v>
      </c>
      <c r="O179" s="137"/>
    </row>
    <row r="180" spans="1:15" ht="15.75" x14ac:dyDescent="0.3">
      <c r="A180" s="6" t="s">
        <v>33</v>
      </c>
      <c r="B180" s="8">
        <f>B148+B164</f>
        <v>82.589114086666669</v>
      </c>
      <c r="C180" s="8">
        <f>C148+C164</f>
        <v>15.04743981</v>
      </c>
      <c r="D180" s="8">
        <f>D148+D164</f>
        <v>24.61101266666666</v>
      </c>
      <c r="E180" s="9">
        <f t="shared" ref="E180:E187" si="34">SUM(B180:D180)</f>
        <v>122.24756656333332</v>
      </c>
      <c r="F180" s="10">
        <f t="shared" ref="F180:F187" si="35">E180/3</f>
        <v>40.749188854444441</v>
      </c>
      <c r="G180" s="7"/>
      <c r="H180" s="7"/>
      <c r="I180" s="7"/>
      <c r="J180" s="7"/>
      <c r="K180" s="7"/>
      <c r="L180" s="7"/>
      <c r="M180" s="7"/>
      <c r="N180" s="11">
        <v>1</v>
      </c>
      <c r="O180" s="12">
        <f>SUM(F180:F183)/4</f>
        <v>28.748472968611111</v>
      </c>
    </row>
    <row r="181" spans="1:15" x14ac:dyDescent="0.25">
      <c r="A181" s="6" t="s">
        <v>32</v>
      </c>
      <c r="B181" s="8">
        <f t="shared" ref="B181:D187" si="36">B149+B165</f>
        <v>37.844848620000015</v>
      </c>
      <c r="C181" s="8">
        <f t="shared" si="36"/>
        <v>19.558810653333339</v>
      </c>
      <c r="D181" s="8">
        <f t="shared" si="36"/>
        <v>14.566608400000007</v>
      </c>
      <c r="E181" s="9">
        <f t="shared" si="34"/>
        <v>71.970267673333353</v>
      </c>
      <c r="F181" s="10">
        <f t="shared" si="35"/>
        <v>23.99008922444445</v>
      </c>
      <c r="G181" s="7"/>
      <c r="H181" s="13" t="s">
        <v>8</v>
      </c>
      <c r="I181" s="13" t="s">
        <v>9</v>
      </c>
      <c r="J181" s="13" t="s">
        <v>10</v>
      </c>
      <c r="K181" s="13" t="s">
        <v>11</v>
      </c>
      <c r="L181" s="13" t="s">
        <v>12</v>
      </c>
      <c r="M181" s="7"/>
      <c r="N181" s="11">
        <v>0.75</v>
      </c>
      <c r="O181" s="12">
        <f>SUM(F184:F187)/4</f>
        <v>18.506592640000004</v>
      </c>
    </row>
    <row r="182" spans="1:15" ht="15.75" x14ac:dyDescent="0.3">
      <c r="A182" s="6" t="s">
        <v>34</v>
      </c>
      <c r="B182" s="8">
        <f t="shared" si="36"/>
        <v>26.453227520000006</v>
      </c>
      <c r="C182" s="8">
        <f t="shared" si="36"/>
        <v>33.79319816000001</v>
      </c>
      <c r="D182" s="8">
        <f t="shared" si="36"/>
        <v>18.263815833333329</v>
      </c>
      <c r="E182" s="9">
        <f t="shared" si="34"/>
        <v>78.510241513333341</v>
      </c>
      <c r="F182" s="10">
        <f t="shared" si="35"/>
        <v>26.170080504444446</v>
      </c>
      <c r="G182" s="13" t="s">
        <v>13</v>
      </c>
      <c r="H182" s="7">
        <v>2</v>
      </c>
      <c r="I182" s="14">
        <f>D191</f>
        <v>358.83378057281334</v>
      </c>
      <c r="J182" s="14">
        <f t="shared" ref="J182:J187" si="37">I182/H182</f>
        <v>179.41689028640667</v>
      </c>
      <c r="K182" s="15">
        <f>J182/J187</f>
        <v>0.78794174045898457</v>
      </c>
      <c r="L182" s="14">
        <f>FINV(0.05,2,14)</f>
        <v>3.7388918324407361</v>
      </c>
      <c r="M182" s="1" t="str">
        <f>IF(K182&gt;=L182,"sig","ns")</f>
        <v>ns</v>
      </c>
      <c r="N182" s="13" t="s">
        <v>14</v>
      </c>
      <c r="O182" s="12">
        <f>SQRT(J187/(3*4))</f>
        <v>4.3560613313923122</v>
      </c>
    </row>
    <row r="183" spans="1:15" ht="15.75" x14ac:dyDescent="0.3">
      <c r="A183" s="6" t="s">
        <v>35</v>
      </c>
      <c r="B183" s="8">
        <f t="shared" si="36"/>
        <v>24.198792093333342</v>
      </c>
      <c r="C183" s="8">
        <f t="shared" si="36"/>
        <v>26.713226480000014</v>
      </c>
      <c r="D183" s="8">
        <f t="shared" si="36"/>
        <v>21.341581300000001</v>
      </c>
      <c r="E183" s="9">
        <f t="shared" si="34"/>
        <v>72.253599873333357</v>
      </c>
      <c r="F183" s="10">
        <f t="shared" si="35"/>
        <v>24.084533291111118</v>
      </c>
      <c r="G183" s="13" t="s">
        <v>15</v>
      </c>
      <c r="H183" s="7">
        <v>7</v>
      </c>
      <c r="I183" s="14">
        <f>B192</f>
        <v>1329.5791117054141</v>
      </c>
      <c r="J183" s="14">
        <f t="shared" si="37"/>
        <v>189.93987310077344</v>
      </c>
      <c r="K183" s="15">
        <f>J183/J187</f>
        <v>0.83415532369708578</v>
      </c>
      <c r="L183" s="14">
        <f>FINV(0.05,7,14)</f>
        <v>2.7641992567781792</v>
      </c>
      <c r="M183" s="1" t="str">
        <f>IF(K183&gt;=L183,"sig","ns")</f>
        <v>ns</v>
      </c>
      <c r="N183" s="13" t="s">
        <v>16</v>
      </c>
      <c r="O183" s="12">
        <f>SQRT((2*J187)/(3*4))*L188</f>
        <v>13.212746085741376</v>
      </c>
    </row>
    <row r="184" spans="1:15" ht="15.75" x14ac:dyDescent="0.3">
      <c r="A184" s="6" t="s">
        <v>36</v>
      </c>
      <c r="B184" s="8">
        <v>0</v>
      </c>
      <c r="C184" s="8">
        <f t="shared" si="36"/>
        <v>23.683516376666674</v>
      </c>
      <c r="D184" s="8">
        <f t="shared" si="36"/>
        <v>16.878821373333338</v>
      </c>
      <c r="E184" s="9">
        <f t="shared" si="34"/>
        <v>40.562337750000012</v>
      </c>
      <c r="F184" s="10">
        <f t="shared" si="35"/>
        <v>13.520779250000004</v>
      </c>
      <c r="G184" s="7" t="s">
        <v>17</v>
      </c>
      <c r="H184" s="7">
        <v>1</v>
      </c>
      <c r="I184" s="14">
        <f>((E180+E181+E182+E183)^2+(E184+E185+E186+E187)^2)/12-B190</f>
        <v>629.37667599354063</v>
      </c>
      <c r="J184" s="14">
        <f t="shared" si="37"/>
        <v>629.37667599354063</v>
      </c>
      <c r="K184" s="15">
        <f>J184/J187</f>
        <v>2.7640215628250306</v>
      </c>
      <c r="L184" s="14">
        <f>FINV(0.05,1,14)</f>
        <v>4.6001099366694227</v>
      </c>
      <c r="M184" s="1" t="str">
        <f>IF(K184&gt;=L184,"sig","ns")</f>
        <v>ns</v>
      </c>
      <c r="N184" s="16" t="s">
        <v>18</v>
      </c>
      <c r="O184" s="12">
        <f>(F180+F184)/2</f>
        <v>27.134984052222222</v>
      </c>
    </row>
    <row r="185" spans="1:15" x14ac:dyDescent="0.25">
      <c r="A185" s="6" t="s">
        <v>37</v>
      </c>
      <c r="B185" s="8">
        <f t="shared" si="36"/>
        <v>20.36102966666666</v>
      </c>
      <c r="C185" s="8">
        <f t="shared" si="36"/>
        <v>11.408843253333334</v>
      </c>
      <c r="D185" s="8">
        <f t="shared" si="36"/>
        <v>24.352124813333329</v>
      </c>
      <c r="E185" s="9">
        <f t="shared" si="34"/>
        <v>56.121997733333323</v>
      </c>
      <c r="F185" s="10">
        <f t="shared" si="35"/>
        <v>18.707332577777773</v>
      </c>
      <c r="G185" s="7" t="s">
        <v>19</v>
      </c>
      <c r="H185" s="7">
        <v>3</v>
      </c>
      <c r="I185" s="14">
        <f xml:space="preserve"> ((E180+E184)^2+(E181+E185)^2+(E182+E186)^2+(E183+E187)^2)/6-B190</f>
        <v>109.50594023772464</v>
      </c>
      <c r="J185" s="14">
        <f t="shared" si="37"/>
        <v>36.501980079241548</v>
      </c>
      <c r="K185" s="15">
        <f>J185/J187</f>
        <v>0.16030505081168409</v>
      </c>
      <c r="L185" s="14">
        <f>FINV(0.05,3,14)</f>
        <v>3.3438886781189128</v>
      </c>
      <c r="M185" s="1" t="str">
        <f>IF(K185&gt;=L185,"sig","ns")</f>
        <v>ns</v>
      </c>
      <c r="N185" s="16" t="s">
        <v>20</v>
      </c>
      <c r="O185" s="12">
        <f>(F181+F185)/2</f>
        <v>21.348710901111112</v>
      </c>
    </row>
    <row r="186" spans="1:15" ht="15.75" x14ac:dyDescent="0.3">
      <c r="A186" s="6" t="s">
        <v>38</v>
      </c>
      <c r="B186" s="8">
        <f t="shared" si="36"/>
        <v>21.272692686666669</v>
      </c>
      <c r="C186" s="8">
        <f t="shared" si="36"/>
        <v>14.728552196666671</v>
      </c>
      <c r="D186" s="8">
        <f t="shared" si="36"/>
        <v>23.70073853000001</v>
      </c>
      <c r="E186" s="9">
        <f t="shared" si="34"/>
        <v>59.701983413333352</v>
      </c>
      <c r="F186" s="10">
        <f t="shared" si="35"/>
        <v>19.900661137777785</v>
      </c>
      <c r="G186" s="17" t="s">
        <v>21</v>
      </c>
      <c r="H186" s="18">
        <v>3</v>
      </c>
      <c r="I186" s="14">
        <f>(I183-(I184+I185))</f>
        <v>590.69649547414883</v>
      </c>
      <c r="J186" s="14">
        <f t="shared" si="37"/>
        <v>196.89883182471627</v>
      </c>
      <c r="K186" s="15">
        <f>J186/J187</f>
        <v>0.86471685020650602</v>
      </c>
      <c r="L186" s="14">
        <f>FINV(0.05,3,14)</f>
        <v>3.3438886781189128</v>
      </c>
      <c r="M186" s="1" t="str">
        <f>IF(K186&gt;=L186,"sig","ns")</f>
        <v>ns</v>
      </c>
      <c r="N186" s="16" t="s">
        <v>22</v>
      </c>
      <c r="O186" s="12">
        <f>(F182+F186)/2</f>
        <v>23.035370821111115</v>
      </c>
    </row>
    <row r="187" spans="1:15" ht="15.75" x14ac:dyDescent="0.3">
      <c r="A187" s="6" t="s">
        <v>39</v>
      </c>
      <c r="B187" s="8">
        <f t="shared" si="36"/>
        <v>19.967420130000008</v>
      </c>
      <c r="C187" s="8">
        <f t="shared" si="36"/>
        <v>24.542124053333335</v>
      </c>
      <c r="D187" s="8">
        <f t="shared" si="36"/>
        <v>21.18324860000001</v>
      </c>
      <c r="E187" s="9">
        <f t="shared" si="34"/>
        <v>65.69279278333336</v>
      </c>
      <c r="F187" s="10">
        <f t="shared" si="35"/>
        <v>21.897597594444452</v>
      </c>
      <c r="G187" s="13" t="s">
        <v>23</v>
      </c>
      <c r="H187" s="7">
        <v>14</v>
      </c>
      <c r="I187" s="14">
        <f>D192</f>
        <v>3187.8454142390292</v>
      </c>
      <c r="J187" s="14">
        <f t="shared" si="37"/>
        <v>227.70324387421638</v>
      </c>
      <c r="K187" s="14"/>
      <c r="L187" s="14"/>
      <c r="M187" s="7"/>
      <c r="N187" s="16" t="s">
        <v>24</v>
      </c>
      <c r="O187" s="12">
        <f>(F183+F187)/2</f>
        <v>22.991065442777785</v>
      </c>
    </row>
    <row r="188" spans="1:15" x14ac:dyDescent="0.25">
      <c r="A188" s="6" t="s">
        <v>4</v>
      </c>
      <c r="B188" s="9">
        <f>SUM(B180:B187)</f>
        <v>232.68712480333335</v>
      </c>
      <c r="C188" s="9">
        <f>SUM(C180:C187)</f>
        <v>169.47571098333339</v>
      </c>
      <c r="D188" s="9">
        <f>SUM(D180:D187)</f>
        <v>164.89795151666669</v>
      </c>
      <c r="E188" s="15">
        <f>SUM(E180:E187)</f>
        <v>567.06078730333354</v>
      </c>
      <c r="F188" s="19">
        <f>AVERAGE(B180:D187)</f>
        <v>23.627532804305556</v>
      </c>
      <c r="G188" s="13" t="s">
        <v>4</v>
      </c>
      <c r="H188" s="7">
        <v>23</v>
      </c>
      <c r="I188" s="14">
        <f>B191</f>
        <v>4876.2583065172566</v>
      </c>
      <c r="J188" s="14"/>
      <c r="K188" s="7" t="s">
        <v>25</v>
      </c>
      <c r="L188" s="20">
        <f>TINV(0.05,14)</f>
        <v>2.1447866879178044</v>
      </c>
      <c r="M188" s="7"/>
      <c r="N188" s="13" t="s">
        <v>14</v>
      </c>
      <c r="O188" s="12">
        <f>SQRT(J187/(3*2))</f>
        <v>6.1604010133840097</v>
      </c>
    </row>
    <row r="189" spans="1:15" x14ac:dyDescent="0.25">
      <c r="A189" s="6" t="s">
        <v>5</v>
      </c>
      <c r="B189" s="9">
        <f>B188/8</f>
        <v>29.085890600416668</v>
      </c>
      <c r="C189" s="9">
        <f>C188/8</f>
        <v>21.184463872916673</v>
      </c>
      <c r="D189" s="9">
        <f>D188/8</f>
        <v>20.612243939583337</v>
      </c>
      <c r="E189" s="14"/>
      <c r="F189" s="14"/>
      <c r="G189" s="13" t="s">
        <v>14</v>
      </c>
      <c r="H189" s="12">
        <f>SQRT(J187/3)</f>
        <v>8.7121226627846244</v>
      </c>
      <c r="I189" s="7"/>
      <c r="J189" s="21"/>
      <c r="K189" s="7"/>
      <c r="L189" s="7"/>
      <c r="M189" s="7"/>
      <c r="N189" s="13" t="s">
        <v>16</v>
      </c>
      <c r="O189" s="12">
        <f>SQRT((2*J187)/(3*2))*L188</f>
        <v>18.685644710647477</v>
      </c>
    </row>
    <row r="190" spans="1:15" x14ac:dyDescent="0.25">
      <c r="A190" s="7" t="s">
        <v>26</v>
      </c>
      <c r="B190" s="15">
        <f>(E188*E188)/24</f>
        <v>13398.247354044854</v>
      </c>
      <c r="C190" s="14"/>
      <c r="D190" s="14"/>
      <c r="E190" s="14"/>
      <c r="F190" s="14"/>
      <c r="G190" s="13" t="s">
        <v>16</v>
      </c>
      <c r="H190" s="12">
        <f>(SQRT((2*J187)/3))*L188</f>
        <v>26.425492171482752</v>
      </c>
      <c r="I190" s="7"/>
      <c r="J190" s="7"/>
      <c r="K190" s="7"/>
      <c r="L190" s="7"/>
      <c r="M190" s="7"/>
      <c r="N190" s="7"/>
      <c r="O190" s="7"/>
    </row>
    <row r="191" spans="1:15" x14ac:dyDescent="0.25">
      <c r="A191" s="7" t="s">
        <v>27</v>
      </c>
      <c r="B191" s="15">
        <f>SUMSQ(B180:D187)-B190</f>
        <v>4876.2583065172566</v>
      </c>
      <c r="C191" s="7" t="s">
        <v>28</v>
      </c>
      <c r="D191" s="15">
        <f>(SUMSQ(B188:D188)/8)-B190</f>
        <v>358.83378057281334</v>
      </c>
      <c r="E191" s="14"/>
      <c r="F191" s="14"/>
      <c r="G191" s="13" t="s">
        <v>29</v>
      </c>
      <c r="H191" s="12">
        <f>((SQRT(J187))/F188)*100</f>
        <v>63.865487855615058</v>
      </c>
      <c r="I191" s="7"/>
      <c r="J191" s="21"/>
      <c r="K191" s="7"/>
      <c r="L191" s="7"/>
      <c r="M191" s="7"/>
      <c r="N191" s="7"/>
      <c r="O191" s="7"/>
    </row>
    <row r="192" spans="1:15" x14ac:dyDescent="0.25">
      <c r="A192" s="7" t="s">
        <v>30</v>
      </c>
      <c r="B192" s="15">
        <f>(SUMSQ(E180:E187)/3)-B190</f>
        <v>1329.5791117054141</v>
      </c>
      <c r="C192" s="7" t="s">
        <v>31</v>
      </c>
      <c r="D192" s="15">
        <f>B191-B192-D191</f>
        <v>3187.8454142390292</v>
      </c>
      <c r="E192" s="14"/>
      <c r="F192" s="14"/>
      <c r="G192" s="7"/>
      <c r="H192" s="7"/>
      <c r="I192" s="7"/>
      <c r="J192" s="7"/>
      <c r="K192" s="7"/>
      <c r="L192" s="7"/>
      <c r="M192" s="2"/>
      <c r="N192" s="7"/>
      <c r="O192" s="7"/>
    </row>
    <row r="194" spans="1:15" x14ac:dyDescent="0.25">
      <c r="A194" s="138" t="s">
        <v>64</v>
      </c>
      <c r="B194" s="139"/>
      <c r="C194" s="139"/>
      <c r="D194" s="22"/>
      <c r="E194" s="3"/>
      <c r="F194" s="3"/>
      <c r="G194" s="3"/>
      <c r="H194" s="3"/>
      <c r="I194" s="3"/>
      <c r="J194" s="3"/>
      <c r="K194" s="3"/>
      <c r="L194" s="3"/>
      <c r="M194" s="3"/>
      <c r="N194" s="5"/>
      <c r="O194" s="3"/>
    </row>
    <row r="195" spans="1:15" s="24" customFormat="1" x14ac:dyDescent="0.25">
      <c r="A195" s="6" t="s">
        <v>0</v>
      </c>
      <c r="B195" s="6" t="s">
        <v>1</v>
      </c>
      <c r="C195" s="6" t="s">
        <v>2</v>
      </c>
      <c r="D195" s="6" t="s">
        <v>3</v>
      </c>
      <c r="E195" s="6" t="s">
        <v>4</v>
      </c>
      <c r="F195" s="6" t="s">
        <v>5</v>
      </c>
      <c r="G195" s="7"/>
      <c r="H195" s="7"/>
      <c r="I195" s="6" t="s">
        <v>6</v>
      </c>
      <c r="J195" s="7"/>
      <c r="K195" s="7"/>
      <c r="L195" s="7"/>
      <c r="M195" s="7"/>
      <c r="N195" s="136" t="s">
        <v>7</v>
      </c>
      <c r="O195" s="137"/>
    </row>
    <row r="196" spans="1:15" ht="15.75" x14ac:dyDescent="0.3">
      <c r="A196" s="6" t="s">
        <v>33</v>
      </c>
      <c r="B196" s="8">
        <v>19.185448257899999</v>
      </c>
      <c r="C196" s="8">
        <v>12.247151011200001</v>
      </c>
      <c r="D196" s="8">
        <v>9.9218769790000003</v>
      </c>
      <c r="E196" s="9">
        <f t="shared" ref="E196:E203" si="38">SUM(B196:D196)</f>
        <v>41.354476248099999</v>
      </c>
      <c r="F196" s="10">
        <f t="shared" ref="F196:F203" si="39">E196/3</f>
        <v>13.784825416033334</v>
      </c>
      <c r="G196" s="7"/>
      <c r="H196" s="7"/>
      <c r="I196" s="7"/>
      <c r="J196" s="7"/>
      <c r="K196" s="7"/>
      <c r="L196" s="7"/>
      <c r="M196" s="7"/>
      <c r="N196" s="11">
        <v>1</v>
      </c>
      <c r="O196" s="12">
        <f>SUM(F196:F199)/4</f>
        <v>13.286102410933333</v>
      </c>
    </row>
    <row r="197" spans="1:15" x14ac:dyDescent="0.25">
      <c r="A197" s="6" t="s">
        <v>32</v>
      </c>
      <c r="B197" s="8">
        <v>14.387709115599996</v>
      </c>
      <c r="C197" s="8">
        <v>13.827694688999999</v>
      </c>
      <c r="D197" s="8">
        <v>17.788553845500001</v>
      </c>
      <c r="E197" s="9">
        <f t="shared" si="38"/>
        <v>46.003957650099991</v>
      </c>
      <c r="F197" s="10">
        <f t="shared" si="39"/>
        <v>15.334652550033331</v>
      </c>
      <c r="G197" s="7"/>
      <c r="H197" s="13" t="s">
        <v>8</v>
      </c>
      <c r="I197" s="13" t="s">
        <v>9</v>
      </c>
      <c r="J197" s="13" t="s">
        <v>10</v>
      </c>
      <c r="K197" s="13" t="s">
        <v>11</v>
      </c>
      <c r="L197" s="13" t="s">
        <v>12</v>
      </c>
      <c r="M197" s="7"/>
      <c r="N197" s="11">
        <v>0.75</v>
      </c>
      <c r="O197" s="12">
        <f>SUM(F200:F203)/4</f>
        <v>10.565193850166667</v>
      </c>
    </row>
    <row r="198" spans="1:15" ht="15.75" x14ac:dyDescent="0.3">
      <c r="A198" s="6" t="s">
        <v>34</v>
      </c>
      <c r="B198" s="8">
        <v>14.621233181500001</v>
      </c>
      <c r="C198" s="8">
        <v>6.9071973711000005</v>
      </c>
      <c r="D198" s="8">
        <v>14.682557936199998</v>
      </c>
      <c r="E198" s="9">
        <f t="shared" si="38"/>
        <v>36.210988488799998</v>
      </c>
      <c r="F198" s="10">
        <f t="shared" si="39"/>
        <v>12.070329496266666</v>
      </c>
      <c r="G198" s="13" t="s">
        <v>13</v>
      </c>
      <c r="H198" s="7">
        <v>2</v>
      </c>
      <c r="I198" s="14">
        <f>D207</f>
        <v>3.9863912090072517</v>
      </c>
      <c r="J198" s="14">
        <f t="shared" ref="J198:J203" si="40">I198/H198</f>
        <v>1.9931956045036259</v>
      </c>
      <c r="K198" s="15">
        <f>J198/J203</f>
        <v>9.5012662017597727E-2</v>
      </c>
      <c r="L198" s="14">
        <f>FINV(0.05,2,14)</f>
        <v>3.7388918324407361</v>
      </c>
      <c r="M198" s="1" t="str">
        <f>IF(K198&gt;=L198,"sig","ns")</f>
        <v>ns</v>
      </c>
      <c r="N198" s="13" t="s">
        <v>14</v>
      </c>
      <c r="O198" s="12">
        <f>SQRT(J203/(3*4))</f>
        <v>1.3221891662161607</v>
      </c>
    </row>
    <row r="199" spans="1:15" ht="15.75" x14ac:dyDescent="0.3">
      <c r="A199" s="6" t="s">
        <v>35</v>
      </c>
      <c r="B199" s="8">
        <v>10.3668085326</v>
      </c>
      <c r="C199" s="8">
        <v>12.812448750000001</v>
      </c>
      <c r="D199" s="8">
        <v>12.684549261600004</v>
      </c>
      <c r="E199" s="9">
        <f t="shared" si="38"/>
        <v>35.863806544200003</v>
      </c>
      <c r="F199" s="10">
        <f t="shared" si="39"/>
        <v>11.9546021814</v>
      </c>
      <c r="G199" s="13" t="s">
        <v>15</v>
      </c>
      <c r="H199" s="7">
        <v>7</v>
      </c>
      <c r="I199" s="14">
        <f>B208</f>
        <v>83.829350409365816</v>
      </c>
      <c r="J199" s="14">
        <f t="shared" si="40"/>
        <v>11.97562148705226</v>
      </c>
      <c r="K199" s="15">
        <f>J199/J203</f>
        <v>0.5708600170645759</v>
      </c>
      <c r="L199" s="14">
        <f>FINV(0.05,7,14)</f>
        <v>2.7641992567781792</v>
      </c>
      <c r="M199" s="1" t="str">
        <f>IF(K199&gt;=L199,"sig","ns")</f>
        <v>ns</v>
      </c>
      <c r="N199" s="13" t="s">
        <v>16</v>
      </c>
      <c r="O199" s="12">
        <f>SQRT((2*J203)/(3*4))*L204</f>
        <v>4.0104462268781775</v>
      </c>
    </row>
    <row r="200" spans="1:15" ht="15.75" x14ac:dyDescent="0.3">
      <c r="A200" s="6" t="s">
        <v>36</v>
      </c>
      <c r="B200" s="8">
        <v>0</v>
      </c>
      <c r="C200" s="8">
        <v>14.8764154941</v>
      </c>
      <c r="D200" s="8">
        <v>13.3132134136</v>
      </c>
      <c r="E200" s="9">
        <f t="shared" si="38"/>
        <v>28.189628907699998</v>
      </c>
      <c r="F200" s="10">
        <f t="shared" si="39"/>
        <v>9.396542969233332</v>
      </c>
      <c r="G200" s="7" t="s">
        <v>17</v>
      </c>
      <c r="H200" s="7">
        <v>1</v>
      </c>
      <c r="I200" s="14">
        <f>((E196+E197+E198+E199)^2+(E200+E201+E202+E203)^2)/12-B206</f>
        <v>44.420060376318816</v>
      </c>
      <c r="J200" s="14">
        <f t="shared" si="40"/>
        <v>44.420060376318816</v>
      </c>
      <c r="K200" s="15">
        <f>J200/J203</f>
        <v>2.1174380345814106</v>
      </c>
      <c r="L200" s="14">
        <f>FINV(0.05,1,14)</f>
        <v>4.6001099366694227</v>
      </c>
      <c r="M200" s="1" t="str">
        <f>IF(K200&gt;=L200,"sig","ns")</f>
        <v>ns</v>
      </c>
      <c r="N200" s="16" t="s">
        <v>18</v>
      </c>
      <c r="O200" s="12">
        <f>(F196+F200)/2</f>
        <v>11.590684192633333</v>
      </c>
    </row>
    <row r="201" spans="1:15" x14ac:dyDescent="0.25">
      <c r="A201" s="6" t="s">
        <v>37</v>
      </c>
      <c r="B201" s="8">
        <v>8.8602645588000009</v>
      </c>
      <c r="C201" s="8">
        <v>7.2184961258999998</v>
      </c>
      <c r="D201" s="8">
        <v>12.806532107000001</v>
      </c>
      <c r="E201" s="9">
        <f t="shared" si="38"/>
        <v>28.885292791700003</v>
      </c>
      <c r="F201" s="10">
        <f t="shared" si="39"/>
        <v>9.6284309305666671</v>
      </c>
      <c r="G201" s="7" t="s">
        <v>19</v>
      </c>
      <c r="H201" s="7">
        <v>3</v>
      </c>
      <c r="I201" s="14">
        <f xml:space="preserve"> ((E196+E200)^2+(E197+E201)^2+(E198+E202)^2+(E199+E203)^2)/6-B206</f>
        <v>4.3976213782143532</v>
      </c>
      <c r="J201" s="14">
        <f t="shared" si="40"/>
        <v>1.4658737927381178</v>
      </c>
      <c r="K201" s="15">
        <f>J201/J203</f>
        <v>6.9876017644823943E-2</v>
      </c>
      <c r="L201" s="14">
        <f>FINV(0.05,3,14)</f>
        <v>3.3438886781189128</v>
      </c>
      <c r="M201" s="1" t="str">
        <f>IF(K201&gt;=L201,"sig","ns")</f>
        <v>ns</v>
      </c>
      <c r="N201" s="16" t="s">
        <v>20</v>
      </c>
      <c r="O201" s="12">
        <f>(F197+F201)/2</f>
        <v>12.481541740299999</v>
      </c>
    </row>
    <row r="202" spans="1:15" ht="15.75" x14ac:dyDescent="0.3">
      <c r="A202" s="6" t="s">
        <v>38</v>
      </c>
      <c r="B202" s="8">
        <v>11.7157448035</v>
      </c>
      <c r="C202" s="8">
        <v>17.059665094400003</v>
      </c>
      <c r="D202" s="8">
        <v>8.1788256178999994</v>
      </c>
      <c r="E202" s="9">
        <f t="shared" si="38"/>
        <v>36.954235515800008</v>
      </c>
      <c r="F202" s="10">
        <f t="shared" si="39"/>
        <v>12.318078505266669</v>
      </c>
      <c r="G202" s="17" t="s">
        <v>21</v>
      </c>
      <c r="H202" s="18">
        <v>3</v>
      </c>
      <c r="I202" s="14">
        <f>(I199-(I200+I201))</f>
        <v>35.011668654832647</v>
      </c>
      <c r="J202" s="14">
        <f t="shared" si="40"/>
        <v>11.670556218277548</v>
      </c>
      <c r="K202" s="15">
        <f>J202/J203</f>
        <v>0.55631801064538267</v>
      </c>
      <c r="L202" s="14">
        <f>FINV(0.05,3,14)</f>
        <v>3.3438886781189128</v>
      </c>
      <c r="M202" s="1" t="str">
        <f>IF(K202&gt;=L202,"sig","ns")</f>
        <v>ns</v>
      </c>
      <c r="N202" s="16" t="s">
        <v>22</v>
      </c>
      <c r="O202" s="12">
        <f>(F198+F202)/2</f>
        <v>12.194204000766668</v>
      </c>
    </row>
    <row r="203" spans="1:15" ht="15.75" x14ac:dyDescent="0.3">
      <c r="A203" s="6" t="s">
        <v>39</v>
      </c>
      <c r="B203" s="8">
        <v>11.670703317000003</v>
      </c>
      <c r="C203" s="8">
        <v>12.447550209599999</v>
      </c>
      <c r="D203" s="8">
        <v>8.6349154601999984</v>
      </c>
      <c r="E203" s="9">
        <f t="shared" si="38"/>
        <v>32.753168986799999</v>
      </c>
      <c r="F203" s="10">
        <f t="shared" si="39"/>
        <v>10.9177229956</v>
      </c>
      <c r="G203" s="13" t="s">
        <v>23</v>
      </c>
      <c r="H203" s="7">
        <v>14</v>
      </c>
      <c r="I203" s="14">
        <f>D208</f>
        <v>293.6949441315769</v>
      </c>
      <c r="J203" s="14">
        <f t="shared" si="40"/>
        <v>20.978210295112635</v>
      </c>
      <c r="K203" s="14"/>
      <c r="L203" s="14"/>
      <c r="M203" s="7"/>
      <c r="N203" s="16" t="s">
        <v>24</v>
      </c>
      <c r="O203" s="12">
        <f>(F199+F203)/2</f>
        <v>11.4361625885</v>
      </c>
    </row>
    <row r="204" spans="1:15" x14ac:dyDescent="0.25">
      <c r="A204" s="6" t="s">
        <v>4</v>
      </c>
      <c r="B204" s="9">
        <f>SUM(B196:B203)</f>
        <v>90.807911766900006</v>
      </c>
      <c r="C204" s="9">
        <f>SUM(C196:C203)</f>
        <v>97.396618745300003</v>
      </c>
      <c r="D204" s="9">
        <f>SUM(D196:D203)</f>
        <v>98.01102462099999</v>
      </c>
      <c r="E204" s="15">
        <f>SUM(E196:E203)</f>
        <v>286.21555513320004</v>
      </c>
      <c r="F204" s="19">
        <f>AVERAGE(B196:D203)</f>
        <v>11.925648130550002</v>
      </c>
      <c r="G204" s="13" t="s">
        <v>4</v>
      </c>
      <c r="H204" s="7">
        <v>23</v>
      </c>
      <c r="I204" s="14">
        <f>B207</f>
        <v>381.51068574994997</v>
      </c>
      <c r="J204" s="14"/>
      <c r="K204" s="7" t="s">
        <v>25</v>
      </c>
      <c r="L204" s="20">
        <f>TINV(0.05,14)</f>
        <v>2.1447866879178044</v>
      </c>
      <c r="M204" s="7"/>
      <c r="N204" s="13" t="s">
        <v>14</v>
      </c>
      <c r="O204" s="12">
        <f>SQRT(J203/(3*2))</f>
        <v>1.8698578508856689</v>
      </c>
    </row>
    <row r="205" spans="1:15" x14ac:dyDescent="0.25">
      <c r="A205" s="6" t="s">
        <v>5</v>
      </c>
      <c r="B205" s="9">
        <f>B204/8</f>
        <v>11.350988970862501</v>
      </c>
      <c r="C205" s="9">
        <f>C204/8</f>
        <v>12.1745773431625</v>
      </c>
      <c r="D205" s="9">
        <f>D204/8</f>
        <v>12.251378077624999</v>
      </c>
      <c r="E205" s="14"/>
      <c r="F205" s="14"/>
      <c r="G205" s="13" t="s">
        <v>14</v>
      </c>
      <c r="H205" s="12">
        <f>SQRT(J203/3)</f>
        <v>2.6443783324323213</v>
      </c>
      <c r="I205" s="7"/>
      <c r="J205" s="21"/>
      <c r="K205" s="7"/>
      <c r="L205" s="7"/>
      <c r="M205" s="7"/>
      <c r="N205" s="13" t="s">
        <v>16</v>
      </c>
      <c r="O205" s="12">
        <f>SQRT((2*J203)/(3*2))*L204</f>
        <v>5.6716274452191255</v>
      </c>
    </row>
    <row r="206" spans="1:15" x14ac:dyDescent="0.25">
      <c r="A206" s="7" t="s">
        <v>26</v>
      </c>
      <c r="B206" s="15">
        <f>(E204*E204)/24</f>
        <v>3413.3060000085784</v>
      </c>
      <c r="C206" s="14"/>
      <c r="D206" s="14"/>
      <c r="E206" s="14"/>
      <c r="F206" s="14"/>
      <c r="G206" s="13" t="s">
        <v>16</v>
      </c>
      <c r="H206" s="12">
        <f>(SQRT((2*J203)/3))*L204</f>
        <v>8.0208924537563551</v>
      </c>
      <c r="I206" s="7"/>
      <c r="J206" s="7"/>
      <c r="K206" s="7"/>
      <c r="L206" s="7"/>
      <c r="M206" s="7"/>
      <c r="N206" s="7"/>
      <c r="O206" s="7"/>
    </row>
    <row r="207" spans="1:15" x14ac:dyDescent="0.25">
      <c r="A207" s="7" t="s">
        <v>27</v>
      </c>
      <c r="B207" s="15">
        <f>SUMSQ(B196:D203)-B206</f>
        <v>381.51068574994997</v>
      </c>
      <c r="C207" s="7" t="s">
        <v>28</v>
      </c>
      <c r="D207" s="15">
        <f>(SUMSQ(B204:D204)/8)-B206</f>
        <v>3.9863912090072517</v>
      </c>
      <c r="E207" s="14"/>
      <c r="F207" s="14"/>
      <c r="G207" s="13" t="s">
        <v>29</v>
      </c>
      <c r="H207" s="12">
        <f>((SQRT(J203))/F204)*100</f>
        <v>38.406278435080814</v>
      </c>
      <c r="I207" s="7"/>
      <c r="J207" s="21"/>
      <c r="K207" s="7"/>
      <c r="L207" s="7"/>
      <c r="M207" s="7"/>
      <c r="N207" s="7"/>
      <c r="O207" s="7"/>
    </row>
    <row r="208" spans="1:15" x14ac:dyDescent="0.25">
      <c r="A208" s="7" t="s">
        <v>30</v>
      </c>
      <c r="B208" s="15">
        <f>(SUMSQ(E196:E203)/3)-B206</f>
        <v>83.829350409365816</v>
      </c>
      <c r="C208" s="7" t="s">
        <v>31</v>
      </c>
      <c r="D208" s="15">
        <f>B207-B208-D207</f>
        <v>293.6949441315769</v>
      </c>
      <c r="E208" s="14"/>
      <c r="F208" s="14"/>
      <c r="G208" s="7"/>
      <c r="H208" s="7"/>
      <c r="I208" s="7"/>
      <c r="J208" s="7"/>
      <c r="K208" s="7"/>
      <c r="L208" s="7"/>
      <c r="M208" s="2"/>
      <c r="N208" s="7"/>
      <c r="O208" s="7"/>
    </row>
    <row r="210" spans="1:15" x14ac:dyDescent="0.25">
      <c r="A210" s="138" t="s">
        <v>65</v>
      </c>
      <c r="B210" s="139"/>
      <c r="C210" s="139"/>
      <c r="D210" s="22"/>
      <c r="E210" s="3"/>
      <c r="F210" s="3"/>
      <c r="G210" s="3"/>
      <c r="H210" s="3"/>
      <c r="I210" s="3"/>
      <c r="J210" s="3"/>
      <c r="K210" s="3"/>
      <c r="L210" s="3"/>
      <c r="M210" s="3"/>
      <c r="N210" s="5"/>
      <c r="O210" s="3"/>
    </row>
    <row r="211" spans="1:15" x14ac:dyDescent="0.25">
      <c r="A211" s="6" t="s">
        <v>0</v>
      </c>
      <c r="B211" s="6" t="s">
        <v>1</v>
      </c>
      <c r="C211" s="6" t="s">
        <v>2</v>
      </c>
      <c r="D211" s="6" t="s">
        <v>3</v>
      </c>
      <c r="E211" s="6" t="s">
        <v>4</v>
      </c>
      <c r="F211" s="6" t="s">
        <v>5</v>
      </c>
      <c r="G211" s="7"/>
      <c r="H211" s="7"/>
      <c r="I211" s="6" t="s">
        <v>6</v>
      </c>
      <c r="J211" s="7"/>
      <c r="K211" s="7"/>
      <c r="L211" s="7"/>
      <c r="M211" s="7"/>
      <c r="N211" s="136" t="s">
        <v>7</v>
      </c>
      <c r="O211" s="137"/>
    </row>
    <row r="212" spans="1:15" ht="15.75" x14ac:dyDescent="0.3">
      <c r="A212" s="6" t="s">
        <v>33</v>
      </c>
      <c r="B212" s="8">
        <v>93.202127190000013</v>
      </c>
      <c r="C212" s="8">
        <v>160.700607195</v>
      </c>
      <c r="D212" s="8">
        <v>157.16937131999998</v>
      </c>
      <c r="E212" s="9">
        <f t="shared" ref="E212:E219" si="41">SUM(B212:D212)</f>
        <v>411.07210570500001</v>
      </c>
      <c r="F212" s="10">
        <f t="shared" ref="F212:F219" si="42">E212/3</f>
        <v>137.02403523500001</v>
      </c>
      <c r="G212" s="7"/>
      <c r="H212" s="7"/>
      <c r="I212" s="7"/>
      <c r="J212" s="7"/>
      <c r="K212" s="7"/>
      <c r="L212" s="7"/>
      <c r="M212" s="7"/>
      <c r="N212" s="11">
        <v>1</v>
      </c>
      <c r="O212" s="12">
        <f>SUM(F212:F215)/4</f>
        <v>124.53650324088335</v>
      </c>
    </row>
    <row r="213" spans="1:15" x14ac:dyDescent="0.25">
      <c r="A213" s="6" t="s">
        <v>32</v>
      </c>
      <c r="B213" s="8">
        <v>75.507697967999988</v>
      </c>
      <c r="C213" s="8">
        <v>103.361169887</v>
      </c>
      <c r="D213" s="8">
        <v>152.61288954600002</v>
      </c>
      <c r="E213" s="9">
        <f t="shared" si="41"/>
        <v>331.48175740099998</v>
      </c>
      <c r="F213" s="10">
        <f t="shared" si="42"/>
        <v>110.49391913366667</v>
      </c>
      <c r="G213" s="7"/>
      <c r="H213" s="13" t="s">
        <v>8</v>
      </c>
      <c r="I213" s="13" t="s">
        <v>9</v>
      </c>
      <c r="J213" s="13" t="s">
        <v>10</v>
      </c>
      <c r="K213" s="13" t="s">
        <v>11</v>
      </c>
      <c r="L213" s="13" t="s">
        <v>12</v>
      </c>
      <c r="M213" s="7"/>
      <c r="N213" s="11">
        <v>0.75</v>
      </c>
      <c r="O213" s="12">
        <f>SUM(F216:F219)/4</f>
        <v>96.512558392666676</v>
      </c>
    </row>
    <row r="214" spans="1:15" ht="15.75" x14ac:dyDescent="0.3">
      <c r="A214" s="6" t="s">
        <v>34</v>
      </c>
      <c r="B214" s="8">
        <v>117.97971141260003</v>
      </c>
      <c r="C214" s="8">
        <v>147.92190830999999</v>
      </c>
      <c r="D214" s="8">
        <v>119.62452149999999</v>
      </c>
      <c r="E214" s="9">
        <f t="shared" si="41"/>
        <v>385.52614122260002</v>
      </c>
      <c r="F214" s="10">
        <f t="shared" si="42"/>
        <v>128.50871374086668</v>
      </c>
      <c r="G214" s="13" t="s">
        <v>13</v>
      </c>
      <c r="H214" s="7">
        <v>2</v>
      </c>
      <c r="I214" s="14">
        <f>D223</f>
        <v>9094.2489961156971</v>
      </c>
      <c r="J214" s="14">
        <f t="shared" ref="J214:J219" si="43">I214/H214</f>
        <v>4547.1244980578485</v>
      </c>
      <c r="K214" s="15">
        <f>J214/J219</f>
        <v>4.2105155961802589</v>
      </c>
      <c r="L214" s="14">
        <f>FINV(0.05,2,14)</f>
        <v>3.7388918324407361</v>
      </c>
      <c r="M214" s="1" t="str">
        <f>IF(K214&gt;=L214,"sig","ns")</f>
        <v>sig</v>
      </c>
      <c r="N214" s="13" t="s">
        <v>14</v>
      </c>
      <c r="O214" s="12">
        <f>SQRT(J219/(3*4))</f>
        <v>9.4865906139842711</v>
      </c>
    </row>
    <row r="215" spans="1:15" ht="15.75" x14ac:dyDescent="0.3">
      <c r="A215" s="6" t="s">
        <v>35</v>
      </c>
      <c r="B215" s="8">
        <v>96.359614560000011</v>
      </c>
      <c r="C215" s="8">
        <v>144.53342186400002</v>
      </c>
      <c r="D215" s="8">
        <v>125.46499813799997</v>
      </c>
      <c r="E215" s="9">
        <f t="shared" si="41"/>
        <v>366.358034562</v>
      </c>
      <c r="F215" s="10">
        <f t="shared" si="42"/>
        <v>122.119344854</v>
      </c>
      <c r="G215" s="13" t="s">
        <v>15</v>
      </c>
      <c r="H215" s="7">
        <v>7</v>
      </c>
      <c r="I215" s="14">
        <f>B224</f>
        <v>8345.0410889772465</v>
      </c>
      <c r="J215" s="14">
        <f t="shared" si="43"/>
        <v>1192.1487269967495</v>
      </c>
      <c r="K215" s="15">
        <f>J215/J219</f>
        <v>1.1038978172095775</v>
      </c>
      <c r="L215" s="14">
        <f>FINV(0.05,7,14)</f>
        <v>2.7641992567781792</v>
      </c>
      <c r="M215" s="1" t="str">
        <f>IF(K215&gt;=L215,"sig","ns")</f>
        <v>ns</v>
      </c>
      <c r="N215" s="13" t="s">
        <v>16</v>
      </c>
      <c r="O215" s="12">
        <f>SQRT((2*J219)/(3*4))*L220</f>
        <v>28.774597845684678</v>
      </c>
    </row>
    <row r="216" spans="1:15" ht="15.75" x14ac:dyDescent="0.3">
      <c r="A216" s="6" t="s">
        <v>36</v>
      </c>
      <c r="B216" s="8">
        <v>0</v>
      </c>
      <c r="C216" s="8">
        <v>135.28612552000001</v>
      </c>
      <c r="D216" s="8">
        <v>89.122143510000001</v>
      </c>
      <c r="E216" s="9">
        <f t="shared" si="41"/>
        <v>224.40826903000001</v>
      </c>
      <c r="F216" s="10">
        <f t="shared" si="42"/>
        <v>74.802756343333343</v>
      </c>
      <c r="G216" s="7" t="s">
        <v>17</v>
      </c>
      <c r="H216" s="7">
        <v>1</v>
      </c>
      <c r="I216" s="14">
        <f>((E212+E213+E214+E215)^2+(E216+E217+E218+E219)^2)/12-B222</f>
        <v>4712.0489091352792</v>
      </c>
      <c r="J216" s="14">
        <f t="shared" si="43"/>
        <v>4712.0489091352792</v>
      </c>
      <c r="K216" s="15">
        <f>J216/J219</f>
        <v>4.3632311871716558</v>
      </c>
      <c r="L216" s="14">
        <f>FINV(0.05,1,14)</f>
        <v>4.6001099366694227</v>
      </c>
      <c r="M216" s="1" t="str">
        <f>IF(K216&gt;=L216,"sig","ns")</f>
        <v>ns</v>
      </c>
      <c r="N216" s="16" t="s">
        <v>18</v>
      </c>
      <c r="O216" s="12">
        <f>(F212+F216)/2</f>
        <v>105.91339578916669</v>
      </c>
    </row>
    <row r="217" spans="1:15" x14ac:dyDescent="0.25">
      <c r="A217" s="6" t="s">
        <v>37</v>
      </c>
      <c r="B217" s="8">
        <v>101.37676115800001</v>
      </c>
      <c r="C217" s="8">
        <v>79.046600478999991</v>
      </c>
      <c r="D217" s="8">
        <v>114.85237392200001</v>
      </c>
      <c r="E217" s="9">
        <f t="shared" si="41"/>
        <v>295.275735559</v>
      </c>
      <c r="F217" s="10">
        <f t="shared" si="42"/>
        <v>98.425245186333328</v>
      </c>
      <c r="G217" s="7" t="s">
        <v>19</v>
      </c>
      <c r="H217" s="7">
        <v>3</v>
      </c>
      <c r="I217" s="14">
        <f xml:space="preserve"> ((E212+E216)^2+(E213+E217)^2+(E214+E218)^2+(E215+E219)^2)/6-B222</f>
        <v>794.52685672068037</v>
      </c>
      <c r="J217" s="14">
        <f t="shared" si="43"/>
        <v>264.8422855735601</v>
      </c>
      <c r="K217" s="15">
        <f>J217/J219</f>
        <v>0.24523686879736586</v>
      </c>
      <c r="L217" s="14">
        <f>FINV(0.05,3,14)</f>
        <v>3.3438886781189128</v>
      </c>
      <c r="M217" s="1" t="str">
        <f>IF(K217&gt;=L217,"sig","ns")</f>
        <v>ns</v>
      </c>
      <c r="N217" s="16" t="s">
        <v>20</v>
      </c>
      <c r="O217" s="12">
        <f>(F213+F217)/2</f>
        <v>104.45958216</v>
      </c>
    </row>
    <row r="218" spans="1:15" ht="15.75" x14ac:dyDescent="0.3">
      <c r="A218" s="6" t="s">
        <v>38</v>
      </c>
      <c r="B218" s="8">
        <v>89.361975884000003</v>
      </c>
      <c r="C218" s="8">
        <v>99.967600128000015</v>
      </c>
      <c r="D218" s="8">
        <v>102.62958948000001</v>
      </c>
      <c r="E218" s="9">
        <f t="shared" si="41"/>
        <v>291.95916549200001</v>
      </c>
      <c r="F218" s="10">
        <f t="shared" si="42"/>
        <v>97.319721830666666</v>
      </c>
      <c r="G218" s="17" t="s">
        <v>21</v>
      </c>
      <c r="H218" s="18">
        <v>3</v>
      </c>
      <c r="I218" s="14">
        <f>(I215-(I216+I217))</f>
        <v>2838.4653231212869</v>
      </c>
      <c r="J218" s="14">
        <f t="shared" si="43"/>
        <v>946.15510770709568</v>
      </c>
      <c r="K218" s="15">
        <f>J218/J219</f>
        <v>0.8761143089677631</v>
      </c>
      <c r="L218" s="14">
        <f>FINV(0.05,3,14)</f>
        <v>3.3438886781189128</v>
      </c>
      <c r="M218" s="1" t="str">
        <f>IF(K218&gt;=L218,"sig","ns")</f>
        <v>ns</v>
      </c>
      <c r="N218" s="16" t="s">
        <v>22</v>
      </c>
      <c r="O218" s="12">
        <f>(F214+F218)/2</f>
        <v>112.91421778576668</v>
      </c>
    </row>
    <row r="219" spans="1:15" ht="15.75" x14ac:dyDescent="0.3">
      <c r="A219" s="6" t="s">
        <v>39</v>
      </c>
      <c r="B219" s="8">
        <v>97.689692573000016</v>
      </c>
      <c r="C219" s="8">
        <v>70.341051968000016</v>
      </c>
      <c r="D219" s="8">
        <v>178.47678609000002</v>
      </c>
      <c r="E219" s="9">
        <f t="shared" si="41"/>
        <v>346.50753063100007</v>
      </c>
      <c r="F219" s="10">
        <f t="shared" si="42"/>
        <v>115.50251021033336</v>
      </c>
      <c r="G219" s="13" t="s">
        <v>23</v>
      </c>
      <c r="H219" s="7">
        <v>14</v>
      </c>
      <c r="I219" s="14">
        <f>D224</f>
        <v>15119.227448192192</v>
      </c>
      <c r="J219" s="14">
        <f t="shared" si="43"/>
        <v>1079.9448177280137</v>
      </c>
      <c r="K219" s="14"/>
      <c r="L219" s="14"/>
      <c r="M219" s="7"/>
      <c r="N219" s="16" t="s">
        <v>24</v>
      </c>
      <c r="O219" s="12">
        <f>(F215+F219)/2</f>
        <v>118.81092753216669</v>
      </c>
    </row>
    <row r="220" spans="1:15" x14ac:dyDescent="0.25">
      <c r="A220" s="6" t="s">
        <v>4</v>
      </c>
      <c r="B220" s="9">
        <f>SUM(B212:B219)</f>
        <v>671.47758074560011</v>
      </c>
      <c r="C220" s="9">
        <f>SUM(C212:C219)</f>
        <v>941.15848535099997</v>
      </c>
      <c r="D220" s="9">
        <f>SUM(D212:D219)</f>
        <v>1039.9526735059999</v>
      </c>
      <c r="E220" s="15">
        <f>SUM(E212:E219)</f>
        <v>2652.5887396026001</v>
      </c>
      <c r="F220" s="19">
        <f>AVERAGE(B212:D219)</f>
        <v>110.52453081677503</v>
      </c>
      <c r="G220" s="13" t="s">
        <v>4</v>
      </c>
      <c r="H220" s="7">
        <v>23</v>
      </c>
      <c r="I220" s="14">
        <f>B223</f>
        <v>32558.517533285136</v>
      </c>
      <c r="J220" s="14"/>
      <c r="K220" s="7" t="s">
        <v>25</v>
      </c>
      <c r="L220" s="20">
        <f>TINV(0.05,14)</f>
        <v>2.1447866879178044</v>
      </c>
      <c r="M220" s="7"/>
      <c r="N220" s="13" t="s">
        <v>14</v>
      </c>
      <c r="O220" s="12">
        <f>SQRT(J219/(3*2))</f>
        <v>13.416065106977864</v>
      </c>
    </row>
    <row r="221" spans="1:15" x14ac:dyDescent="0.25">
      <c r="A221" s="6" t="s">
        <v>5</v>
      </c>
      <c r="B221" s="9">
        <f>B220/8</f>
        <v>83.934697593200013</v>
      </c>
      <c r="C221" s="9">
        <f>C220/8</f>
        <v>117.644810668875</v>
      </c>
      <c r="D221" s="9">
        <f>D220/8</f>
        <v>129.99408418824999</v>
      </c>
      <c r="E221" s="14"/>
      <c r="F221" s="14"/>
      <c r="G221" s="13" t="s">
        <v>14</v>
      </c>
      <c r="H221" s="12">
        <f>SQRT(J219/3)</f>
        <v>18.973181227968542</v>
      </c>
      <c r="I221" s="7"/>
      <c r="J221" s="21"/>
      <c r="K221" s="7"/>
      <c r="L221" s="7"/>
      <c r="M221" s="7"/>
      <c r="N221" s="13" t="s">
        <v>16</v>
      </c>
      <c r="O221" s="12">
        <f>SQRT((2*J219)/(3*2))*L220</f>
        <v>40.693426525198909</v>
      </c>
    </row>
    <row r="222" spans="1:15" x14ac:dyDescent="0.25">
      <c r="A222" s="7" t="s">
        <v>26</v>
      </c>
      <c r="B222" s="15">
        <f>(E220*E220)/24</f>
        <v>293176.12589443795</v>
      </c>
      <c r="C222" s="14"/>
      <c r="D222" s="14"/>
      <c r="E222" s="14"/>
      <c r="F222" s="14"/>
      <c r="G222" s="13" t="s">
        <v>16</v>
      </c>
      <c r="H222" s="12">
        <f>(SQRT((2*J219)/3))*L220</f>
        <v>57.549195691369356</v>
      </c>
      <c r="I222" s="7"/>
      <c r="J222" s="7"/>
      <c r="K222" s="7"/>
      <c r="L222" s="7"/>
      <c r="M222" s="7"/>
      <c r="N222" s="7"/>
      <c r="O222" s="7"/>
    </row>
    <row r="223" spans="1:15" x14ac:dyDescent="0.25">
      <c r="A223" s="7" t="s">
        <v>27</v>
      </c>
      <c r="B223" s="15">
        <f>SUMSQ(B212:D219)-B222</f>
        <v>32558.517533285136</v>
      </c>
      <c r="C223" s="7" t="s">
        <v>28</v>
      </c>
      <c r="D223" s="15">
        <f>(SUMSQ(B220:D220)/8)-B222</f>
        <v>9094.2489961156971</v>
      </c>
      <c r="E223" s="14"/>
      <c r="F223" s="14"/>
      <c r="G223" s="13" t="s">
        <v>29</v>
      </c>
      <c r="H223" s="12">
        <f>((SQRT(J219))/F220)*100</f>
        <v>29.733230826858048</v>
      </c>
      <c r="I223" s="7"/>
      <c r="J223" s="21"/>
      <c r="K223" s="7"/>
      <c r="L223" s="7"/>
      <c r="M223" s="7"/>
      <c r="N223" s="7"/>
      <c r="O223" s="7"/>
    </row>
    <row r="224" spans="1:15" x14ac:dyDescent="0.25">
      <c r="A224" s="7" t="s">
        <v>30</v>
      </c>
      <c r="B224" s="15">
        <f>(SUMSQ(E212:E219)/3)-B222</f>
        <v>8345.0410889772465</v>
      </c>
      <c r="C224" s="7" t="s">
        <v>31</v>
      </c>
      <c r="D224" s="15">
        <f>B223-B224-D223</f>
        <v>15119.227448192192</v>
      </c>
      <c r="E224" s="14"/>
      <c r="F224" s="14"/>
      <c r="G224" s="7"/>
      <c r="H224" s="7"/>
      <c r="I224" s="7"/>
      <c r="J224" s="7"/>
      <c r="K224" s="7"/>
      <c r="L224" s="7"/>
      <c r="M224" s="2"/>
      <c r="N224" s="7"/>
      <c r="O224" s="7"/>
    </row>
    <row r="226" spans="1:15" x14ac:dyDescent="0.25">
      <c r="A226" s="138" t="s">
        <v>66</v>
      </c>
      <c r="B226" s="139"/>
      <c r="C226" s="139"/>
      <c r="D226" s="22"/>
      <c r="E226" s="3"/>
      <c r="F226" s="3"/>
      <c r="G226" s="3"/>
      <c r="H226" s="3"/>
      <c r="I226" s="3"/>
      <c r="J226" s="3"/>
      <c r="K226" s="3"/>
      <c r="L226" s="3"/>
      <c r="M226" s="3"/>
      <c r="N226" s="5"/>
      <c r="O226" s="3"/>
    </row>
    <row r="227" spans="1:15" x14ac:dyDescent="0.25">
      <c r="A227" s="6" t="s">
        <v>0</v>
      </c>
      <c r="B227" s="6" t="s">
        <v>1</v>
      </c>
      <c r="C227" s="6" t="s">
        <v>2</v>
      </c>
      <c r="D227" s="6" t="s">
        <v>3</v>
      </c>
      <c r="E227" s="6" t="s">
        <v>4</v>
      </c>
      <c r="F227" s="6" t="s">
        <v>5</v>
      </c>
      <c r="G227" s="7"/>
      <c r="H227" s="7"/>
      <c r="I227" s="6" t="s">
        <v>6</v>
      </c>
      <c r="J227" s="7"/>
      <c r="K227" s="7"/>
      <c r="L227" s="7"/>
      <c r="M227" s="7"/>
      <c r="N227" s="136" t="s">
        <v>7</v>
      </c>
      <c r="O227" s="137"/>
    </row>
    <row r="228" spans="1:15" ht="15.75" x14ac:dyDescent="0.3">
      <c r="A228" s="6" t="s">
        <v>33</v>
      </c>
      <c r="B228" s="8">
        <v>235.30405878000002</v>
      </c>
      <c r="C228" s="8">
        <v>161.83935264000002</v>
      </c>
      <c r="D228" s="8">
        <v>167.7076625</v>
      </c>
      <c r="E228" s="9">
        <f t="shared" ref="E228:E235" si="44">SUM(B228:D228)</f>
        <v>564.85107391999998</v>
      </c>
      <c r="F228" s="10">
        <f t="shared" ref="F228:F235" si="45">E228/3</f>
        <v>188.28369130666667</v>
      </c>
      <c r="G228" s="7"/>
      <c r="H228" s="7"/>
      <c r="I228" s="7"/>
      <c r="J228" s="7"/>
      <c r="K228" s="7"/>
      <c r="L228" s="7"/>
      <c r="M228" s="7"/>
      <c r="N228" s="11">
        <v>1</v>
      </c>
      <c r="O228" s="12">
        <f>SUM(F228:F231)/4</f>
        <v>195.30574655166666</v>
      </c>
    </row>
    <row r="229" spans="1:15" x14ac:dyDescent="0.25">
      <c r="A229" s="6" t="s">
        <v>32</v>
      </c>
      <c r="B229" s="8">
        <v>191.28423486000003</v>
      </c>
      <c r="C229" s="8">
        <v>199.13253680000003</v>
      </c>
      <c r="D229" s="8">
        <v>209.69582788</v>
      </c>
      <c r="E229" s="9">
        <f t="shared" si="44"/>
        <v>600.11259954000002</v>
      </c>
      <c r="F229" s="10">
        <f t="shared" si="45"/>
        <v>200.03753318</v>
      </c>
      <c r="G229" s="7"/>
      <c r="H229" s="13" t="s">
        <v>8</v>
      </c>
      <c r="I229" s="13" t="s">
        <v>9</v>
      </c>
      <c r="J229" s="13" t="s">
        <v>10</v>
      </c>
      <c r="K229" s="13" t="s">
        <v>11</v>
      </c>
      <c r="L229" s="13" t="s">
        <v>12</v>
      </c>
      <c r="M229" s="7"/>
      <c r="N229" s="11">
        <v>0.75</v>
      </c>
      <c r="O229" s="12">
        <f>SUM(F232:F235)/4</f>
        <v>197.15212805499999</v>
      </c>
    </row>
    <row r="230" spans="1:15" ht="15.75" x14ac:dyDescent="0.3">
      <c r="A230" s="6" t="s">
        <v>34</v>
      </c>
      <c r="B230" s="8">
        <v>218.24246036</v>
      </c>
      <c r="C230" s="8">
        <v>180.56427773999997</v>
      </c>
      <c r="D230" s="8">
        <v>199.332536</v>
      </c>
      <c r="E230" s="9">
        <f t="shared" si="44"/>
        <v>598.13927409999997</v>
      </c>
      <c r="F230" s="10">
        <f t="shared" si="45"/>
        <v>199.37975803333333</v>
      </c>
      <c r="G230" s="13" t="s">
        <v>13</v>
      </c>
      <c r="H230" s="7">
        <v>2</v>
      </c>
      <c r="I230" s="14">
        <f>D239</f>
        <v>3439.6116734507959</v>
      </c>
      <c r="J230" s="14">
        <f t="shared" ref="J230:J235" si="46">I230/H230</f>
        <v>1719.805836725398</v>
      </c>
      <c r="K230" s="15">
        <f>J230/J235</f>
        <v>0.5472761357857685</v>
      </c>
      <c r="L230" s="14">
        <f>FINV(0.05,2,14)</f>
        <v>3.7388918324407361</v>
      </c>
      <c r="M230" s="1" t="str">
        <f>IF(K230&gt;=L230,"sig","ns")</f>
        <v>ns</v>
      </c>
      <c r="N230" s="13" t="s">
        <v>14</v>
      </c>
      <c r="O230" s="12">
        <f>SQRT(J235/(3*4))</f>
        <v>16.182508014099259</v>
      </c>
    </row>
    <row r="231" spans="1:15" ht="15.75" x14ac:dyDescent="0.3">
      <c r="A231" s="6" t="s">
        <v>35</v>
      </c>
      <c r="B231" s="8">
        <v>212.00748530000001</v>
      </c>
      <c r="C231" s="8">
        <v>191.85923256000001</v>
      </c>
      <c r="D231" s="8">
        <v>176.6992932</v>
      </c>
      <c r="E231" s="9">
        <f t="shared" si="44"/>
        <v>580.56601105999994</v>
      </c>
      <c r="F231" s="10">
        <f t="shared" si="45"/>
        <v>193.52200368666664</v>
      </c>
      <c r="G231" s="13" t="s">
        <v>15</v>
      </c>
      <c r="H231" s="7">
        <v>7</v>
      </c>
      <c r="I231" s="14">
        <f>B240</f>
        <v>14241.316307674977</v>
      </c>
      <c r="J231" s="14">
        <f t="shared" si="46"/>
        <v>2034.4737582392825</v>
      </c>
      <c r="K231" s="15">
        <f>J231/J235</f>
        <v>0.64740967438903074</v>
      </c>
      <c r="L231" s="14">
        <f>FINV(0.05,7,14)</f>
        <v>2.7641992567781792</v>
      </c>
      <c r="M231" s="1" t="str">
        <f>IF(K231&gt;=L231,"sig","ns")</f>
        <v>ns</v>
      </c>
      <c r="N231" s="13" t="s">
        <v>16</v>
      </c>
      <c r="O231" s="12">
        <f>SQRT((2*J235)/(3*4))*L236</f>
        <v>49.084563589564375</v>
      </c>
    </row>
    <row r="232" spans="1:15" ht="15.75" x14ac:dyDescent="0.3">
      <c r="A232" s="6" t="s">
        <v>36</v>
      </c>
      <c r="B232" s="8">
        <v>0</v>
      </c>
      <c r="C232" s="8">
        <v>207.61250287999999</v>
      </c>
      <c r="D232" s="8">
        <v>218.85245791999998</v>
      </c>
      <c r="E232" s="9">
        <f t="shared" si="44"/>
        <v>426.46496079999997</v>
      </c>
      <c r="F232" s="10">
        <f t="shared" si="45"/>
        <v>142.15498693333333</v>
      </c>
      <c r="G232" s="7" t="s">
        <v>17</v>
      </c>
      <c r="H232" s="7">
        <v>1</v>
      </c>
      <c r="I232" s="14">
        <f>((E228+E229+E230+E231)^2+(E232+E233+E234+E235)^2)/12-B238</f>
        <v>20.45474793529138</v>
      </c>
      <c r="J232" s="14">
        <f t="shared" si="46"/>
        <v>20.45474793529138</v>
      </c>
      <c r="K232" s="15">
        <f>J232/J235</f>
        <v>6.5091042078406474E-3</v>
      </c>
      <c r="L232" s="14">
        <f>FINV(0.05,1,14)</f>
        <v>4.6001099366694227</v>
      </c>
      <c r="M232" s="1" t="str">
        <f>IF(K232&gt;=L232,"sig","ns")</f>
        <v>ns</v>
      </c>
      <c r="N232" s="16" t="s">
        <v>18</v>
      </c>
      <c r="O232" s="12">
        <f>(F228+F232)/2</f>
        <v>165.21933912</v>
      </c>
    </row>
    <row r="233" spans="1:15" x14ac:dyDescent="0.25">
      <c r="A233" s="6" t="s">
        <v>37</v>
      </c>
      <c r="B233" s="8">
        <v>219.28245619999998</v>
      </c>
      <c r="C233" s="8">
        <v>284.37386249999997</v>
      </c>
      <c r="D233" s="8">
        <v>174.64930140000001</v>
      </c>
      <c r="E233" s="9">
        <f t="shared" si="44"/>
        <v>678.30562009999994</v>
      </c>
      <c r="F233" s="10">
        <f t="shared" si="45"/>
        <v>226.10187336666664</v>
      </c>
      <c r="G233" s="7" t="s">
        <v>19</v>
      </c>
      <c r="H233" s="7">
        <v>3</v>
      </c>
      <c r="I233" s="14">
        <f xml:space="preserve"> ((E228+E232)^2+(E229+E233)^2+(E230+E234)^2+(E231+E235)^2)/6-B238</f>
        <v>8506.7843684650725</v>
      </c>
      <c r="J233" s="14">
        <f t="shared" si="46"/>
        <v>2835.5947894883575</v>
      </c>
      <c r="K233" s="15">
        <f>J233/J235</f>
        <v>0.9023421864879001</v>
      </c>
      <c r="L233" s="14">
        <f>FINV(0.05,3,14)</f>
        <v>3.3438886781189128</v>
      </c>
      <c r="M233" s="1" t="str">
        <f>IF(K233&gt;=L233,"sig","ns")</f>
        <v>ns</v>
      </c>
      <c r="N233" s="16" t="s">
        <v>20</v>
      </c>
      <c r="O233" s="12">
        <f>(F229+F233)/2</f>
        <v>213.06970327333332</v>
      </c>
    </row>
    <row r="234" spans="1:15" ht="15.75" x14ac:dyDescent="0.3">
      <c r="A234" s="6" t="s">
        <v>38</v>
      </c>
      <c r="B234" s="8">
        <v>174.63930144000003</v>
      </c>
      <c r="C234" s="8">
        <v>186.31925472</v>
      </c>
      <c r="D234" s="8">
        <v>224.72910107999999</v>
      </c>
      <c r="E234" s="9">
        <f t="shared" si="44"/>
        <v>585.68765724000002</v>
      </c>
      <c r="F234" s="10">
        <f t="shared" si="45"/>
        <v>195.22921908000001</v>
      </c>
      <c r="G234" s="17" t="s">
        <v>21</v>
      </c>
      <c r="H234" s="18">
        <v>3</v>
      </c>
      <c r="I234" s="14">
        <f>(I231-(I232+I233))</f>
        <v>5714.0771912746131</v>
      </c>
      <c r="J234" s="14">
        <f t="shared" si="46"/>
        <v>1904.6923970915377</v>
      </c>
      <c r="K234" s="15">
        <f>J234/J235</f>
        <v>0.60611068568389126</v>
      </c>
      <c r="L234" s="14">
        <f>FINV(0.05,3,14)</f>
        <v>3.3438886781189128</v>
      </c>
      <c r="M234" s="1" t="str">
        <f>IF(K234&gt;=L234,"sig","ns")</f>
        <v>ns</v>
      </c>
      <c r="N234" s="16" t="s">
        <v>22</v>
      </c>
      <c r="O234" s="12">
        <f>(F230+F234)/2</f>
        <v>197.30448855666668</v>
      </c>
    </row>
    <row r="235" spans="1:15" ht="15.75" x14ac:dyDescent="0.3">
      <c r="A235" s="6" t="s">
        <v>39</v>
      </c>
      <c r="B235" s="8">
        <v>207.31917071999996</v>
      </c>
      <c r="C235" s="8">
        <v>280.27887888000004</v>
      </c>
      <c r="D235" s="8">
        <v>187.76924892</v>
      </c>
      <c r="E235" s="9">
        <f t="shared" si="44"/>
        <v>675.36729851999996</v>
      </c>
      <c r="F235" s="10">
        <f t="shared" si="45"/>
        <v>225.12243283999999</v>
      </c>
      <c r="G235" s="13" t="s">
        <v>23</v>
      </c>
      <c r="H235" s="7">
        <v>14</v>
      </c>
      <c r="I235" s="14">
        <f>D240</f>
        <v>43994.759025232983</v>
      </c>
      <c r="J235" s="14">
        <f t="shared" si="46"/>
        <v>3142.4827875166416</v>
      </c>
      <c r="K235" s="14"/>
      <c r="L235" s="14"/>
      <c r="M235" s="7"/>
      <c r="N235" s="16" t="s">
        <v>24</v>
      </c>
      <c r="O235" s="12">
        <f>(F231+F235)/2</f>
        <v>209.3222182633333</v>
      </c>
    </row>
    <row r="236" spans="1:15" x14ac:dyDescent="0.25">
      <c r="A236" s="6" t="s">
        <v>4</v>
      </c>
      <c r="B236" s="9">
        <f>SUM(B228:B235)</f>
        <v>1458.0791676599999</v>
      </c>
      <c r="C236" s="9">
        <f>SUM(C228:C235)</f>
        <v>1691.9798987199999</v>
      </c>
      <c r="D236" s="9">
        <f>SUM(D228:D235)</f>
        <v>1559.4354288999998</v>
      </c>
      <c r="E236" s="15">
        <f>SUM(E228:E235)</f>
        <v>4709.4944952799997</v>
      </c>
      <c r="F236" s="19">
        <f>AVERAGE(B228:D235)</f>
        <v>196.22893730333331</v>
      </c>
      <c r="G236" s="13" t="s">
        <v>4</v>
      </c>
      <c r="H236" s="7">
        <v>23</v>
      </c>
      <c r="I236" s="14">
        <f>B239</f>
        <v>61675.687006358756</v>
      </c>
      <c r="J236" s="14"/>
      <c r="K236" s="7" t="s">
        <v>25</v>
      </c>
      <c r="L236" s="20">
        <f>TINV(0.05,14)</f>
        <v>2.1447866879178044</v>
      </c>
      <c r="M236" s="7"/>
      <c r="N236" s="13" t="s">
        <v>14</v>
      </c>
      <c r="O236" s="12">
        <f>SQRT(J235/(3*2))</f>
        <v>22.885522306750474</v>
      </c>
    </row>
    <row r="237" spans="1:15" x14ac:dyDescent="0.25">
      <c r="A237" s="6" t="s">
        <v>5</v>
      </c>
      <c r="B237" s="9">
        <f>B236/8</f>
        <v>182.25989595749999</v>
      </c>
      <c r="C237" s="9">
        <f>C236/8</f>
        <v>211.49748733999999</v>
      </c>
      <c r="D237" s="9">
        <f>D236/8</f>
        <v>194.92942861249998</v>
      </c>
      <c r="E237" s="14"/>
      <c r="F237" s="14"/>
      <c r="G237" s="13" t="s">
        <v>14</v>
      </c>
      <c r="H237" s="12">
        <f>SQRT(J235/3)</f>
        <v>32.365016028198518</v>
      </c>
      <c r="I237" s="7"/>
      <c r="J237" s="21"/>
      <c r="K237" s="7"/>
      <c r="L237" s="7"/>
      <c r="M237" s="7"/>
      <c r="N237" s="13" t="s">
        <v>16</v>
      </c>
      <c r="O237" s="12">
        <f>SQRT((2*J235)/(3*2))*L236</f>
        <v>69.416055531526553</v>
      </c>
    </row>
    <row r="238" spans="1:15" x14ac:dyDescent="0.25">
      <c r="A238" s="7" t="s">
        <v>26</v>
      </c>
      <c r="B238" s="15">
        <f>(E236*E236)/24</f>
        <v>924139.1000446924</v>
      </c>
      <c r="C238" s="14"/>
      <c r="D238" s="14"/>
      <c r="E238" s="14"/>
      <c r="F238" s="14"/>
      <c r="G238" s="13" t="s">
        <v>16</v>
      </c>
      <c r="H238" s="12">
        <f>(SQRT((2*J235)/3))*L236</f>
        <v>98.169127179128751</v>
      </c>
      <c r="I238" s="7"/>
      <c r="J238" s="7"/>
      <c r="K238" s="7"/>
      <c r="L238" s="7"/>
      <c r="M238" s="7"/>
      <c r="N238" s="7"/>
      <c r="O238" s="7"/>
    </row>
    <row r="239" spans="1:15" x14ac:dyDescent="0.25">
      <c r="A239" s="7" t="s">
        <v>27</v>
      </c>
      <c r="B239" s="15">
        <f>SUMSQ(B228:D235)-B238</f>
        <v>61675.687006358756</v>
      </c>
      <c r="C239" s="7" t="s">
        <v>28</v>
      </c>
      <c r="D239" s="15">
        <f>(SUMSQ(B236:D236)/8)-B238</f>
        <v>3439.6116734507959</v>
      </c>
      <c r="E239" s="14"/>
      <c r="F239" s="14"/>
      <c r="G239" s="13" t="s">
        <v>29</v>
      </c>
      <c r="H239" s="12">
        <f>((SQRT(J235))/F236)*100</f>
        <v>28.567576688226126</v>
      </c>
      <c r="I239" s="7"/>
      <c r="J239" s="21"/>
      <c r="K239" s="7"/>
      <c r="L239" s="7"/>
      <c r="M239" s="7"/>
      <c r="N239" s="7"/>
      <c r="O239" s="7"/>
    </row>
    <row r="240" spans="1:15" x14ac:dyDescent="0.25">
      <c r="A240" s="7" t="s">
        <v>30</v>
      </c>
      <c r="B240" s="15">
        <f>(SUMSQ(E228:E235)/3)-B238</f>
        <v>14241.316307674977</v>
      </c>
      <c r="C240" s="7" t="s">
        <v>31</v>
      </c>
      <c r="D240" s="15">
        <f>B239-B240-D239</f>
        <v>43994.759025232983</v>
      </c>
      <c r="E240" s="14"/>
      <c r="F240" s="14"/>
      <c r="G240" s="7"/>
      <c r="H240" s="7"/>
      <c r="I240" s="7"/>
      <c r="J240" s="7"/>
      <c r="K240" s="7"/>
      <c r="L240" s="7"/>
      <c r="M240" s="2"/>
      <c r="N240" s="7"/>
      <c r="O240" s="7"/>
    </row>
    <row r="242" spans="1:15" x14ac:dyDescent="0.25">
      <c r="A242" s="138" t="s">
        <v>67</v>
      </c>
      <c r="B242" s="139"/>
      <c r="C242" s="139"/>
      <c r="D242" s="22"/>
      <c r="E242" s="3"/>
      <c r="F242" s="3"/>
      <c r="G242" s="3"/>
      <c r="H242" s="3"/>
      <c r="I242" s="3"/>
      <c r="J242" s="3"/>
      <c r="K242" s="3"/>
      <c r="L242" s="3"/>
      <c r="M242" s="3"/>
      <c r="N242" s="5"/>
      <c r="O242" s="3"/>
    </row>
    <row r="243" spans="1:15" x14ac:dyDescent="0.25">
      <c r="A243" s="6" t="s">
        <v>0</v>
      </c>
      <c r="B243" s="6" t="s">
        <v>1</v>
      </c>
      <c r="C243" s="6" t="s">
        <v>2</v>
      </c>
      <c r="D243" s="6" t="s">
        <v>3</v>
      </c>
      <c r="E243" s="6" t="s">
        <v>4</v>
      </c>
      <c r="F243" s="6" t="s">
        <v>5</v>
      </c>
      <c r="G243" s="7"/>
      <c r="H243" s="7"/>
      <c r="I243" s="6" t="s">
        <v>6</v>
      </c>
      <c r="J243" s="7"/>
      <c r="K243" s="7"/>
      <c r="L243" s="7"/>
      <c r="M243" s="7"/>
      <c r="N243" s="136" t="s">
        <v>7</v>
      </c>
      <c r="O243" s="137"/>
    </row>
    <row r="244" spans="1:15" ht="15.75" x14ac:dyDescent="0.3">
      <c r="A244" s="6" t="s">
        <v>33</v>
      </c>
      <c r="B244" s="8">
        <v>469.17645662000001</v>
      </c>
      <c r="C244" s="8">
        <v>504.20498317199997</v>
      </c>
      <c r="D244" s="8">
        <v>412.8743484960001</v>
      </c>
      <c r="E244" s="9">
        <f t="shared" ref="E244:E251" si="47">SUM(B244:D244)</f>
        <v>1386.2557882880001</v>
      </c>
      <c r="F244" s="10">
        <f t="shared" ref="F244:F251" si="48">E244/3</f>
        <v>462.08526276266667</v>
      </c>
      <c r="G244" s="7"/>
      <c r="H244" s="7"/>
      <c r="I244" s="7"/>
      <c r="J244" s="7"/>
      <c r="K244" s="7"/>
      <c r="L244" s="7"/>
      <c r="M244" s="7"/>
      <c r="N244" s="11">
        <v>1</v>
      </c>
      <c r="O244" s="12">
        <f>SUM(F244:F247)/4</f>
        <v>386.59149529450002</v>
      </c>
    </row>
    <row r="245" spans="1:15" x14ac:dyDescent="0.25">
      <c r="A245" s="6" t="s">
        <v>32</v>
      </c>
      <c r="B245" s="8">
        <v>264.91394034000001</v>
      </c>
      <c r="C245" s="8">
        <v>254.93898024000001</v>
      </c>
      <c r="D245" s="8">
        <v>302.09879160000003</v>
      </c>
      <c r="E245" s="9">
        <f t="shared" si="47"/>
        <v>821.95171218000007</v>
      </c>
      <c r="F245" s="10">
        <f t="shared" si="48"/>
        <v>273.98390406000004</v>
      </c>
      <c r="G245" s="7"/>
      <c r="H245" s="13" t="s">
        <v>8</v>
      </c>
      <c r="I245" s="13" t="s">
        <v>9</v>
      </c>
      <c r="J245" s="13" t="s">
        <v>10</v>
      </c>
      <c r="K245" s="13" t="s">
        <v>11</v>
      </c>
      <c r="L245" s="13" t="s">
        <v>12</v>
      </c>
      <c r="M245" s="7"/>
      <c r="N245" s="11">
        <v>0.75</v>
      </c>
      <c r="O245" s="12">
        <f>SUM(F248:F251)/4</f>
        <v>399.4665271275</v>
      </c>
    </row>
    <row r="246" spans="1:15" ht="15.75" x14ac:dyDescent="0.3">
      <c r="A246" s="6" t="s">
        <v>34</v>
      </c>
      <c r="B246" s="8">
        <v>160.767356928</v>
      </c>
      <c r="C246" s="8">
        <v>575.32919867399994</v>
      </c>
      <c r="D246" s="8">
        <v>400.19673254000003</v>
      </c>
      <c r="E246" s="9">
        <f t="shared" si="47"/>
        <v>1136.2932881419999</v>
      </c>
      <c r="F246" s="10">
        <f t="shared" si="48"/>
        <v>378.76442938066663</v>
      </c>
      <c r="G246" s="13" t="s">
        <v>13</v>
      </c>
      <c r="H246" s="7">
        <v>2</v>
      </c>
      <c r="I246" s="14">
        <f>D255</f>
        <v>48340.465092821047</v>
      </c>
      <c r="J246" s="14">
        <f t="shared" ref="J246:J251" si="49">I246/H246</f>
        <v>24170.232546410523</v>
      </c>
      <c r="K246" s="15">
        <f>J246/J251</f>
        <v>2.1327260738061571</v>
      </c>
      <c r="L246" s="14">
        <f>FINV(0.05,2,14)</f>
        <v>3.7388918324407361</v>
      </c>
      <c r="M246" s="1" t="str">
        <f>IF(K246&gt;=L246,"sig","ns")</f>
        <v>ns</v>
      </c>
      <c r="N246" s="13" t="s">
        <v>14</v>
      </c>
      <c r="O246" s="12">
        <f>SQRT(J251/(3*4))</f>
        <v>30.731393400294344</v>
      </c>
    </row>
    <row r="247" spans="1:15" ht="15.75" x14ac:dyDescent="0.3">
      <c r="A247" s="6" t="s">
        <v>35</v>
      </c>
      <c r="B247" s="8">
        <v>368.989857368</v>
      </c>
      <c r="C247" s="8">
        <v>512.89394841599994</v>
      </c>
      <c r="D247" s="8">
        <v>412.71334913999999</v>
      </c>
      <c r="E247" s="9">
        <f t="shared" si="47"/>
        <v>1294.5971549239998</v>
      </c>
      <c r="F247" s="10">
        <f t="shared" si="48"/>
        <v>431.53238497466663</v>
      </c>
      <c r="G247" s="13" t="s">
        <v>15</v>
      </c>
      <c r="H247" s="7">
        <v>7</v>
      </c>
      <c r="I247" s="14">
        <f>B256</f>
        <v>190715.69494519383</v>
      </c>
      <c r="J247" s="14">
        <f t="shared" si="49"/>
        <v>27245.099277884834</v>
      </c>
      <c r="K247" s="15">
        <f>J247/J251</f>
        <v>2.404045285944572</v>
      </c>
      <c r="L247" s="14">
        <f>FINV(0.05,7,14)</f>
        <v>2.7641992567781792</v>
      </c>
      <c r="M247" s="1" t="str">
        <f>IF(K247&gt;=L247,"sig","ns")</f>
        <v>ns</v>
      </c>
      <c r="N247" s="13" t="s">
        <v>16</v>
      </c>
      <c r="O247" s="12">
        <f>SQRT((2*J251)/(3*4))*L252</f>
        <v>93.214045204761703</v>
      </c>
    </row>
    <row r="248" spans="1:15" ht="15.75" x14ac:dyDescent="0.3">
      <c r="A248" s="6" t="s">
        <v>36</v>
      </c>
      <c r="B248" s="8">
        <v>0</v>
      </c>
      <c r="C248" s="8">
        <v>354.017083926</v>
      </c>
      <c r="D248" s="8">
        <v>368.72552509199994</v>
      </c>
      <c r="E248" s="9">
        <f t="shared" si="47"/>
        <v>722.74260901799994</v>
      </c>
      <c r="F248" s="10">
        <f t="shared" si="48"/>
        <v>240.91420300599998</v>
      </c>
      <c r="G248" s="7" t="s">
        <v>17</v>
      </c>
      <c r="H248" s="7">
        <v>1</v>
      </c>
      <c r="I248" s="14">
        <f>((E244+E245+E246+E247)^2+(E248+E249+E250+E251)^2)/12-B254</f>
        <v>994.59866820462048</v>
      </c>
      <c r="J248" s="14">
        <f t="shared" si="49"/>
        <v>994.59866820462048</v>
      </c>
      <c r="K248" s="15">
        <f>J248/J251</f>
        <v>8.7761113120439938E-2</v>
      </c>
      <c r="L248" s="14">
        <f>FINV(0.05,1,14)</f>
        <v>4.6001099366694227</v>
      </c>
      <c r="M248" s="1" t="str">
        <f>IF(K248&gt;=L248,"sig","ns")</f>
        <v>ns</v>
      </c>
      <c r="N248" s="16" t="s">
        <v>18</v>
      </c>
      <c r="O248" s="12">
        <f>(F244+F248)/2</f>
        <v>351.4997328843333</v>
      </c>
    </row>
    <row r="249" spans="1:15" x14ac:dyDescent="0.25">
      <c r="A249" s="6" t="s">
        <v>37</v>
      </c>
      <c r="B249" s="8">
        <v>421.22898174400007</v>
      </c>
      <c r="C249" s="8">
        <v>293.92032431400003</v>
      </c>
      <c r="D249" s="8">
        <v>414.85584057000005</v>
      </c>
      <c r="E249" s="9">
        <f t="shared" si="47"/>
        <v>1130.0051466280001</v>
      </c>
      <c r="F249" s="10">
        <f t="shared" si="48"/>
        <v>376.6683822093334</v>
      </c>
      <c r="G249" s="7" t="s">
        <v>19</v>
      </c>
      <c r="H249" s="7">
        <v>3</v>
      </c>
      <c r="I249" s="14">
        <f xml:space="preserve"> ((E244+E248)^2+(E245+E249)^2+(E246+E250)^2+(E247+E251)^2)/6-B254</f>
        <v>73836.419061927125</v>
      </c>
      <c r="J249" s="14">
        <f t="shared" si="49"/>
        <v>24612.139687309042</v>
      </c>
      <c r="K249" s="15">
        <f>J249/J251</f>
        <v>2.1717189498484424</v>
      </c>
      <c r="L249" s="14">
        <f>FINV(0.05,3,14)</f>
        <v>3.3438886781189128</v>
      </c>
      <c r="M249" s="1" t="str">
        <f>IF(K249&gt;=L249,"sig","ns")</f>
        <v>ns</v>
      </c>
      <c r="N249" s="16" t="s">
        <v>20</v>
      </c>
      <c r="O249" s="12">
        <f>(F245+F249)/2</f>
        <v>325.32614313466672</v>
      </c>
    </row>
    <row r="250" spans="1:15" ht="15.75" x14ac:dyDescent="0.3">
      <c r="A250" s="6" t="s">
        <v>38</v>
      </c>
      <c r="B250" s="8">
        <v>523.88840443799995</v>
      </c>
      <c r="C250" s="8">
        <v>457.97133477400007</v>
      </c>
      <c r="D250" s="8">
        <v>543.76265827399993</v>
      </c>
      <c r="E250" s="9">
        <f t="shared" si="47"/>
        <v>1525.622397486</v>
      </c>
      <c r="F250" s="10">
        <f t="shared" si="48"/>
        <v>508.54079916199998</v>
      </c>
      <c r="G250" s="17" t="s">
        <v>21</v>
      </c>
      <c r="H250" s="18">
        <v>3</v>
      </c>
      <c r="I250" s="14">
        <f>(I247-(I248+I249))</f>
        <v>115884.67721506208</v>
      </c>
      <c r="J250" s="14">
        <f t="shared" si="49"/>
        <v>38628.225738354027</v>
      </c>
      <c r="K250" s="15">
        <f>J250/J251</f>
        <v>3.4084663463154117</v>
      </c>
      <c r="L250" s="14">
        <f>FINV(0.05,3,14)</f>
        <v>3.3438886781189128</v>
      </c>
      <c r="M250" s="1" t="str">
        <f>IF(K250&gt;=L250,"sig","ns")</f>
        <v>sig</v>
      </c>
      <c r="N250" s="16" t="s">
        <v>22</v>
      </c>
      <c r="O250" s="12">
        <f>(F246+F250)/2</f>
        <v>443.65261427133328</v>
      </c>
    </row>
    <row r="251" spans="1:15" ht="15.75" x14ac:dyDescent="0.3">
      <c r="A251" s="6" t="s">
        <v>39</v>
      </c>
      <c r="B251" s="8">
        <v>430.72577709000007</v>
      </c>
      <c r="C251" s="8">
        <v>492.62736281600002</v>
      </c>
      <c r="D251" s="8">
        <v>491.875032492</v>
      </c>
      <c r="E251" s="9">
        <f t="shared" si="47"/>
        <v>1415.228172398</v>
      </c>
      <c r="F251" s="10">
        <f t="shared" si="48"/>
        <v>471.74272413266664</v>
      </c>
      <c r="G251" s="13" t="s">
        <v>23</v>
      </c>
      <c r="H251" s="7">
        <v>14</v>
      </c>
      <c r="I251" s="14">
        <f>D256</f>
        <v>158662.31477437401</v>
      </c>
      <c r="J251" s="14">
        <f t="shared" si="49"/>
        <v>11333.022483883859</v>
      </c>
      <c r="K251" s="14"/>
      <c r="L251" s="14"/>
      <c r="M251" s="7"/>
      <c r="N251" s="16" t="s">
        <v>24</v>
      </c>
      <c r="O251" s="12">
        <f>(F247+F251)/2</f>
        <v>451.63755455366663</v>
      </c>
    </row>
    <row r="252" spans="1:15" x14ac:dyDescent="0.25">
      <c r="A252" s="6" t="s">
        <v>4</v>
      </c>
      <c r="B252" s="9">
        <f>SUM(B244:B251)</f>
        <v>2639.690774528</v>
      </c>
      <c r="C252" s="9">
        <f>SUM(C244:C251)</f>
        <v>3445.9032163320003</v>
      </c>
      <c r="D252" s="9">
        <f>SUM(D244:D251)</f>
        <v>3347.1022782040004</v>
      </c>
      <c r="E252" s="15">
        <f>SUM(E244:E251)</f>
        <v>9432.6962690639994</v>
      </c>
      <c r="F252" s="19">
        <f>AVERAGE(B244:D251)</f>
        <v>393.02901121100007</v>
      </c>
      <c r="G252" s="13" t="s">
        <v>4</v>
      </c>
      <c r="H252" s="7">
        <v>23</v>
      </c>
      <c r="I252" s="14">
        <f>B255</f>
        <v>397718.47481238889</v>
      </c>
      <c r="J252" s="14"/>
      <c r="K252" s="7" t="s">
        <v>25</v>
      </c>
      <c r="L252" s="20">
        <f>TINV(0.05,14)</f>
        <v>2.1447866879178044</v>
      </c>
      <c r="M252" s="7"/>
      <c r="N252" s="13" t="s">
        <v>14</v>
      </c>
      <c r="O252" s="12">
        <f>SQRT(J251/(3*2))</f>
        <v>43.460753337319289</v>
      </c>
    </row>
    <row r="253" spans="1:15" x14ac:dyDescent="0.25">
      <c r="A253" s="6" t="s">
        <v>5</v>
      </c>
      <c r="B253" s="9">
        <f>B252/8</f>
        <v>329.961346816</v>
      </c>
      <c r="C253" s="9">
        <f>C252/8</f>
        <v>430.73790204150004</v>
      </c>
      <c r="D253" s="9">
        <f>D252/8</f>
        <v>418.38778477550005</v>
      </c>
      <c r="E253" s="14"/>
      <c r="F253" s="14"/>
      <c r="G253" s="13" t="s">
        <v>14</v>
      </c>
      <c r="H253" s="12">
        <f>SQRT(J251/3)</f>
        <v>61.462786800588688</v>
      </c>
      <c r="I253" s="7"/>
      <c r="J253" s="21"/>
      <c r="K253" s="7"/>
      <c r="L253" s="7"/>
      <c r="M253" s="7"/>
      <c r="N253" s="13" t="s">
        <v>16</v>
      </c>
      <c r="O253" s="12">
        <f>SQRT((2*J251)/(3*2))*L252</f>
        <v>131.82456693223276</v>
      </c>
    </row>
    <row r="254" spans="1:15" x14ac:dyDescent="0.25">
      <c r="A254" s="7" t="s">
        <v>26</v>
      </c>
      <c r="B254" s="15">
        <f>(E252*E252)/24</f>
        <v>3707323.2876839121</v>
      </c>
      <c r="C254" s="14"/>
      <c r="D254" s="14"/>
      <c r="E254" s="14"/>
      <c r="F254" s="14"/>
      <c r="G254" s="13" t="s">
        <v>16</v>
      </c>
      <c r="H254" s="12">
        <f>(SQRT((2*J251)/3))*L252</f>
        <v>186.42809040952341</v>
      </c>
      <c r="I254" s="7"/>
      <c r="J254" s="7"/>
      <c r="K254" s="7"/>
      <c r="L254" s="7"/>
      <c r="M254" s="7"/>
      <c r="N254" s="7"/>
      <c r="O254" s="7"/>
    </row>
    <row r="255" spans="1:15" x14ac:dyDescent="0.25">
      <c r="A255" s="7" t="s">
        <v>27</v>
      </c>
      <c r="B255" s="15">
        <f>SUMSQ(B244:D251)-B254</f>
        <v>397718.47481238889</v>
      </c>
      <c r="C255" s="7" t="s">
        <v>28</v>
      </c>
      <c r="D255" s="15">
        <f>(SUMSQ(B252:D252)/8)-B254</f>
        <v>48340.465092821047</v>
      </c>
      <c r="E255" s="14"/>
      <c r="F255" s="14"/>
      <c r="G255" s="13" t="s">
        <v>29</v>
      </c>
      <c r="H255" s="12">
        <f>((SQRT(J251))/F252)*100</f>
        <v>27.086211571349235</v>
      </c>
      <c r="I255" s="7"/>
      <c r="J255" s="21"/>
      <c r="K255" s="7"/>
      <c r="L255" s="7"/>
      <c r="M255" s="7"/>
      <c r="N255" s="7"/>
      <c r="O255" s="7"/>
    </row>
    <row r="256" spans="1:15" x14ac:dyDescent="0.25">
      <c r="A256" s="7" t="s">
        <v>30</v>
      </c>
      <c r="B256" s="15">
        <f>(SUMSQ(E244:E251)/3)-B254</f>
        <v>190715.69494519383</v>
      </c>
      <c r="C256" s="7" t="s">
        <v>31</v>
      </c>
      <c r="D256" s="15">
        <f>B255-B256-D255</f>
        <v>158662.31477437401</v>
      </c>
      <c r="E256" s="14"/>
      <c r="F256" s="14"/>
      <c r="G256" s="7"/>
      <c r="H256" s="7"/>
      <c r="I256" s="7"/>
      <c r="J256" s="7"/>
      <c r="K256" s="7"/>
      <c r="L256" s="7"/>
      <c r="M256" s="2"/>
      <c r="N256" s="7"/>
      <c r="O256" s="7"/>
    </row>
    <row r="258" spans="1:15" x14ac:dyDescent="0.25">
      <c r="A258" s="138" t="s">
        <v>68</v>
      </c>
      <c r="B258" s="139"/>
      <c r="C258" s="139"/>
      <c r="D258" s="22"/>
      <c r="E258" s="3"/>
      <c r="F258" s="3"/>
      <c r="G258" s="3"/>
      <c r="H258" s="3"/>
      <c r="I258" s="3"/>
      <c r="J258" s="3"/>
      <c r="K258" s="3"/>
      <c r="L258" s="3"/>
      <c r="M258" s="3"/>
      <c r="N258" s="5"/>
      <c r="O258" s="3"/>
    </row>
    <row r="259" spans="1:15" x14ac:dyDescent="0.25">
      <c r="A259" s="6" t="s">
        <v>0</v>
      </c>
      <c r="B259" s="6" t="s">
        <v>1</v>
      </c>
      <c r="C259" s="6" t="s">
        <v>2</v>
      </c>
      <c r="D259" s="6" t="s">
        <v>3</v>
      </c>
      <c r="E259" s="6" t="s">
        <v>4</v>
      </c>
      <c r="F259" s="6" t="s">
        <v>5</v>
      </c>
      <c r="G259" s="7"/>
      <c r="H259" s="7"/>
      <c r="I259" s="6" t="s">
        <v>6</v>
      </c>
      <c r="J259" s="7"/>
      <c r="K259" s="7"/>
      <c r="L259" s="7"/>
      <c r="M259" s="7"/>
      <c r="N259" s="136" t="s">
        <v>7</v>
      </c>
      <c r="O259" s="137"/>
    </row>
    <row r="260" spans="1:15" ht="15.75" x14ac:dyDescent="0.3">
      <c r="A260" s="6" t="s">
        <v>33</v>
      </c>
      <c r="B260" s="8"/>
      <c r="C260" s="8"/>
      <c r="D260" s="8"/>
      <c r="E260" s="9">
        <f t="shared" ref="E260:E267" si="50">SUM(B260:D260)</f>
        <v>0</v>
      </c>
      <c r="F260" s="10">
        <f t="shared" ref="F260:F267" si="51">E260/3</f>
        <v>0</v>
      </c>
      <c r="G260" s="7"/>
      <c r="H260" s="7"/>
      <c r="I260" s="7"/>
      <c r="J260" s="7"/>
      <c r="K260" s="7"/>
      <c r="L260" s="7"/>
      <c r="M260" s="7"/>
      <c r="N260" s="11">
        <v>1</v>
      </c>
      <c r="O260" s="12">
        <f>SUM(F260:F263)/4</f>
        <v>0</v>
      </c>
    </row>
    <row r="261" spans="1:15" x14ac:dyDescent="0.25">
      <c r="A261" s="6" t="s">
        <v>32</v>
      </c>
      <c r="B261" s="8"/>
      <c r="C261" s="8"/>
      <c r="D261" s="8"/>
      <c r="E261" s="9">
        <f t="shared" si="50"/>
        <v>0</v>
      </c>
      <c r="F261" s="10">
        <f t="shared" si="51"/>
        <v>0</v>
      </c>
      <c r="G261" s="7"/>
      <c r="H261" s="13" t="s">
        <v>8</v>
      </c>
      <c r="I261" s="13" t="s">
        <v>9</v>
      </c>
      <c r="J261" s="13" t="s">
        <v>10</v>
      </c>
      <c r="K261" s="13" t="s">
        <v>11</v>
      </c>
      <c r="L261" s="13" t="s">
        <v>12</v>
      </c>
      <c r="M261" s="7"/>
      <c r="N261" s="11">
        <v>0.75</v>
      </c>
      <c r="O261" s="12">
        <f>SUM(F264:F267)/4</f>
        <v>0</v>
      </c>
    </row>
    <row r="262" spans="1:15" ht="15.75" x14ac:dyDescent="0.3">
      <c r="A262" s="6" t="s">
        <v>34</v>
      </c>
      <c r="B262" s="8"/>
      <c r="C262" s="8"/>
      <c r="D262" s="8"/>
      <c r="E262" s="9">
        <f t="shared" si="50"/>
        <v>0</v>
      </c>
      <c r="F262" s="10">
        <f t="shared" si="51"/>
        <v>0</v>
      </c>
      <c r="G262" s="13" t="s">
        <v>13</v>
      </c>
      <c r="H262" s="7">
        <v>2</v>
      </c>
      <c r="I262" s="14">
        <f>D271</f>
        <v>0</v>
      </c>
      <c r="J262" s="14">
        <f t="shared" ref="J262:J267" si="52">I262/H262</f>
        <v>0</v>
      </c>
      <c r="K262" s="15" t="e">
        <f>J262/J267</f>
        <v>#DIV/0!</v>
      </c>
      <c r="L262" s="14">
        <f>FINV(0.05,2,14)</f>
        <v>3.7388918324407361</v>
      </c>
      <c r="M262" s="1" t="e">
        <f>IF(K262&gt;=L262,"sig","ns")</f>
        <v>#DIV/0!</v>
      </c>
      <c r="N262" s="13" t="s">
        <v>14</v>
      </c>
      <c r="O262" s="12">
        <f>SQRT(J267/(3*4))</f>
        <v>0</v>
      </c>
    </row>
    <row r="263" spans="1:15" ht="15.75" x14ac:dyDescent="0.3">
      <c r="A263" s="6" t="s">
        <v>35</v>
      </c>
      <c r="B263" s="8"/>
      <c r="C263" s="8"/>
      <c r="D263" s="8"/>
      <c r="E263" s="9">
        <f t="shared" si="50"/>
        <v>0</v>
      </c>
      <c r="F263" s="10">
        <f t="shared" si="51"/>
        <v>0</v>
      </c>
      <c r="G263" s="13" t="s">
        <v>15</v>
      </c>
      <c r="H263" s="7">
        <v>7</v>
      </c>
      <c r="I263" s="14">
        <f>B272</f>
        <v>0</v>
      </c>
      <c r="J263" s="14">
        <f t="shared" si="52"/>
        <v>0</v>
      </c>
      <c r="K263" s="15" t="e">
        <f>J263/J267</f>
        <v>#DIV/0!</v>
      </c>
      <c r="L263" s="14">
        <f>FINV(0.05,7,14)</f>
        <v>2.7641992567781792</v>
      </c>
      <c r="M263" s="1" t="e">
        <f>IF(K263&gt;=L263,"sig","ns")</f>
        <v>#DIV/0!</v>
      </c>
      <c r="N263" s="13" t="s">
        <v>16</v>
      </c>
      <c r="O263" s="12">
        <f>SQRT((2*J267)/(3*4))*L268</f>
        <v>0</v>
      </c>
    </row>
    <row r="264" spans="1:15" ht="15.75" x14ac:dyDescent="0.3">
      <c r="A264" s="6" t="s">
        <v>36</v>
      </c>
      <c r="B264" s="8"/>
      <c r="C264" s="8"/>
      <c r="D264" s="8"/>
      <c r="E264" s="9">
        <f t="shared" si="50"/>
        <v>0</v>
      </c>
      <c r="F264" s="10">
        <f t="shared" si="51"/>
        <v>0</v>
      </c>
      <c r="G264" s="7" t="s">
        <v>17</v>
      </c>
      <c r="H264" s="7">
        <v>1</v>
      </c>
      <c r="I264" s="14">
        <f>((E260+E261+E262+E263)^2+(E264+E265+E266+E267)^2)/12-B270</f>
        <v>0</v>
      </c>
      <c r="J264" s="14">
        <f t="shared" si="52"/>
        <v>0</v>
      </c>
      <c r="K264" s="15" t="e">
        <f>J264/J267</f>
        <v>#DIV/0!</v>
      </c>
      <c r="L264" s="14">
        <f>FINV(0.05,1,14)</f>
        <v>4.6001099366694227</v>
      </c>
      <c r="M264" s="1" t="e">
        <f>IF(K264&gt;=L264,"sig","ns")</f>
        <v>#DIV/0!</v>
      </c>
      <c r="N264" s="16" t="s">
        <v>18</v>
      </c>
      <c r="O264" s="12">
        <f>(F260+F264)/2</f>
        <v>0</v>
      </c>
    </row>
    <row r="265" spans="1:15" x14ac:dyDescent="0.25">
      <c r="A265" s="6" t="s">
        <v>37</v>
      </c>
      <c r="B265" s="8"/>
      <c r="C265" s="8"/>
      <c r="D265" s="8"/>
      <c r="E265" s="9">
        <f t="shared" si="50"/>
        <v>0</v>
      </c>
      <c r="F265" s="10">
        <f t="shared" si="51"/>
        <v>0</v>
      </c>
      <c r="G265" s="7" t="s">
        <v>19</v>
      </c>
      <c r="H265" s="7">
        <v>3</v>
      </c>
      <c r="I265" s="14">
        <f xml:space="preserve"> ((E260+E264)^2+(E261+E265)^2+(E262+E266)^2+(E263+E267)^2)/6-B270</f>
        <v>0</v>
      </c>
      <c r="J265" s="14">
        <f t="shared" si="52"/>
        <v>0</v>
      </c>
      <c r="K265" s="15" t="e">
        <f>J265/J267</f>
        <v>#DIV/0!</v>
      </c>
      <c r="L265" s="14">
        <f>FINV(0.05,3,14)</f>
        <v>3.3438886781189128</v>
      </c>
      <c r="M265" s="1" t="e">
        <f>IF(K265&gt;=L265,"sig","ns")</f>
        <v>#DIV/0!</v>
      </c>
      <c r="N265" s="16" t="s">
        <v>20</v>
      </c>
      <c r="O265" s="12">
        <f>(F261+F265)/2</f>
        <v>0</v>
      </c>
    </row>
    <row r="266" spans="1:15" ht="15.75" x14ac:dyDescent="0.3">
      <c r="A266" s="6" t="s">
        <v>38</v>
      </c>
      <c r="B266" s="8"/>
      <c r="C266" s="8"/>
      <c r="D266" s="8"/>
      <c r="E266" s="9">
        <f t="shared" si="50"/>
        <v>0</v>
      </c>
      <c r="F266" s="10">
        <f t="shared" si="51"/>
        <v>0</v>
      </c>
      <c r="G266" s="17" t="s">
        <v>21</v>
      </c>
      <c r="H266" s="18">
        <v>3</v>
      </c>
      <c r="I266" s="14">
        <f>(I263-(I264+I265))</f>
        <v>0</v>
      </c>
      <c r="J266" s="14">
        <f t="shared" si="52"/>
        <v>0</v>
      </c>
      <c r="K266" s="15" t="e">
        <f>J266/J267</f>
        <v>#DIV/0!</v>
      </c>
      <c r="L266" s="14">
        <f>FINV(0.05,3,14)</f>
        <v>3.3438886781189128</v>
      </c>
      <c r="M266" s="1" t="e">
        <f>IF(K266&gt;=L266,"sig","ns")</f>
        <v>#DIV/0!</v>
      </c>
      <c r="N266" s="16" t="s">
        <v>22</v>
      </c>
      <c r="O266" s="12">
        <f>(F262+F266)/2</f>
        <v>0</v>
      </c>
    </row>
    <row r="267" spans="1:15" ht="15.75" x14ac:dyDescent="0.3">
      <c r="A267" s="6" t="s">
        <v>39</v>
      </c>
      <c r="B267" s="8"/>
      <c r="C267" s="8"/>
      <c r="D267" s="8"/>
      <c r="E267" s="9">
        <f t="shared" si="50"/>
        <v>0</v>
      </c>
      <c r="F267" s="10">
        <f t="shared" si="51"/>
        <v>0</v>
      </c>
      <c r="G267" s="13" t="s">
        <v>23</v>
      </c>
      <c r="H267" s="7">
        <v>14</v>
      </c>
      <c r="I267" s="14">
        <f>D272</f>
        <v>0</v>
      </c>
      <c r="J267" s="14">
        <f t="shared" si="52"/>
        <v>0</v>
      </c>
      <c r="K267" s="14"/>
      <c r="L267" s="14"/>
      <c r="M267" s="7"/>
      <c r="N267" s="16" t="s">
        <v>24</v>
      </c>
      <c r="O267" s="12">
        <f>(F263+F267)/2</f>
        <v>0</v>
      </c>
    </row>
    <row r="268" spans="1:15" x14ac:dyDescent="0.25">
      <c r="A268" s="6" t="s">
        <v>4</v>
      </c>
      <c r="B268" s="9">
        <f>SUM(B260:B267)</f>
        <v>0</v>
      </c>
      <c r="C268" s="9">
        <f>SUM(C260:C267)</f>
        <v>0</v>
      </c>
      <c r="D268" s="9">
        <f>SUM(D260:D267)</f>
        <v>0</v>
      </c>
      <c r="E268" s="15">
        <f>SUM(E260:E267)</f>
        <v>0</v>
      </c>
      <c r="F268" s="19" t="e">
        <f>AVERAGE(B260:D267)</f>
        <v>#DIV/0!</v>
      </c>
      <c r="G268" s="13" t="s">
        <v>4</v>
      </c>
      <c r="H268" s="7">
        <v>23</v>
      </c>
      <c r="I268" s="14">
        <f>B271</f>
        <v>0</v>
      </c>
      <c r="J268" s="14"/>
      <c r="K268" s="7" t="s">
        <v>25</v>
      </c>
      <c r="L268" s="20">
        <f>TINV(0.05,14)</f>
        <v>2.1447866879178044</v>
      </c>
      <c r="M268" s="7"/>
      <c r="N268" s="13" t="s">
        <v>14</v>
      </c>
      <c r="O268" s="12">
        <f>SQRT(J267/(3*2))</f>
        <v>0</v>
      </c>
    </row>
    <row r="269" spans="1:15" x14ac:dyDescent="0.25">
      <c r="A269" s="6" t="s">
        <v>5</v>
      </c>
      <c r="B269" s="9">
        <f>B268/8</f>
        <v>0</v>
      </c>
      <c r="C269" s="9">
        <f>C268/8</f>
        <v>0</v>
      </c>
      <c r="D269" s="9">
        <f>D268/8</f>
        <v>0</v>
      </c>
      <c r="E269" s="14"/>
      <c r="F269" s="14"/>
      <c r="G269" s="13" t="s">
        <v>14</v>
      </c>
      <c r="H269" s="12">
        <f>SQRT(J267/3)</f>
        <v>0</v>
      </c>
      <c r="I269" s="7"/>
      <c r="J269" s="21"/>
      <c r="K269" s="7"/>
      <c r="L269" s="7"/>
      <c r="M269" s="7"/>
      <c r="N269" s="13" t="s">
        <v>16</v>
      </c>
      <c r="O269" s="12">
        <f>SQRT((2*J267)/(3*2))*L268</f>
        <v>0</v>
      </c>
    </row>
    <row r="270" spans="1:15" x14ac:dyDescent="0.25">
      <c r="A270" s="7" t="s">
        <v>26</v>
      </c>
      <c r="B270" s="15">
        <f>(E268*E268)/24</f>
        <v>0</v>
      </c>
      <c r="C270" s="14"/>
      <c r="D270" s="14"/>
      <c r="E270" s="14"/>
      <c r="F270" s="14"/>
      <c r="G270" s="13" t="s">
        <v>16</v>
      </c>
      <c r="H270" s="12">
        <f>(SQRT((2*J267)/3))*L268</f>
        <v>0</v>
      </c>
      <c r="I270" s="7"/>
      <c r="J270" s="7"/>
      <c r="K270" s="7"/>
      <c r="L270" s="7"/>
      <c r="M270" s="7"/>
      <c r="N270" s="7"/>
      <c r="O270" s="7"/>
    </row>
    <row r="271" spans="1:15" x14ac:dyDescent="0.25">
      <c r="A271" s="7" t="s">
        <v>27</v>
      </c>
      <c r="B271" s="15">
        <f>SUMSQ(B260:D267)-B270</f>
        <v>0</v>
      </c>
      <c r="C271" s="7" t="s">
        <v>28</v>
      </c>
      <c r="D271" s="15">
        <f>(SUMSQ(B268:D268)/8)-B270</f>
        <v>0</v>
      </c>
      <c r="E271" s="14"/>
      <c r="F271" s="14"/>
      <c r="G271" s="13" t="s">
        <v>29</v>
      </c>
      <c r="H271" s="12" t="e">
        <f>((SQRT(J267))/F268)*100</f>
        <v>#DIV/0!</v>
      </c>
      <c r="I271" s="7"/>
      <c r="J271" s="21"/>
      <c r="K271" s="7"/>
      <c r="L271" s="7"/>
      <c r="M271" s="7"/>
      <c r="N271" s="7"/>
      <c r="O271" s="7"/>
    </row>
    <row r="272" spans="1:15" x14ac:dyDescent="0.25">
      <c r="A272" s="7" t="s">
        <v>30</v>
      </c>
      <c r="B272" s="15">
        <f>(SUMSQ(E260:E267)/3)-B270</f>
        <v>0</v>
      </c>
      <c r="C272" s="7" t="s">
        <v>31</v>
      </c>
      <c r="D272" s="15">
        <f>B271-B272-D271</f>
        <v>0</v>
      </c>
      <c r="E272" s="14"/>
      <c r="F272" s="14"/>
      <c r="G272" s="7"/>
      <c r="H272" s="7"/>
      <c r="I272" s="7"/>
      <c r="J272" s="7"/>
      <c r="K272" s="7"/>
      <c r="L272" s="7"/>
      <c r="M272" s="2"/>
      <c r="N272" s="7"/>
      <c r="O272" s="7"/>
    </row>
    <row r="274" spans="1:15" x14ac:dyDescent="0.25">
      <c r="A274" s="138" t="s">
        <v>85</v>
      </c>
      <c r="B274" s="139"/>
      <c r="C274" s="139"/>
      <c r="D274" s="22"/>
      <c r="E274" s="3"/>
      <c r="F274" s="3"/>
      <c r="G274" s="3"/>
      <c r="H274" s="3"/>
      <c r="I274" s="3"/>
      <c r="J274" s="3"/>
      <c r="K274" s="3"/>
      <c r="L274" s="3"/>
      <c r="M274" s="3"/>
      <c r="N274" s="5"/>
      <c r="O274" s="3"/>
    </row>
    <row r="275" spans="1:15" x14ac:dyDescent="0.25">
      <c r="A275" s="6" t="s">
        <v>0</v>
      </c>
      <c r="B275" s="6" t="s">
        <v>1</v>
      </c>
      <c r="C275" s="6" t="s">
        <v>2</v>
      </c>
      <c r="D275" s="6" t="s">
        <v>3</v>
      </c>
      <c r="E275" s="6" t="s">
        <v>4</v>
      </c>
      <c r="F275" s="6" t="s">
        <v>5</v>
      </c>
      <c r="G275" s="7"/>
      <c r="H275" s="7"/>
      <c r="I275" s="6" t="s">
        <v>6</v>
      </c>
      <c r="J275" s="7"/>
      <c r="K275" s="7"/>
      <c r="L275" s="7"/>
      <c r="M275" s="7"/>
      <c r="N275" s="136" t="s">
        <v>7</v>
      </c>
      <c r="O275" s="137"/>
    </row>
    <row r="276" spans="1:15" ht="15.75" x14ac:dyDescent="0.3">
      <c r="A276" s="6" t="s">
        <v>33</v>
      </c>
      <c r="B276" s="8">
        <f>B244+B260</f>
        <v>469.17645662000001</v>
      </c>
      <c r="C276" s="8">
        <f>C244+C260</f>
        <v>504.20498317199997</v>
      </c>
      <c r="D276" s="8">
        <f>D244+D260</f>
        <v>412.8743484960001</v>
      </c>
      <c r="E276" s="9">
        <f t="shared" ref="E276:E283" si="53">SUM(B276:D276)</f>
        <v>1386.2557882880001</v>
      </c>
      <c r="F276" s="10">
        <f t="shared" ref="F276:F283" si="54">E276/3</f>
        <v>462.08526276266667</v>
      </c>
      <c r="G276" s="7"/>
      <c r="H276" s="7"/>
      <c r="I276" s="7"/>
      <c r="J276" s="7"/>
      <c r="K276" s="7"/>
      <c r="L276" s="7"/>
      <c r="M276" s="7"/>
      <c r="N276" s="11">
        <v>1</v>
      </c>
      <c r="O276" s="12">
        <f>SUM(F276:F279)/4</f>
        <v>386.59149529450002</v>
      </c>
    </row>
    <row r="277" spans="1:15" x14ac:dyDescent="0.25">
      <c r="A277" s="6" t="s">
        <v>32</v>
      </c>
      <c r="B277" s="8">
        <f t="shared" ref="B277:D283" si="55">B245+B261</f>
        <v>264.91394034000001</v>
      </c>
      <c r="C277" s="8">
        <f t="shared" si="55"/>
        <v>254.93898024000001</v>
      </c>
      <c r="D277" s="8">
        <f t="shared" si="55"/>
        <v>302.09879160000003</v>
      </c>
      <c r="E277" s="9">
        <f t="shared" si="53"/>
        <v>821.95171218000007</v>
      </c>
      <c r="F277" s="10">
        <f t="shared" si="54"/>
        <v>273.98390406000004</v>
      </c>
      <c r="G277" s="7"/>
      <c r="H277" s="13" t="s">
        <v>8</v>
      </c>
      <c r="I277" s="13" t="s">
        <v>9</v>
      </c>
      <c r="J277" s="13" t="s">
        <v>10</v>
      </c>
      <c r="K277" s="13" t="s">
        <v>11</v>
      </c>
      <c r="L277" s="13" t="s">
        <v>12</v>
      </c>
      <c r="M277" s="7"/>
      <c r="N277" s="11">
        <v>0.75</v>
      </c>
      <c r="O277" s="12">
        <f>SUM(F280:F283)/4</f>
        <v>399.4665271275</v>
      </c>
    </row>
    <row r="278" spans="1:15" ht="15.75" x14ac:dyDescent="0.3">
      <c r="A278" s="6" t="s">
        <v>34</v>
      </c>
      <c r="B278" s="8">
        <f t="shared" si="55"/>
        <v>160.767356928</v>
      </c>
      <c r="C278" s="8">
        <f t="shared" si="55"/>
        <v>575.32919867399994</v>
      </c>
      <c r="D278" s="8">
        <f t="shared" si="55"/>
        <v>400.19673254000003</v>
      </c>
      <c r="E278" s="9">
        <f t="shared" si="53"/>
        <v>1136.2932881419999</v>
      </c>
      <c r="F278" s="10">
        <f t="shared" si="54"/>
        <v>378.76442938066663</v>
      </c>
      <c r="G278" s="13" t="s">
        <v>13</v>
      </c>
      <c r="H278" s="7">
        <v>2</v>
      </c>
      <c r="I278" s="14">
        <f>D287</f>
        <v>48340.465092821047</v>
      </c>
      <c r="J278" s="14">
        <f t="shared" ref="J278:J283" si="56">I278/H278</f>
        <v>24170.232546410523</v>
      </c>
      <c r="K278" s="15">
        <f>J278/J283</f>
        <v>2.1327260738061571</v>
      </c>
      <c r="L278" s="14">
        <f>FINV(0.05,2,14)</f>
        <v>3.7388918324407361</v>
      </c>
      <c r="M278" s="1" t="str">
        <f>IF(K278&gt;=L278,"sig","ns")</f>
        <v>ns</v>
      </c>
      <c r="N278" s="13" t="s">
        <v>14</v>
      </c>
      <c r="O278" s="12">
        <f>SQRT(J283/(3*4))</f>
        <v>30.731393400294344</v>
      </c>
    </row>
    <row r="279" spans="1:15" ht="15.75" x14ac:dyDescent="0.3">
      <c r="A279" s="6" t="s">
        <v>35</v>
      </c>
      <c r="B279" s="8">
        <f t="shared" si="55"/>
        <v>368.989857368</v>
      </c>
      <c r="C279" s="8">
        <f t="shared" si="55"/>
        <v>512.89394841599994</v>
      </c>
      <c r="D279" s="8">
        <f t="shared" si="55"/>
        <v>412.71334913999999</v>
      </c>
      <c r="E279" s="9">
        <f t="shared" si="53"/>
        <v>1294.5971549239998</v>
      </c>
      <c r="F279" s="10">
        <f t="shared" si="54"/>
        <v>431.53238497466663</v>
      </c>
      <c r="G279" s="13" t="s">
        <v>15</v>
      </c>
      <c r="H279" s="7">
        <v>7</v>
      </c>
      <c r="I279" s="14">
        <f>B288</f>
        <v>190715.69494519383</v>
      </c>
      <c r="J279" s="14">
        <f t="shared" si="56"/>
        <v>27245.099277884834</v>
      </c>
      <c r="K279" s="15">
        <f>J279/J283</f>
        <v>2.404045285944572</v>
      </c>
      <c r="L279" s="14">
        <f>FINV(0.05,7,14)</f>
        <v>2.7641992567781792</v>
      </c>
      <c r="M279" s="1" t="str">
        <f>IF(K279&gt;=L279,"sig","ns")</f>
        <v>ns</v>
      </c>
      <c r="N279" s="13" t="s">
        <v>16</v>
      </c>
      <c r="O279" s="12">
        <f>SQRT((2*J283)/(3*4))*L284</f>
        <v>93.214045204761703</v>
      </c>
    </row>
    <row r="280" spans="1:15" ht="15.75" x14ac:dyDescent="0.3">
      <c r="A280" s="6" t="s">
        <v>36</v>
      </c>
      <c r="B280" s="8">
        <v>0</v>
      </c>
      <c r="C280" s="8">
        <f t="shared" si="55"/>
        <v>354.017083926</v>
      </c>
      <c r="D280" s="8">
        <f t="shared" si="55"/>
        <v>368.72552509199994</v>
      </c>
      <c r="E280" s="9">
        <f t="shared" si="53"/>
        <v>722.74260901799994</v>
      </c>
      <c r="F280" s="10">
        <f t="shared" si="54"/>
        <v>240.91420300599998</v>
      </c>
      <c r="G280" s="7" t="s">
        <v>17</v>
      </c>
      <c r="H280" s="7">
        <v>1</v>
      </c>
      <c r="I280" s="14">
        <f>((E276+E277+E278+E279)^2+(E280+E281+E282+E283)^2)/12-B286</f>
        <v>994.59866820462048</v>
      </c>
      <c r="J280" s="14">
        <f t="shared" si="56"/>
        <v>994.59866820462048</v>
      </c>
      <c r="K280" s="15">
        <f>J280/J283</f>
        <v>8.7761113120439938E-2</v>
      </c>
      <c r="L280" s="14">
        <f>FINV(0.05,1,14)</f>
        <v>4.6001099366694227</v>
      </c>
      <c r="M280" s="1" t="str">
        <f>IF(K280&gt;=L280,"sig","ns")</f>
        <v>ns</v>
      </c>
      <c r="N280" s="16" t="s">
        <v>18</v>
      </c>
      <c r="O280" s="12">
        <f>(F276+F280)/2</f>
        <v>351.4997328843333</v>
      </c>
    </row>
    <row r="281" spans="1:15" x14ac:dyDescent="0.25">
      <c r="A281" s="6" t="s">
        <v>37</v>
      </c>
      <c r="B281" s="8">
        <f t="shared" si="55"/>
        <v>421.22898174400007</v>
      </c>
      <c r="C281" s="8">
        <f t="shared" si="55"/>
        <v>293.92032431400003</v>
      </c>
      <c r="D281" s="8">
        <f t="shared" si="55"/>
        <v>414.85584057000005</v>
      </c>
      <c r="E281" s="9">
        <f t="shared" si="53"/>
        <v>1130.0051466280001</v>
      </c>
      <c r="F281" s="10">
        <f t="shared" si="54"/>
        <v>376.6683822093334</v>
      </c>
      <c r="G281" s="7" t="s">
        <v>19</v>
      </c>
      <c r="H281" s="7">
        <v>3</v>
      </c>
      <c r="I281" s="14">
        <f xml:space="preserve"> ((E276+E280)^2+(E277+E281)^2+(E278+E282)^2+(E279+E283)^2)/6-B286</f>
        <v>73836.419061927125</v>
      </c>
      <c r="J281" s="14">
        <f t="shared" si="56"/>
        <v>24612.139687309042</v>
      </c>
      <c r="K281" s="15">
        <f>J281/J283</f>
        <v>2.1717189498484424</v>
      </c>
      <c r="L281" s="14">
        <f>FINV(0.05,3,14)</f>
        <v>3.3438886781189128</v>
      </c>
      <c r="M281" s="1" t="str">
        <f>IF(K281&gt;=L281,"sig","ns")</f>
        <v>ns</v>
      </c>
      <c r="N281" s="16" t="s">
        <v>20</v>
      </c>
      <c r="O281" s="12">
        <f>(F277+F281)/2</f>
        <v>325.32614313466672</v>
      </c>
    </row>
    <row r="282" spans="1:15" ht="15.75" x14ac:dyDescent="0.3">
      <c r="A282" s="6" t="s">
        <v>38</v>
      </c>
      <c r="B282" s="8">
        <f t="shared" si="55"/>
        <v>523.88840443799995</v>
      </c>
      <c r="C282" s="8">
        <f t="shared" si="55"/>
        <v>457.97133477400007</v>
      </c>
      <c r="D282" s="8">
        <f t="shared" si="55"/>
        <v>543.76265827399993</v>
      </c>
      <c r="E282" s="9">
        <f t="shared" si="53"/>
        <v>1525.622397486</v>
      </c>
      <c r="F282" s="10">
        <f t="shared" si="54"/>
        <v>508.54079916199998</v>
      </c>
      <c r="G282" s="17" t="s">
        <v>21</v>
      </c>
      <c r="H282" s="18">
        <v>3</v>
      </c>
      <c r="I282" s="14">
        <f>(I279-(I280+I281))</f>
        <v>115884.67721506208</v>
      </c>
      <c r="J282" s="14">
        <f t="shared" si="56"/>
        <v>38628.225738354027</v>
      </c>
      <c r="K282" s="15">
        <f>J282/J283</f>
        <v>3.4084663463154117</v>
      </c>
      <c r="L282" s="14">
        <f>FINV(0.05,3,14)</f>
        <v>3.3438886781189128</v>
      </c>
      <c r="M282" s="1" t="str">
        <f>IF(K282&gt;=L282,"sig","ns")</f>
        <v>sig</v>
      </c>
      <c r="N282" s="16" t="s">
        <v>22</v>
      </c>
      <c r="O282" s="12">
        <f>(F278+F282)/2</f>
        <v>443.65261427133328</v>
      </c>
    </row>
    <row r="283" spans="1:15" ht="15.75" x14ac:dyDescent="0.3">
      <c r="A283" s="6" t="s">
        <v>39</v>
      </c>
      <c r="B283" s="8">
        <f t="shared" si="55"/>
        <v>430.72577709000007</v>
      </c>
      <c r="C283" s="8">
        <f t="shared" si="55"/>
        <v>492.62736281600002</v>
      </c>
      <c r="D283" s="8">
        <f t="shared" si="55"/>
        <v>491.875032492</v>
      </c>
      <c r="E283" s="9">
        <f t="shared" si="53"/>
        <v>1415.228172398</v>
      </c>
      <c r="F283" s="10">
        <f t="shared" si="54"/>
        <v>471.74272413266664</v>
      </c>
      <c r="G283" s="13" t="s">
        <v>23</v>
      </c>
      <c r="H283" s="7">
        <v>14</v>
      </c>
      <c r="I283" s="14">
        <f>D288</f>
        <v>158662.31477437401</v>
      </c>
      <c r="J283" s="14">
        <f t="shared" si="56"/>
        <v>11333.022483883859</v>
      </c>
      <c r="K283" s="14"/>
      <c r="L283" s="14"/>
      <c r="M283" s="7"/>
      <c r="N283" s="16" t="s">
        <v>24</v>
      </c>
      <c r="O283" s="12">
        <f>(F279+F283)/2</f>
        <v>451.63755455366663</v>
      </c>
    </row>
    <row r="284" spans="1:15" x14ac:dyDescent="0.25">
      <c r="A284" s="6" t="s">
        <v>4</v>
      </c>
      <c r="B284" s="9">
        <f>SUM(B276:B283)</f>
        <v>2639.690774528</v>
      </c>
      <c r="C284" s="9">
        <f>SUM(C276:C283)</f>
        <v>3445.9032163320003</v>
      </c>
      <c r="D284" s="9">
        <f>SUM(D276:D283)</f>
        <v>3347.1022782040004</v>
      </c>
      <c r="E284" s="15">
        <f>SUM(E276:E283)</f>
        <v>9432.6962690639994</v>
      </c>
      <c r="F284" s="19">
        <f>AVERAGE(B276:D283)</f>
        <v>393.02901121100007</v>
      </c>
      <c r="G284" s="13" t="s">
        <v>4</v>
      </c>
      <c r="H284" s="7">
        <v>23</v>
      </c>
      <c r="I284" s="14">
        <f>B287</f>
        <v>397718.47481238889</v>
      </c>
      <c r="J284" s="14"/>
      <c r="K284" s="7" t="s">
        <v>25</v>
      </c>
      <c r="L284" s="20">
        <f>TINV(0.05,14)</f>
        <v>2.1447866879178044</v>
      </c>
      <c r="M284" s="7"/>
      <c r="N284" s="13" t="s">
        <v>14</v>
      </c>
      <c r="O284" s="12">
        <f>SQRT(J283/(3*2))</f>
        <v>43.460753337319289</v>
      </c>
    </row>
    <row r="285" spans="1:15" x14ac:dyDescent="0.25">
      <c r="A285" s="6" t="s">
        <v>5</v>
      </c>
      <c r="B285" s="9">
        <f>B284/8</f>
        <v>329.961346816</v>
      </c>
      <c r="C285" s="9">
        <f>C284/8</f>
        <v>430.73790204150004</v>
      </c>
      <c r="D285" s="9">
        <f>D284/8</f>
        <v>418.38778477550005</v>
      </c>
      <c r="E285" s="14"/>
      <c r="F285" s="14"/>
      <c r="G285" s="13" t="s">
        <v>14</v>
      </c>
      <c r="H285" s="12">
        <f>SQRT(J283/3)</f>
        <v>61.462786800588688</v>
      </c>
      <c r="I285" s="7"/>
      <c r="J285" s="21"/>
      <c r="K285" s="7"/>
      <c r="L285" s="7"/>
      <c r="M285" s="7"/>
      <c r="N285" s="13" t="s">
        <v>16</v>
      </c>
      <c r="O285" s="12">
        <f>SQRT((2*J283)/(3*2))*L284</f>
        <v>131.82456693223276</v>
      </c>
    </row>
    <row r="286" spans="1:15" x14ac:dyDescent="0.25">
      <c r="A286" s="7" t="s">
        <v>26</v>
      </c>
      <c r="B286" s="15">
        <f>(E284*E284)/24</f>
        <v>3707323.2876839121</v>
      </c>
      <c r="C286" s="14"/>
      <c r="D286" s="14"/>
      <c r="E286" s="14"/>
      <c r="F286" s="14"/>
      <c r="G286" s="13" t="s">
        <v>16</v>
      </c>
      <c r="H286" s="12">
        <f>(SQRT((2*J283)/3))*L284</f>
        <v>186.42809040952341</v>
      </c>
      <c r="I286" s="7"/>
      <c r="J286" s="7"/>
      <c r="K286" s="7"/>
      <c r="L286" s="7"/>
      <c r="M286" s="7"/>
      <c r="N286" s="7"/>
      <c r="O286" s="7"/>
    </row>
    <row r="287" spans="1:15" x14ac:dyDescent="0.25">
      <c r="A287" s="7" t="s">
        <v>27</v>
      </c>
      <c r="B287" s="15">
        <f>SUMSQ(B276:D283)-B286</f>
        <v>397718.47481238889</v>
      </c>
      <c r="C287" s="7" t="s">
        <v>28</v>
      </c>
      <c r="D287" s="15">
        <f>(SUMSQ(B284:D284)/8)-B286</f>
        <v>48340.465092821047</v>
      </c>
      <c r="E287" s="14"/>
      <c r="F287" s="14"/>
      <c r="G287" s="13" t="s">
        <v>29</v>
      </c>
      <c r="H287" s="12">
        <f>((SQRT(J283))/F284)*100</f>
        <v>27.086211571349235</v>
      </c>
      <c r="I287" s="7"/>
      <c r="J287" s="21"/>
      <c r="K287" s="7"/>
      <c r="L287" s="7"/>
      <c r="M287" s="7"/>
      <c r="N287" s="7"/>
      <c r="O287" s="7"/>
    </row>
    <row r="288" spans="1:15" x14ac:dyDescent="0.25">
      <c r="A288" s="7" t="s">
        <v>30</v>
      </c>
      <c r="B288" s="15">
        <f>(SUMSQ(E276:E283)/3)-B286</f>
        <v>190715.69494519383</v>
      </c>
      <c r="C288" s="7" t="s">
        <v>31</v>
      </c>
      <c r="D288" s="15">
        <f>B287-B288-D287</f>
        <v>158662.31477437401</v>
      </c>
      <c r="E288" s="14"/>
      <c r="F288" s="14"/>
      <c r="G288" s="7"/>
      <c r="H288" s="7"/>
      <c r="I288" s="7"/>
      <c r="J288" s="7"/>
      <c r="K288" s="7"/>
      <c r="L288" s="7"/>
      <c r="M288" s="2"/>
      <c r="N288" s="7"/>
      <c r="O288" s="7"/>
    </row>
  </sheetData>
  <mergeCells count="36">
    <mergeCell ref="A34:C34"/>
    <mergeCell ref="B1:G1"/>
    <mergeCell ref="A2:C2"/>
    <mergeCell ref="N3:O3"/>
    <mergeCell ref="A18:C18"/>
    <mergeCell ref="N19:O19"/>
    <mergeCell ref="N35:O35"/>
    <mergeCell ref="N51:O51"/>
    <mergeCell ref="A66:C66"/>
    <mergeCell ref="N67:O67"/>
    <mergeCell ref="A98:C98"/>
    <mergeCell ref="A82:C82"/>
    <mergeCell ref="N83:O83"/>
    <mergeCell ref="N275:O275"/>
    <mergeCell ref="N259:O259"/>
    <mergeCell ref="N211:O211"/>
    <mergeCell ref="A226:C226"/>
    <mergeCell ref="N227:O227"/>
    <mergeCell ref="A242:C242"/>
    <mergeCell ref="N243:O243"/>
    <mergeCell ref="A258:C258"/>
    <mergeCell ref="N99:O99"/>
    <mergeCell ref="A114:C114"/>
    <mergeCell ref="N115:O115"/>
    <mergeCell ref="N179:O179"/>
    <mergeCell ref="A274:C274"/>
    <mergeCell ref="A210:C210"/>
    <mergeCell ref="N163:O163"/>
    <mergeCell ref="A194:C194"/>
    <mergeCell ref="N195:O195"/>
    <mergeCell ref="A130:C130"/>
    <mergeCell ref="N131:O131"/>
    <mergeCell ref="A146:C146"/>
    <mergeCell ref="N147:O147"/>
    <mergeCell ref="A162:C162"/>
    <mergeCell ref="A178:C178"/>
  </mergeCells>
  <pageMargins left="0.7" right="0.7" top="0.75" bottom="0.75" header="0.3" footer="0.3"/>
  <pageSetup scale="5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1"/>
  <sheetViews>
    <sheetView topLeftCell="E1" workbookViewId="0">
      <selection activeCell="G6" sqref="B2:U11"/>
    </sheetView>
  </sheetViews>
  <sheetFormatPr defaultRowHeight="15" x14ac:dyDescent="0.25"/>
  <cols>
    <col min="3" max="3" width="15.28515625" bestFit="1" customWidth="1"/>
    <col min="4" max="4" width="15.5703125" bestFit="1" customWidth="1"/>
    <col min="5" max="5" width="16" bestFit="1" customWidth="1"/>
    <col min="6" max="6" width="12.7109375" bestFit="1" customWidth="1"/>
    <col min="7" max="7" width="24.28515625" bestFit="1" customWidth="1"/>
    <col min="8" max="8" width="12.28515625" bestFit="1" customWidth="1"/>
    <col min="9" max="9" width="14.7109375" bestFit="1" customWidth="1"/>
    <col min="10" max="10" width="37.7109375" bestFit="1" customWidth="1"/>
    <col min="11" max="11" width="12" bestFit="1" customWidth="1"/>
    <col min="12" max="12" width="24.140625" bestFit="1" customWidth="1"/>
    <col min="13" max="13" width="15.28515625" bestFit="1" customWidth="1"/>
    <col min="14" max="14" width="17.28515625" bestFit="1" customWidth="1"/>
    <col min="15" max="15" width="19.140625" bestFit="1" customWidth="1"/>
    <col min="16" max="16" width="22.140625" bestFit="1" customWidth="1"/>
    <col min="17" max="17" width="25.7109375" bestFit="1" customWidth="1"/>
    <col min="18" max="18" width="25.42578125" bestFit="1" customWidth="1"/>
    <col min="19" max="19" width="25.5703125" bestFit="1" customWidth="1"/>
    <col min="20" max="20" width="18.5703125" bestFit="1" customWidth="1"/>
    <col min="21" max="21" width="12" bestFit="1" customWidth="1"/>
  </cols>
  <sheetData>
    <row r="2" spans="2:21" x14ac:dyDescent="0.25">
      <c r="B2" s="28"/>
      <c r="C2" s="142" t="s">
        <v>69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28"/>
      <c r="Q2" s="28"/>
      <c r="R2" s="28"/>
      <c r="S2" s="28"/>
      <c r="T2" s="28"/>
      <c r="U2" s="28"/>
    </row>
    <row r="3" spans="2:21" ht="17.25" x14ac:dyDescent="0.25">
      <c r="B3" s="27" t="s">
        <v>41</v>
      </c>
      <c r="C3" s="27" t="s">
        <v>15</v>
      </c>
      <c r="D3" s="27" t="s">
        <v>42</v>
      </c>
      <c r="E3" s="27" t="s">
        <v>43</v>
      </c>
      <c r="F3" s="27" t="s">
        <v>44</v>
      </c>
      <c r="G3" s="27" t="s">
        <v>45</v>
      </c>
      <c r="H3" s="27" t="s">
        <v>46</v>
      </c>
      <c r="I3" s="27" t="s">
        <v>47</v>
      </c>
      <c r="J3" s="27" t="s">
        <v>48</v>
      </c>
      <c r="K3" s="27" t="s">
        <v>49</v>
      </c>
      <c r="L3" s="27" t="s">
        <v>76</v>
      </c>
      <c r="M3" s="27" t="s">
        <v>50</v>
      </c>
      <c r="N3" s="27" t="s">
        <v>51</v>
      </c>
      <c r="O3" s="27" t="s">
        <v>52</v>
      </c>
      <c r="P3" s="27" t="s">
        <v>77</v>
      </c>
      <c r="Q3" s="27" t="s">
        <v>78</v>
      </c>
      <c r="R3" s="27" t="s">
        <v>82</v>
      </c>
      <c r="S3" s="27" t="s">
        <v>79</v>
      </c>
      <c r="T3" s="27" t="s">
        <v>80</v>
      </c>
      <c r="U3" s="27" t="s">
        <v>81</v>
      </c>
    </row>
    <row r="4" spans="2:21" ht="18" x14ac:dyDescent="0.35">
      <c r="B4" s="28">
        <v>1</v>
      </c>
      <c r="C4" s="28" t="s">
        <v>70</v>
      </c>
      <c r="D4" s="29">
        <v>6000</v>
      </c>
      <c r="E4" s="28">
        <v>4220</v>
      </c>
      <c r="F4" s="29">
        <f>17686.2</f>
        <v>17686.2</v>
      </c>
      <c r="G4" s="28">
        <v>1000</v>
      </c>
      <c r="H4" s="28">
        <v>3900</v>
      </c>
      <c r="I4" s="28">
        <v>3460</v>
      </c>
      <c r="J4" s="28">
        <v>16000</v>
      </c>
      <c r="K4" s="28">
        <f>P4*0.5</f>
        <v>3306.8783068783068</v>
      </c>
      <c r="L4" s="28">
        <v>5412.9</v>
      </c>
      <c r="M4" s="28">
        <v>1500</v>
      </c>
      <c r="N4" s="28">
        <v>9600</v>
      </c>
      <c r="O4" s="28">
        <f>D4+E4+F4+G4+H4+I11+J4+K4+L4+N4</f>
        <v>70585.9783068783</v>
      </c>
      <c r="P4" s="28">
        <v>6613.7566137566137</v>
      </c>
      <c r="Q4" s="28">
        <f>(P4*1425)/100</f>
        <v>94246.03174603176</v>
      </c>
      <c r="R4" s="28">
        <v>3500</v>
      </c>
      <c r="S4" s="28">
        <f t="shared" ref="S4:S11" si="0">SUM(Q4:R4)</f>
        <v>97746.03174603176</v>
      </c>
      <c r="T4" s="28">
        <f t="shared" ref="T4:T11" si="1">S4-O4</f>
        <v>27160.05343915346</v>
      </c>
      <c r="U4" s="28">
        <f t="shared" ref="U4:U11" si="2">S4/O4</f>
        <v>1.3847797266628921</v>
      </c>
    </row>
    <row r="5" spans="2:21" ht="15.75" x14ac:dyDescent="0.25">
      <c r="B5" s="28">
        <v>2</v>
      </c>
      <c r="C5" s="28" t="s">
        <v>32</v>
      </c>
      <c r="D5" s="29">
        <v>6000</v>
      </c>
      <c r="E5" s="28">
        <v>4220</v>
      </c>
      <c r="F5" s="29">
        <f>17686.2+500</f>
        <v>18186.2</v>
      </c>
      <c r="G5" s="28">
        <v>1000</v>
      </c>
      <c r="H5" s="28">
        <v>3900</v>
      </c>
      <c r="I5" s="28">
        <v>3460</v>
      </c>
      <c r="J5" s="28">
        <v>16000</v>
      </c>
      <c r="K5" s="28">
        <f t="shared" ref="K5:K11" si="3">P5*0.5</f>
        <v>3844.2460317460318</v>
      </c>
      <c r="L5" s="28">
        <v>5412.9</v>
      </c>
      <c r="M5" s="28">
        <v>1500</v>
      </c>
      <c r="N5" s="28">
        <v>9600</v>
      </c>
      <c r="O5" s="28">
        <f>D5+E5+F5+G5+H5+I5+J5+K5+L5+N5</f>
        <v>71623.346031746041</v>
      </c>
      <c r="P5" s="28">
        <v>7688.4920634920636</v>
      </c>
      <c r="Q5" s="28">
        <f t="shared" ref="Q5:Q11" si="4">(P5*1425)/100</f>
        <v>109561.01190476191</v>
      </c>
      <c r="R5" s="28">
        <v>3500</v>
      </c>
      <c r="S5" s="28">
        <f t="shared" si="0"/>
        <v>113061.01190476191</v>
      </c>
      <c r="T5" s="28">
        <f t="shared" si="1"/>
        <v>41437.665873015867</v>
      </c>
      <c r="U5" s="28">
        <f t="shared" si="2"/>
        <v>1.5785497071673977</v>
      </c>
    </row>
    <row r="6" spans="2:21" ht="18" x14ac:dyDescent="0.35">
      <c r="B6" s="28">
        <v>3</v>
      </c>
      <c r="C6" s="28" t="s">
        <v>71</v>
      </c>
      <c r="D6" s="29">
        <v>6000</v>
      </c>
      <c r="E6" s="28">
        <v>4220</v>
      </c>
      <c r="F6" s="29">
        <f>17686.2+500</f>
        <v>18186.2</v>
      </c>
      <c r="G6" s="28">
        <v>1000</v>
      </c>
      <c r="H6" s="28">
        <v>3900</v>
      </c>
      <c r="I6" s="28">
        <v>3460</v>
      </c>
      <c r="J6" s="28">
        <v>16000</v>
      </c>
      <c r="K6" s="28">
        <f t="shared" si="3"/>
        <v>3893.8492063492067</v>
      </c>
      <c r="L6" s="28">
        <v>5412.9</v>
      </c>
      <c r="M6" s="28">
        <v>1500</v>
      </c>
      <c r="N6" s="28">
        <v>9600</v>
      </c>
      <c r="O6" s="28">
        <f>D6+E6+F6+G6+H6+I6+J6+K6+L6+N6</f>
        <v>71672.949206349207</v>
      </c>
      <c r="P6" s="28">
        <v>7787.6984126984134</v>
      </c>
      <c r="Q6" s="28">
        <f t="shared" si="4"/>
        <v>110974.70238095238</v>
      </c>
      <c r="R6" s="28">
        <v>3500</v>
      </c>
      <c r="S6" s="28">
        <f t="shared" si="0"/>
        <v>114474.70238095238</v>
      </c>
      <c r="T6" s="28">
        <f t="shared" si="1"/>
        <v>42801.753174603175</v>
      </c>
      <c r="U6" s="28">
        <f t="shared" si="2"/>
        <v>1.5971814143070249</v>
      </c>
    </row>
    <row r="7" spans="2:21" ht="18" x14ac:dyDescent="0.35">
      <c r="B7" s="28">
        <v>4</v>
      </c>
      <c r="C7" s="28" t="s">
        <v>72</v>
      </c>
      <c r="D7" s="29">
        <v>6000</v>
      </c>
      <c r="E7" s="28">
        <v>4220</v>
      </c>
      <c r="F7" s="29">
        <f>17686.2+500</f>
        <v>18186.2</v>
      </c>
      <c r="G7" s="28">
        <v>1000</v>
      </c>
      <c r="H7" s="28">
        <v>3900</v>
      </c>
      <c r="I7" s="28">
        <v>3460</v>
      </c>
      <c r="J7" s="28">
        <v>16000</v>
      </c>
      <c r="K7" s="28">
        <f t="shared" si="3"/>
        <v>4067.460317460318</v>
      </c>
      <c r="L7" s="28">
        <v>5412.9</v>
      </c>
      <c r="M7" s="28">
        <v>1500</v>
      </c>
      <c r="N7" s="28">
        <v>9600</v>
      </c>
      <c r="O7" s="28">
        <f>D7+E7+F7+G7+H7+I7+J7+K7+L7+N7</f>
        <v>71846.560317460317</v>
      </c>
      <c r="P7" s="28">
        <v>8134.9206349206361</v>
      </c>
      <c r="Q7" s="28">
        <f t="shared" si="4"/>
        <v>115922.61904761907</v>
      </c>
      <c r="R7" s="28">
        <v>3500</v>
      </c>
      <c r="S7" s="28">
        <f t="shared" si="0"/>
        <v>119422.61904761907</v>
      </c>
      <c r="T7" s="28">
        <f t="shared" si="1"/>
        <v>47576.058730158751</v>
      </c>
      <c r="U7" s="28">
        <f t="shared" si="2"/>
        <v>1.662189790575078</v>
      </c>
    </row>
    <row r="8" spans="2:21" ht="18" x14ac:dyDescent="0.35">
      <c r="B8" s="28">
        <v>5</v>
      </c>
      <c r="C8" s="28" t="s">
        <v>73</v>
      </c>
      <c r="D8" s="29">
        <v>6000</v>
      </c>
      <c r="E8" s="28">
        <v>4220</v>
      </c>
      <c r="F8" s="29">
        <v>13264.8</v>
      </c>
      <c r="G8" s="28">
        <v>1000</v>
      </c>
      <c r="H8" s="28">
        <v>3900</v>
      </c>
      <c r="I8" s="28">
        <v>3460</v>
      </c>
      <c r="J8" s="28">
        <v>16000</v>
      </c>
      <c r="K8" s="28">
        <f t="shared" si="3"/>
        <v>3348.2142857142858</v>
      </c>
      <c r="L8" s="28">
        <v>5412.9</v>
      </c>
      <c r="M8" s="28">
        <v>1500</v>
      </c>
      <c r="N8" s="28">
        <v>9600</v>
      </c>
      <c r="O8" s="28">
        <f>SUM(D8,E8,F8,G8,H8,I8,J8,L8,M8,N8,)</f>
        <v>64357.700000000004</v>
      </c>
      <c r="P8" s="28">
        <v>6696.4285714285716</v>
      </c>
      <c r="Q8" s="28">
        <f t="shared" si="4"/>
        <v>95424.107142857145</v>
      </c>
      <c r="R8" s="28">
        <v>3500</v>
      </c>
      <c r="S8" s="28">
        <f t="shared" si="0"/>
        <v>98924.107142857145</v>
      </c>
      <c r="T8" s="28">
        <f t="shared" si="1"/>
        <v>34566.407142857141</v>
      </c>
      <c r="U8" s="28">
        <f t="shared" si="2"/>
        <v>1.5370982359975129</v>
      </c>
    </row>
    <row r="9" spans="2:21" ht="15.75" x14ac:dyDescent="0.25">
      <c r="B9" s="28">
        <v>6</v>
      </c>
      <c r="C9" s="28" t="s">
        <v>37</v>
      </c>
      <c r="D9" s="29">
        <v>6000</v>
      </c>
      <c r="E9" s="28">
        <v>4220</v>
      </c>
      <c r="F9" s="29">
        <f>13264.8+500</f>
        <v>13764.8</v>
      </c>
      <c r="G9" s="28">
        <v>1000</v>
      </c>
      <c r="H9" s="28">
        <v>3900</v>
      </c>
      <c r="I9" s="28">
        <v>3460</v>
      </c>
      <c r="J9" s="28">
        <v>16000</v>
      </c>
      <c r="K9" s="28">
        <f t="shared" si="3"/>
        <v>3348.2142857142858</v>
      </c>
      <c r="L9" s="28">
        <v>5412.9</v>
      </c>
      <c r="M9" s="28">
        <v>1500</v>
      </c>
      <c r="N9" s="28">
        <v>9600</v>
      </c>
      <c r="O9" s="28">
        <f>SUM(D9,E9,F9,G9,H9,I9,J9,L9,M9,N9,)</f>
        <v>64857.700000000004</v>
      </c>
      <c r="P9" s="28">
        <v>6696.4285714285716</v>
      </c>
      <c r="Q9" s="28">
        <f t="shared" si="4"/>
        <v>95424.107142857145</v>
      </c>
      <c r="R9" s="28">
        <v>3500</v>
      </c>
      <c r="S9" s="28">
        <f t="shared" si="0"/>
        <v>98924.107142857145</v>
      </c>
      <c r="T9" s="28">
        <f t="shared" si="1"/>
        <v>34066.407142857141</v>
      </c>
      <c r="U9" s="28">
        <f t="shared" si="2"/>
        <v>1.5252484615220265</v>
      </c>
    </row>
    <row r="10" spans="2:21" ht="18" x14ac:dyDescent="0.35">
      <c r="B10" s="28">
        <v>7</v>
      </c>
      <c r="C10" s="28" t="s">
        <v>74</v>
      </c>
      <c r="D10" s="29">
        <v>6000</v>
      </c>
      <c r="E10" s="28">
        <v>4220</v>
      </c>
      <c r="F10" s="29">
        <f>13264.8+500</f>
        <v>13764.8</v>
      </c>
      <c r="G10" s="28">
        <v>1000</v>
      </c>
      <c r="H10" s="28">
        <v>3900</v>
      </c>
      <c r="I10" s="28">
        <v>3460</v>
      </c>
      <c r="J10" s="28">
        <v>16000</v>
      </c>
      <c r="K10" s="28">
        <f t="shared" si="3"/>
        <v>3968.2539682539682</v>
      </c>
      <c r="L10" s="28">
        <v>5412.9</v>
      </c>
      <c r="M10" s="28">
        <v>1500</v>
      </c>
      <c r="N10" s="28">
        <v>9600</v>
      </c>
      <c r="O10" s="28">
        <f>SUM(D10,E10,F10,G10,H10,I10,J10,L10,M10,N10,)</f>
        <v>64857.700000000004</v>
      </c>
      <c r="P10" s="28">
        <v>7936.5079365079364</v>
      </c>
      <c r="Q10" s="28">
        <f t="shared" si="4"/>
        <v>113095.23809523809</v>
      </c>
      <c r="R10" s="28">
        <v>3500</v>
      </c>
      <c r="S10" s="28">
        <f t="shared" si="0"/>
        <v>116595.23809523809</v>
      </c>
      <c r="T10" s="28">
        <f t="shared" si="1"/>
        <v>51737.538095238087</v>
      </c>
      <c r="U10" s="28">
        <f t="shared" si="2"/>
        <v>1.7977084925188234</v>
      </c>
    </row>
    <row r="11" spans="2:21" ht="18" x14ac:dyDescent="0.35">
      <c r="B11" s="28">
        <v>8</v>
      </c>
      <c r="C11" s="28" t="s">
        <v>75</v>
      </c>
      <c r="D11" s="29">
        <v>6000</v>
      </c>
      <c r="E11" s="28">
        <v>4220</v>
      </c>
      <c r="F11" s="29">
        <f>13264.8+500</f>
        <v>13764.8</v>
      </c>
      <c r="G11" s="28">
        <v>1000</v>
      </c>
      <c r="H11" s="28">
        <v>3900</v>
      </c>
      <c r="I11" s="28">
        <v>3460</v>
      </c>
      <c r="J11" s="28">
        <v>16000</v>
      </c>
      <c r="K11" s="28">
        <f t="shared" si="3"/>
        <v>4092.2619047619046</v>
      </c>
      <c r="L11" s="28">
        <v>5412.9</v>
      </c>
      <c r="M11" s="28">
        <v>1500</v>
      </c>
      <c r="N11" s="28">
        <v>9600</v>
      </c>
      <c r="O11" s="28">
        <f>SUM(D11,E11,F11,G11,H11,I11,J11,L11,M11,N11,)</f>
        <v>64857.700000000004</v>
      </c>
      <c r="P11" s="28">
        <v>8184.5238095238092</v>
      </c>
      <c r="Q11" s="28">
        <f t="shared" si="4"/>
        <v>116629.46428571428</v>
      </c>
      <c r="R11" s="28">
        <v>3500</v>
      </c>
      <c r="S11" s="28">
        <f t="shared" si="0"/>
        <v>120129.46428571428</v>
      </c>
      <c r="T11" s="28">
        <f t="shared" si="1"/>
        <v>55271.764285714271</v>
      </c>
      <c r="U11" s="28">
        <f t="shared" si="2"/>
        <v>1.8522004987181826</v>
      </c>
    </row>
  </sheetData>
  <mergeCells count="1">
    <mergeCell ref="C2:O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56"/>
  <sheetViews>
    <sheetView topLeftCell="A130" workbookViewId="0">
      <selection activeCell="A233" sqref="A233:D251"/>
    </sheetView>
  </sheetViews>
  <sheetFormatPr defaultColWidth="8.85546875" defaultRowHeight="15" x14ac:dyDescent="0.25"/>
  <cols>
    <col min="1" max="1" width="17.7109375" style="37" bestFit="1" customWidth="1"/>
    <col min="2" max="2" width="11.140625" style="41" bestFit="1" customWidth="1"/>
    <col min="3" max="3" width="11.42578125" style="41" customWidth="1"/>
    <col min="4" max="6" width="9.140625" style="41" bestFit="1" customWidth="1"/>
    <col min="7" max="7" width="10.7109375" style="41" bestFit="1" customWidth="1"/>
    <col min="8" max="8" width="9.140625" style="41" bestFit="1" customWidth="1"/>
    <col min="9" max="9" width="13.42578125" style="41" customWidth="1"/>
    <col min="10" max="10" width="11.28515625" style="41" bestFit="1" customWidth="1"/>
    <col min="11" max="11" width="10.28515625" style="41" bestFit="1" customWidth="1"/>
    <col min="12" max="12" width="9.140625" style="41" bestFit="1" customWidth="1"/>
    <col min="13" max="13" width="9.5703125" style="41" bestFit="1" customWidth="1"/>
    <col min="14" max="14" width="9.5703125" style="41" customWidth="1"/>
    <col min="15" max="15" width="9.140625" style="41" bestFit="1" customWidth="1"/>
    <col min="16" max="16" width="12.28515625" style="41" bestFit="1" customWidth="1"/>
    <col min="17" max="17" width="9.85546875" style="37" customWidth="1"/>
    <col min="18" max="16384" width="8.85546875" style="37"/>
  </cols>
  <sheetData>
    <row r="2" spans="1:21" x14ac:dyDescent="0.25">
      <c r="C2" s="66">
        <v>2019</v>
      </c>
    </row>
    <row r="3" spans="1:21" x14ac:dyDescent="0.25">
      <c r="C3" s="48" t="s">
        <v>152</v>
      </c>
    </row>
    <row r="5" spans="1:21" x14ac:dyDescent="0.25">
      <c r="A5" s="36" t="s">
        <v>104</v>
      </c>
      <c r="B5" s="38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9"/>
      <c r="P5" s="39"/>
    </row>
    <row r="6" spans="1:21" x14ac:dyDescent="0.25">
      <c r="A6" s="36" t="s">
        <v>105</v>
      </c>
      <c r="B6" s="38">
        <v>9</v>
      </c>
      <c r="C6" s="39" t="s">
        <v>107</v>
      </c>
      <c r="D6" s="39">
        <v>18</v>
      </c>
      <c r="E6" s="39"/>
      <c r="F6" s="39"/>
      <c r="G6" s="39"/>
      <c r="H6" s="39"/>
      <c r="I6" s="39"/>
      <c r="J6" s="39"/>
      <c r="K6" s="39"/>
      <c r="L6" s="39"/>
      <c r="M6" s="35"/>
      <c r="N6" s="35"/>
      <c r="O6" s="39"/>
      <c r="P6" s="39"/>
    </row>
    <row r="7" spans="1:21" x14ac:dyDescent="0.25">
      <c r="A7" s="37" t="s">
        <v>106</v>
      </c>
      <c r="B7" s="40">
        <v>3</v>
      </c>
    </row>
    <row r="8" spans="1:21" x14ac:dyDescent="0.25">
      <c r="A8" s="46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30" t="s">
        <v>5</v>
      </c>
      <c r="O8" s="41" t="s">
        <v>7</v>
      </c>
      <c r="S8" s="53"/>
      <c r="T8" s="53"/>
      <c r="U8" s="53"/>
    </row>
    <row r="9" spans="1:21" x14ac:dyDescent="0.25">
      <c r="A9" s="32" t="s">
        <v>86</v>
      </c>
      <c r="B9" s="55">
        <v>133.31</v>
      </c>
      <c r="C9" s="55">
        <v>166.45</v>
      </c>
      <c r="D9" s="55">
        <v>174.09</v>
      </c>
      <c r="E9" s="31">
        <f t="shared" ref="E9:E26" si="0">SUM(B9:D9)</f>
        <v>473.85</v>
      </c>
      <c r="F9" s="31">
        <f>E9/3</f>
        <v>157.95000000000002</v>
      </c>
      <c r="H9" s="47"/>
      <c r="I9" s="47"/>
      <c r="J9" s="47" t="s">
        <v>6</v>
      </c>
      <c r="K9" s="47"/>
      <c r="L9" s="47"/>
      <c r="M9" s="47"/>
      <c r="N9" s="47"/>
      <c r="O9" s="33">
        <v>1</v>
      </c>
      <c r="P9" s="31">
        <f>SUM(F9:F17)/9</f>
        <v>245.12851851851849</v>
      </c>
      <c r="Q9" s="49">
        <f>RANK(P9,P$9:P$10,0)</f>
        <v>1</v>
      </c>
      <c r="S9" s="53"/>
      <c r="T9" s="53"/>
      <c r="U9" s="53"/>
    </row>
    <row r="10" spans="1:21" x14ac:dyDescent="0.25">
      <c r="A10" s="32" t="s">
        <v>87</v>
      </c>
      <c r="B10" s="55">
        <v>236.06</v>
      </c>
      <c r="C10" s="55">
        <v>253.39</v>
      </c>
      <c r="D10" s="55">
        <v>267.08</v>
      </c>
      <c r="E10" s="31">
        <f t="shared" si="0"/>
        <v>756.53</v>
      </c>
      <c r="F10" s="31">
        <f t="shared" ref="F10:F26" si="1">E10/3</f>
        <v>252.17666666666665</v>
      </c>
      <c r="G10" s="31"/>
      <c r="H10" s="30" t="s">
        <v>8</v>
      </c>
      <c r="I10" s="30" t="s">
        <v>9</v>
      </c>
      <c r="J10" s="30" t="s">
        <v>10</v>
      </c>
      <c r="K10" s="30" t="s">
        <v>11</v>
      </c>
      <c r="L10" s="30" t="s">
        <v>12</v>
      </c>
      <c r="M10" s="30" t="s">
        <v>112</v>
      </c>
      <c r="N10" s="50"/>
      <c r="O10" s="33">
        <v>2</v>
      </c>
      <c r="P10" s="31">
        <f>SUM(F18:F26)/9</f>
        <v>235.2674074074074</v>
      </c>
      <c r="Q10" s="49">
        <f>RANK(P10,P$9:P$10,0)</f>
        <v>2</v>
      </c>
      <c r="S10" s="53"/>
      <c r="T10" s="53"/>
      <c r="U10" s="53"/>
    </row>
    <row r="11" spans="1:21" x14ac:dyDescent="0.25">
      <c r="A11" s="32" t="s">
        <v>88</v>
      </c>
      <c r="B11" s="55">
        <v>249.07999999999998</v>
      </c>
      <c r="C11" s="55">
        <v>269.06</v>
      </c>
      <c r="D11" s="55">
        <v>303.48</v>
      </c>
      <c r="E11" s="31">
        <f t="shared" si="0"/>
        <v>821.62</v>
      </c>
      <c r="F11" s="31">
        <f t="shared" si="1"/>
        <v>273.87333333333333</v>
      </c>
      <c r="G11" s="31" t="s">
        <v>13</v>
      </c>
      <c r="H11" s="31">
        <f>B7-1</f>
        <v>2</v>
      </c>
      <c r="I11" s="31">
        <f>D30</f>
        <v>14821.980992591474</v>
      </c>
      <c r="J11" s="31">
        <f>I11/H11</f>
        <v>7410.9904962957371</v>
      </c>
      <c r="K11" s="31">
        <f>J11/$J$16</f>
        <v>45.239446983142393</v>
      </c>
      <c r="L11" s="31">
        <f>FINV(0.05,H11,$H$16)</f>
        <v>3.275897990672394</v>
      </c>
      <c r="M11" s="31" t="str">
        <f>IF(K11&gt;=L11, "S", "NS")</f>
        <v>S</v>
      </c>
      <c r="N11" s="39"/>
      <c r="O11" s="30" t="s">
        <v>14</v>
      </c>
      <c r="P11" s="42">
        <f>SQRT(J16/(3*9))</f>
        <v>2.4631882397346692</v>
      </c>
      <c r="S11" s="53"/>
      <c r="T11" s="53"/>
      <c r="U11" s="53"/>
    </row>
    <row r="12" spans="1:21" x14ac:dyDescent="0.25">
      <c r="A12" s="32" t="s">
        <v>89</v>
      </c>
      <c r="B12" s="55">
        <v>207.68</v>
      </c>
      <c r="C12" s="55">
        <v>241.85</v>
      </c>
      <c r="D12" s="55">
        <v>266.08</v>
      </c>
      <c r="E12" s="31">
        <f t="shared" si="0"/>
        <v>715.6099999999999</v>
      </c>
      <c r="F12" s="31">
        <f t="shared" si="1"/>
        <v>238.53666666666663</v>
      </c>
      <c r="G12" s="31" t="s">
        <v>15</v>
      </c>
      <c r="H12" s="31">
        <f>D6-1</f>
        <v>17</v>
      </c>
      <c r="I12" s="31">
        <f>B31</f>
        <v>57908.399675925262</v>
      </c>
      <c r="J12" s="31">
        <f t="shared" ref="J12:J16" si="2">I12/H12</f>
        <v>3406.3764515250155</v>
      </c>
      <c r="K12" s="31">
        <f>J12/$J$16</f>
        <v>20.793790919097294</v>
      </c>
      <c r="L12" s="31">
        <f>FINV(0.05,H12,$H$16)</f>
        <v>1.9332068318040869</v>
      </c>
      <c r="M12" s="43" t="str">
        <f t="shared" ref="M12:M15" si="3">IF(K12&gt;=L12, "S", "NS")</f>
        <v>S</v>
      </c>
      <c r="N12" s="30" t="s">
        <v>113</v>
      </c>
      <c r="O12" s="30" t="s">
        <v>16</v>
      </c>
      <c r="P12" s="42">
        <f>SQRT((2*J16)/(3*9))*L17</f>
        <v>7.0792713474149789</v>
      </c>
      <c r="S12" s="53"/>
      <c r="T12" s="53"/>
      <c r="U12" s="53"/>
    </row>
    <row r="13" spans="1:21" x14ac:dyDescent="0.25">
      <c r="A13" s="32" t="s">
        <v>90</v>
      </c>
      <c r="B13" s="55">
        <v>243.18</v>
      </c>
      <c r="C13" s="55">
        <v>261.06</v>
      </c>
      <c r="D13" s="55">
        <v>278.98</v>
      </c>
      <c r="E13" s="31">
        <f t="shared" si="0"/>
        <v>783.22</v>
      </c>
      <c r="F13" s="31">
        <f t="shared" si="1"/>
        <v>261.07333333333332</v>
      </c>
      <c r="G13" s="31" t="s">
        <v>108</v>
      </c>
      <c r="H13" s="31">
        <f>B5-1</f>
        <v>1</v>
      </c>
      <c r="I13" s="31">
        <f>(SUM(E9:E17)^2+SUM(E18:E26)^2)/27-B29</f>
        <v>1312.7604166660458</v>
      </c>
      <c r="J13" s="31">
        <f t="shared" si="2"/>
        <v>1312.7604166660458</v>
      </c>
      <c r="K13" s="31">
        <f>J13/$J$16</f>
        <v>8.0135786574029346</v>
      </c>
      <c r="L13" s="31">
        <f>FINV(0.05,H13,$H$16)</f>
        <v>4.1300177456520188</v>
      </c>
      <c r="M13" s="31" t="str">
        <f>IF(K13&gt;=L13, "S", "NS")</f>
        <v>S</v>
      </c>
      <c r="N13" s="39"/>
      <c r="O13" s="33">
        <v>1</v>
      </c>
      <c r="P13" s="31">
        <f>(F9+F18)/2</f>
        <v>157.61000000000001</v>
      </c>
      <c r="Q13" s="49">
        <f>RANK(P13,P$13:P$21,0)</f>
        <v>9</v>
      </c>
      <c r="R13" s="51">
        <v>9</v>
      </c>
      <c r="S13" s="54"/>
      <c r="T13" s="54"/>
      <c r="U13" s="54"/>
    </row>
    <row r="14" spans="1:21" x14ac:dyDescent="0.25">
      <c r="A14" s="32" t="s">
        <v>91</v>
      </c>
      <c r="B14" s="55">
        <v>246.48000000000002</v>
      </c>
      <c r="C14" s="55">
        <v>282.06</v>
      </c>
      <c r="D14" s="55">
        <v>313.18</v>
      </c>
      <c r="E14" s="31">
        <f t="shared" si="0"/>
        <v>841.72</v>
      </c>
      <c r="F14" s="31">
        <f t="shared" si="1"/>
        <v>280.57333333333332</v>
      </c>
      <c r="G14" s="31" t="s">
        <v>109</v>
      </c>
      <c r="H14" s="31">
        <f>B6-1</f>
        <v>8</v>
      </c>
      <c r="I14" s="31">
        <f>((E9+E18)^2+(E10+E19)^2+(E11+E20)^2+(E12+E21)^2+(E13+E22)^2+(E14+E23)^2+(E15+E24)^2+(E16+E25)^2+(E17+E26)^2/6)-B29</f>
        <v>14301591.606925925</v>
      </c>
      <c r="J14" s="31">
        <f t="shared" si="2"/>
        <v>1787698.9508657407</v>
      </c>
      <c r="K14" s="31">
        <f>J14/$J$16</f>
        <v>10912.780410382898</v>
      </c>
      <c r="L14" s="31">
        <f>FINV(0.05,H14,$H$16)</f>
        <v>2.2253399674380931</v>
      </c>
      <c r="M14" s="31" t="str">
        <f>IF(K14&gt;=L14, "S", "NS")</f>
        <v>S</v>
      </c>
      <c r="N14" s="39"/>
      <c r="O14" s="33">
        <v>2</v>
      </c>
      <c r="P14" s="31">
        <f t="shared" ref="P14:P21" si="4">(F10+F19)/2</f>
        <v>248.25166666666667</v>
      </c>
      <c r="Q14" s="49">
        <f t="shared" ref="Q14:Q21" si="5">RANK(P14,P$13:P$21,0)</f>
        <v>5</v>
      </c>
      <c r="R14" s="52">
        <v>5</v>
      </c>
      <c r="S14" s="53"/>
      <c r="T14" s="53"/>
      <c r="U14" s="53"/>
    </row>
    <row r="15" spans="1:21" x14ac:dyDescent="0.25">
      <c r="A15" s="32" t="s">
        <v>92</v>
      </c>
      <c r="B15" s="55">
        <v>213.39</v>
      </c>
      <c r="C15" s="55">
        <v>231.06</v>
      </c>
      <c r="D15" s="55">
        <v>264.08</v>
      </c>
      <c r="E15" s="31">
        <f t="shared" si="0"/>
        <v>708.53</v>
      </c>
      <c r="F15" s="31">
        <f t="shared" si="1"/>
        <v>236.17666666666665</v>
      </c>
      <c r="G15" s="26" t="s">
        <v>110</v>
      </c>
      <c r="H15" s="31">
        <f>H13*H14</f>
        <v>8</v>
      </c>
      <c r="I15" s="31">
        <f>I12-(I13+I14)</f>
        <v>-14244995.967666667</v>
      </c>
      <c r="J15" s="31">
        <f t="shared" si="2"/>
        <v>-1780624.4959583334</v>
      </c>
      <c r="K15" s="44">
        <f>J15/$J$16</f>
        <v>-10869.595302011992</v>
      </c>
      <c r="L15" s="31">
        <f>FINV(0.05,H15,$H$16)</f>
        <v>2.2253399674380931</v>
      </c>
      <c r="M15" s="31" t="str">
        <f t="shared" si="3"/>
        <v>NS</v>
      </c>
      <c r="N15" s="39"/>
      <c r="O15" s="33">
        <v>3</v>
      </c>
      <c r="P15" s="31">
        <f t="shared" si="4"/>
        <v>265.76833333333332</v>
      </c>
      <c r="Q15" s="49">
        <f t="shared" si="5"/>
        <v>2</v>
      </c>
      <c r="R15" s="52">
        <v>2</v>
      </c>
      <c r="S15" s="53"/>
      <c r="T15" s="53"/>
      <c r="U15" s="53"/>
    </row>
    <row r="16" spans="1:21" x14ac:dyDescent="0.25">
      <c r="A16" s="32" t="s">
        <v>93</v>
      </c>
      <c r="B16" s="55">
        <v>262.39</v>
      </c>
      <c r="C16" s="55">
        <v>267.35000000000002</v>
      </c>
      <c r="D16" s="55">
        <v>276.08</v>
      </c>
      <c r="E16" s="31">
        <f t="shared" si="0"/>
        <v>805.81999999999994</v>
      </c>
      <c r="F16" s="31">
        <f t="shared" si="1"/>
        <v>268.60666666666663</v>
      </c>
      <c r="G16" s="45" t="s">
        <v>23</v>
      </c>
      <c r="H16" s="31">
        <f>((B7-1)*(B5*B6-1))</f>
        <v>34</v>
      </c>
      <c r="I16" s="31">
        <f>D31</f>
        <v>5569.7780074090697</v>
      </c>
      <c r="J16" s="31">
        <f t="shared" si="2"/>
        <v>163.8170002179138</v>
      </c>
      <c r="O16" s="33">
        <v>4</v>
      </c>
      <c r="P16" s="31">
        <f t="shared" si="4"/>
        <v>234.71333333333331</v>
      </c>
      <c r="Q16" s="49">
        <f t="shared" si="5"/>
        <v>7</v>
      </c>
      <c r="R16" s="52">
        <v>7</v>
      </c>
      <c r="S16" s="53"/>
      <c r="T16" s="53"/>
      <c r="U16" s="53"/>
    </row>
    <row r="17" spans="1:21" x14ac:dyDescent="0.25">
      <c r="A17" s="32" t="s">
        <v>94</v>
      </c>
      <c r="B17" s="55">
        <v>223.34</v>
      </c>
      <c r="C17" s="55">
        <v>236.15</v>
      </c>
      <c r="D17" s="55">
        <v>252.07999999999998</v>
      </c>
      <c r="E17" s="31">
        <f t="shared" si="0"/>
        <v>711.56999999999994</v>
      </c>
      <c r="F17" s="31">
        <f t="shared" si="1"/>
        <v>237.18999999999997</v>
      </c>
      <c r="G17" s="44" t="s">
        <v>4</v>
      </c>
      <c r="H17" s="31">
        <f>SUM(H11:H16)-H12</f>
        <v>53</v>
      </c>
      <c r="I17" s="31">
        <f>B30</f>
        <v>78300.158675925806</v>
      </c>
      <c r="K17" s="31" t="s">
        <v>111</v>
      </c>
      <c r="L17" s="41">
        <f>TINV(0.05,34)</f>
        <v>2.0322445093177191</v>
      </c>
      <c r="O17" s="33">
        <v>5</v>
      </c>
      <c r="P17" s="31">
        <f t="shared" si="4"/>
        <v>254.53666666666666</v>
      </c>
      <c r="Q17" s="49">
        <f t="shared" si="5"/>
        <v>4</v>
      </c>
      <c r="R17" s="51">
        <v>3</v>
      </c>
      <c r="S17" s="116"/>
      <c r="T17" s="116"/>
      <c r="U17" s="116"/>
    </row>
    <row r="18" spans="1:21" x14ac:dyDescent="0.25">
      <c r="A18" s="32" t="s">
        <v>95</v>
      </c>
      <c r="B18" s="55">
        <v>125.65</v>
      </c>
      <c r="C18" s="55">
        <v>131.58000000000001</v>
      </c>
      <c r="D18" s="55">
        <v>214.58</v>
      </c>
      <c r="E18" s="31">
        <f t="shared" si="0"/>
        <v>471.81000000000006</v>
      </c>
      <c r="F18" s="31">
        <f t="shared" si="1"/>
        <v>157.27000000000001</v>
      </c>
      <c r="G18" s="34" t="s">
        <v>14</v>
      </c>
      <c r="H18" s="31">
        <f>SQRT(J16/3)</f>
        <v>7.3895647192040075</v>
      </c>
      <c r="O18" s="33">
        <v>6</v>
      </c>
      <c r="P18" s="31">
        <f t="shared" si="4"/>
        <v>273.14</v>
      </c>
      <c r="Q18" s="49">
        <f t="shared" si="5"/>
        <v>1</v>
      </c>
      <c r="R18" s="52">
        <v>1</v>
      </c>
      <c r="S18" s="116"/>
      <c r="T18" s="116"/>
      <c r="U18" s="116"/>
    </row>
    <row r="19" spans="1:21" x14ac:dyDescent="0.25">
      <c r="A19" s="32" t="s">
        <v>96</v>
      </c>
      <c r="B19" s="55">
        <v>239.86</v>
      </c>
      <c r="C19" s="55">
        <v>241.56</v>
      </c>
      <c r="D19" s="55">
        <v>251.56</v>
      </c>
      <c r="E19" s="31">
        <f t="shared" si="0"/>
        <v>732.98</v>
      </c>
      <c r="F19" s="31">
        <f t="shared" si="1"/>
        <v>244.32666666666668</v>
      </c>
      <c r="G19" s="34" t="s">
        <v>16</v>
      </c>
      <c r="H19" s="31">
        <f>(SQRT((2*J16)/3))*L17</f>
        <v>21.237814042244938</v>
      </c>
      <c r="O19" s="33">
        <v>7</v>
      </c>
      <c r="P19" s="31">
        <f t="shared" si="4"/>
        <v>235.42666666666665</v>
      </c>
      <c r="Q19" s="49">
        <f t="shared" si="5"/>
        <v>6</v>
      </c>
      <c r="R19" s="52">
        <v>6</v>
      </c>
      <c r="S19" s="116"/>
      <c r="T19" s="116"/>
      <c r="U19" s="116"/>
    </row>
    <row r="20" spans="1:21" x14ac:dyDescent="0.25">
      <c r="A20" s="32" t="s">
        <v>97</v>
      </c>
      <c r="B20" s="55">
        <v>215.85</v>
      </c>
      <c r="C20" s="55">
        <v>264.58</v>
      </c>
      <c r="D20" s="55">
        <v>292.56</v>
      </c>
      <c r="E20" s="31">
        <f t="shared" si="0"/>
        <v>772.99</v>
      </c>
      <c r="F20" s="31">
        <f t="shared" si="1"/>
        <v>257.66333333333336</v>
      </c>
      <c r="G20" s="34" t="s">
        <v>29</v>
      </c>
      <c r="H20" s="31">
        <f>((SQRT(J16))/F27)*100</f>
        <v>5.3285637320135519</v>
      </c>
      <c r="O20" s="33">
        <v>8</v>
      </c>
      <c r="P20" s="31">
        <f t="shared" si="4"/>
        <v>260.44999999999993</v>
      </c>
      <c r="Q20" s="49">
        <f t="shared" si="5"/>
        <v>3</v>
      </c>
      <c r="R20" s="51">
        <v>4</v>
      </c>
      <c r="S20" s="116"/>
      <c r="T20" s="116"/>
      <c r="U20" s="116"/>
    </row>
    <row r="21" spans="1:21" x14ac:dyDescent="0.25">
      <c r="A21" s="32" t="s">
        <v>98</v>
      </c>
      <c r="B21" s="55">
        <v>224.89</v>
      </c>
      <c r="C21" s="55">
        <v>221.89</v>
      </c>
      <c r="D21" s="55">
        <v>245.89</v>
      </c>
      <c r="E21" s="31">
        <f t="shared" si="0"/>
        <v>692.67</v>
      </c>
      <c r="F21" s="31">
        <f t="shared" si="1"/>
        <v>230.89</v>
      </c>
      <c r="O21" s="33">
        <v>9</v>
      </c>
      <c r="P21" s="31">
        <f t="shared" si="4"/>
        <v>231.88499999999999</v>
      </c>
      <c r="Q21" s="49">
        <f t="shared" si="5"/>
        <v>8</v>
      </c>
      <c r="R21" s="52">
        <v>8</v>
      </c>
      <c r="S21" s="116"/>
      <c r="T21" s="116"/>
      <c r="U21" s="116"/>
    </row>
    <row r="22" spans="1:21" x14ac:dyDescent="0.25">
      <c r="A22" s="32" t="s">
        <v>99</v>
      </c>
      <c r="B22" s="55">
        <v>225.68</v>
      </c>
      <c r="C22" s="55">
        <v>252.48</v>
      </c>
      <c r="D22" s="55">
        <v>265.83999999999997</v>
      </c>
      <c r="E22" s="31">
        <f t="shared" si="0"/>
        <v>744</v>
      </c>
      <c r="F22" s="31">
        <f t="shared" si="1"/>
        <v>248</v>
      </c>
      <c r="O22" s="30" t="s">
        <v>14</v>
      </c>
      <c r="P22" s="42">
        <f>SQRT(J16/(3*2))</f>
        <v>5.22521132296602</v>
      </c>
      <c r="Q22" s="49"/>
      <c r="S22" s="116"/>
      <c r="T22" s="116"/>
      <c r="U22" s="116"/>
    </row>
    <row r="23" spans="1:21" x14ac:dyDescent="0.25">
      <c r="A23" s="32" t="s">
        <v>100</v>
      </c>
      <c r="B23" s="55">
        <v>241.56</v>
      </c>
      <c r="C23" s="55">
        <v>269.87</v>
      </c>
      <c r="D23" s="55">
        <v>285.69</v>
      </c>
      <c r="E23" s="31">
        <f t="shared" si="0"/>
        <v>797.12</v>
      </c>
      <c r="F23" s="31">
        <f t="shared" si="1"/>
        <v>265.70666666666665</v>
      </c>
      <c r="N23" s="30" t="s">
        <v>109</v>
      </c>
      <c r="O23" s="30" t="s">
        <v>16</v>
      </c>
      <c r="P23" s="42">
        <f>SQRT((2*J16)/(3*2))*L17</f>
        <v>15.017402326850277</v>
      </c>
      <c r="Q23" s="49"/>
      <c r="S23" s="116"/>
      <c r="T23" s="116"/>
      <c r="U23" s="116"/>
    </row>
    <row r="24" spans="1:21" x14ac:dyDescent="0.25">
      <c r="A24" s="32" t="s">
        <v>101</v>
      </c>
      <c r="B24" s="55">
        <v>225.89</v>
      </c>
      <c r="C24" s="55">
        <v>231.56</v>
      </c>
      <c r="D24" s="55">
        <v>246.58</v>
      </c>
      <c r="E24" s="31">
        <f t="shared" si="0"/>
        <v>704.03</v>
      </c>
      <c r="F24" s="31">
        <f>E24/3</f>
        <v>234.67666666666665</v>
      </c>
      <c r="Q24" s="49"/>
      <c r="S24" s="116"/>
      <c r="T24" s="116"/>
      <c r="U24" s="116"/>
    </row>
    <row r="25" spans="1:21" x14ac:dyDescent="0.25">
      <c r="A25" s="32" t="s">
        <v>102</v>
      </c>
      <c r="B25" s="55">
        <v>238.41</v>
      </c>
      <c r="C25" s="55">
        <v>257.89</v>
      </c>
      <c r="D25" s="55">
        <v>260.58</v>
      </c>
      <c r="E25" s="31">
        <f t="shared" si="0"/>
        <v>756.87999999999988</v>
      </c>
      <c r="F25" s="31">
        <f t="shared" si="1"/>
        <v>252.29333333333329</v>
      </c>
      <c r="S25" s="116"/>
      <c r="T25" s="116"/>
      <c r="U25" s="116"/>
    </row>
    <row r="26" spans="1:21" x14ac:dyDescent="0.25">
      <c r="A26" s="32" t="s">
        <v>103</v>
      </c>
      <c r="B26" s="55">
        <v>214.87</v>
      </c>
      <c r="C26" s="55">
        <v>225.89</v>
      </c>
      <c r="D26" s="55">
        <v>238.98</v>
      </c>
      <c r="E26" s="31">
        <f t="shared" si="0"/>
        <v>679.74</v>
      </c>
      <c r="F26" s="31">
        <f t="shared" si="1"/>
        <v>226.58</v>
      </c>
    </row>
    <row r="27" spans="1:21" x14ac:dyDescent="0.25">
      <c r="A27" s="30" t="s">
        <v>4</v>
      </c>
      <c r="B27" s="31">
        <f>SUM(B9:B26)</f>
        <v>3967.5699999999993</v>
      </c>
      <c r="C27" s="31">
        <f>SUM(C9:C26)</f>
        <v>4305.7299999999996</v>
      </c>
      <c r="D27" s="31">
        <f>SUM(D9:D26)</f>
        <v>4697.3899999999994</v>
      </c>
      <c r="E27" s="31">
        <f>SUM(E9:E26)</f>
        <v>12970.69</v>
      </c>
      <c r="F27" s="31">
        <f>AVERAGE(B9:D26)</f>
        <v>240.19796296296292</v>
      </c>
    </row>
    <row r="28" spans="1:21" x14ac:dyDescent="0.25">
      <c r="A28" s="30" t="s">
        <v>5</v>
      </c>
      <c r="B28" s="31">
        <f>B27/18</f>
        <v>220.42055555555552</v>
      </c>
      <c r="C28" s="31">
        <f>C27/18</f>
        <v>239.20722222222219</v>
      </c>
      <c r="D28" s="31">
        <f>D27/18</f>
        <v>260.9661111111111</v>
      </c>
    </row>
    <row r="29" spans="1:21" x14ac:dyDescent="0.25">
      <c r="A29" s="30" t="s">
        <v>26</v>
      </c>
      <c r="B29" s="31">
        <f>(E27*E27)/54</f>
        <v>3115533.3162240745</v>
      </c>
      <c r="C29" s="31"/>
      <c r="D29" s="31"/>
    </row>
    <row r="30" spans="1:21" x14ac:dyDescent="0.25">
      <c r="A30" s="30" t="s">
        <v>27</v>
      </c>
      <c r="B30" s="31">
        <f>SUMSQ(B9:D26)-B29</f>
        <v>78300.158675925806</v>
      </c>
      <c r="C30" s="30" t="s">
        <v>28</v>
      </c>
      <c r="D30" s="31">
        <f>(SUMSQ(B27:D27)/18)-B29</f>
        <v>14821.980992591474</v>
      </c>
    </row>
    <row r="31" spans="1:21" x14ac:dyDescent="0.25">
      <c r="A31" s="30" t="s">
        <v>30</v>
      </c>
      <c r="B31" s="31">
        <f>(SUMSQ(E9:E26)/3)-B29</f>
        <v>57908.399675925262</v>
      </c>
      <c r="C31" s="30" t="s">
        <v>31</v>
      </c>
      <c r="D31" s="31">
        <f>B30-B31-D30</f>
        <v>5569.7780074090697</v>
      </c>
    </row>
    <row r="35" spans="1:18" x14ac:dyDescent="0.25">
      <c r="C35" s="48" t="s">
        <v>153</v>
      </c>
    </row>
    <row r="37" spans="1:18" x14ac:dyDescent="0.25">
      <c r="A37" s="36" t="s">
        <v>104</v>
      </c>
      <c r="B37" s="38">
        <v>2</v>
      </c>
      <c r="C37" s="39"/>
      <c r="D37" s="39"/>
      <c r="E37" s="39"/>
      <c r="F37" s="39"/>
      <c r="G37" s="39"/>
      <c r="H37" s="39"/>
      <c r="I37" s="39"/>
      <c r="M37" s="35"/>
      <c r="N37" s="35"/>
      <c r="O37" s="39"/>
      <c r="P37" s="39"/>
    </row>
    <row r="38" spans="1:18" x14ac:dyDescent="0.25">
      <c r="A38" s="36" t="s">
        <v>105</v>
      </c>
      <c r="B38" s="38">
        <v>9</v>
      </c>
      <c r="C38" s="39" t="s">
        <v>107</v>
      </c>
      <c r="D38" s="39">
        <v>18</v>
      </c>
      <c r="E38" s="39"/>
      <c r="F38" s="39"/>
      <c r="G38" s="39"/>
      <c r="H38" s="39"/>
      <c r="I38" s="39"/>
      <c r="M38" s="35"/>
      <c r="N38" s="35"/>
      <c r="O38" s="39"/>
      <c r="P38" s="39"/>
    </row>
    <row r="39" spans="1:18" x14ac:dyDescent="0.25">
      <c r="A39" s="37" t="s">
        <v>106</v>
      </c>
      <c r="B39" s="40">
        <v>3</v>
      </c>
    </row>
    <row r="40" spans="1:18" s="41" customFormat="1" x14ac:dyDescent="0.25">
      <c r="A40" s="46" t="s">
        <v>0</v>
      </c>
      <c r="B40" s="30" t="s">
        <v>1</v>
      </c>
      <c r="C40" s="30" t="s">
        <v>2</v>
      </c>
      <c r="D40" s="30" t="s">
        <v>3</v>
      </c>
      <c r="E40" s="30" t="s">
        <v>4</v>
      </c>
      <c r="F40" s="30" t="s">
        <v>5</v>
      </c>
      <c r="O40" s="41" t="s">
        <v>7</v>
      </c>
      <c r="Q40" s="37"/>
    </row>
    <row r="41" spans="1:18" s="41" customFormat="1" x14ac:dyDescent="0.25">
      <c r="A41" s="32" t="s">
        <v>86</v>
      </c>
      <c r="B41" s="117">
        <v>402.08</v>
      </c>
      <c r="C41" s="117">
        <v>413.08</v>
      </c>
      <c r="D41" s="117">
        <v>486.09</v>
      </c>
      <c r="E41" s="31">
        <f>SUM(B41:D41)</f>
        <v>1301.25</v>
      </c>
      <c r="F41" s="31">
        <f>E41/3</f>
        <v>433.75</v>
      </c>
      <c r="H41" s="47"/>
      <c r="I41" s="47"/>
      <c r="J41" s="47" t="s">
        <v>6</v>
      </c>
      <c r="K41" s="47"/>
      <c r="L41" s="47"/>
      <c r="M41" s="47"/>
      <c r="N41" s="47"/>
      <c r="O41" s="33">
        <v>1</v>
      </c>
      <c r="P41" s="31">
        <f>SUM(F41:F49)/9</f>
        <v>603.79592592592599</v>
      </c>
      <c r="Q41" s="49">
        <f>RANK(P41,P$41:P$42,0)</f>
        <v>1</v>
      </c>
    </row>
    <row r="42" spans="1:18" s="41" customFormat="1" x14ac:dyDescent="0.25">
      <c r="A42" s="32" t="s">
        <v>87</v>
      </c>
      <c r="B42" s="117">
        <v>631.75</v>
      </c>
      <c r="C42" s="117">
        <v>660.39</v>
      </c>
      <c r="D42" s="117">
        <v>669.09</v>
      </c>
      <c r="E42" s="31">
        <f>SUM(B42:D42)</f>
        <v>1961.23</v>
      </c>
      <c r="F42" s="31">
        <f t="shared" ref="F42:F55" si="6">E42/3</f>
        <v>653.74333333333334</v>
      </c>
      <c r="G42" s="31"/>
      <c r="H42" s="30" t="s">
        <v>8</v>
      </c>
      <c r="I42" s="30" t="s">
        <v>9</v>
      </c>
      <c r="J42" s="30" t="s">
        <v>10</v>
      </c>
      <c r="K42" s="30" t="s">
        <v>11</v>
      </c>
      <c r="L42" s="30" t="s">
        <v>12</v>
      </c>
      <c r="M42" s="30" t="s">
        <v>112</v>
      </c>
      <c r="N42" s="50"/>
      <c r="O42" s="33">
        <v>2</v>
      </c>
      <c r="P42" s="31">
        <f>SUM(F50:F58)/9</f>
        <v>582.52296296296299</v>
      </c>
      <c r="Q42" s="49">
        <f>RANK(P42,P$41:P$42,0)</f>
        <v>2</v>
      </c>
    </row>
    <row r="43" spans="1:18" s="41" customFormat="1" x14ac:dyDescent="0.25">
      <c r="A43" s="32" t="s">
        <v>88</v>
      </c>
      <c r="B43" s="117">
        <v>663.09</v>
      </c>
      <c r="C43" s="117">
        <v>668.39</v>
      </c>
      <c r="D43" s="117">
        <v>679.4</v>
      </c>
      <c r="E43" s="31">
        <f t="shared" ref="E43:E58" si="7">SUM(B43:D43)</f>
        <v>2010.88</v>
      </c>
      <c r="F43" s="31">
        <f t="shared" si="6"/>
        <v>670.29333333333341</v>
      </c>
      <c r="G43" s="31" t="s">
        <v>13</v>
      </c>
      <c r="H43" s="31">
        <f>B39-1</f>
        <v>2</v>
      </c>
      <c r="I43" s="31">
        <f>D62</f>
        <v>929.43007777258754</v>
      </c>
      <c r="J43" s="31">
        <f>I43/H43</f>
        <v>464.71503888629377</v>
      </c>
      <c r="K43" s="31">
        <f>J43/$J$16</f>
        <v>2.836793728783443</v>
      </c>
      <c r="L43" s="31">
        <f>FINV(0.05,H43,$H$16)</f>
        <v>3.275897990672394</v>
      </c>
      <c r="M43" s="31" t="str">
        <f>IF(K43&gt;=L43, "S", "NS")</f>
        <v>NS</v>
      </c>
      <c r="N43" s="39"/>
      <c r="O43" s="30" t="s">
        <v>14</v>
      </c>
      <c r="P43" s="42">
        <f>SQRT(J48/(3*9))</f>
        <v>6.651015368687311</v>
      </c>
      <c r="Q43" s="37"/>
    </row>
    <row r="44" spans="1:18" s="41" customFormat="1" x14ac:dyDescent="0.25">
      <c r="A44" s="32" t="s">
        <v>89</v>
      </c>
      <c r="B44" s="117">
        <v>590.34</v>
      </c>
      <c r="C44" s="117">
        <v>542.37</v>
      </c>
      <c r="D44" s="117">
        <v>520.37</v>
      </c>
      <c r="E44" s="31">
        <f t="shared" si="7"/>
        <v>1653.08</v>
      </c>
      <c r="F44" s="31">
        <f t="shared" si="6"/>
        <v>551.02666666666664</v>
      </c>
      <c r="G44" s="31" t="s">
        <v>15</v>
      </c>
      <c r="H44" s="31">
        <f>D38-1</f>
        <v>17</v>
      </c>
      <c r="I44" s="31">
        <f>B63</f>
        <v>337031.24461666495</v>
      </c>
      <c r="J44" s="31">
        <f t="shared" ref="J44:J48" si="8">I44/H44</f>
        <v>19825.367330392055</v>
      </c>
      <c r="K44" s="31">
        <f>J44/$J$16</f>
        <v>121.02142820354307</v>
      </c>
      <c r="L44" s="31">
        <f>FINV(0.05,H44,$H$16)</f>
        <v>1.9332068318040869</v>
      </c>
      <c r="M44" s="43" t="str">
        <f t="shared" ref="M44" si="9">IF(K44&gt;=L44, "S", "NS")</f>
        <v>S</v>
      </c>
      <c r="N44" s="30" t="s">
        <v>113</v>
      </c>
      <c r="O44" s="30" t="s">
        <v>16</v>
      </c>
      <c r="P44" s="42">
        <f>SQRT((2*J48)/(3*9))*L49</f>
        <v>19.115202716231142</v>
      </c>
      <c r="Q44" s="37"/>
    </row>
    <row r="45" spans="1:18" s="41" customFormat="1" x14ac:dyDescent="0.25">
      <c r="A45" s="32" t="s">
        <v>90</v>
      </c>
      <c r="B45" s="117">
        <v>655.39</v>
      </c>
      <c r="C45" s="117">
        <v>662.08</v>
      </c>
      <c r="D45" s="117">
        <v>668.39</v>
      </c>
      <c r="E45" s="31">
        <f t="shared" si="7"/>
        <v>1985.8600000000001</v>
      </c>
      <c r="F45" s="31">
        <f t="shared" si="6"/>
        <v>661.95333333333338</v>
      </c>
      <c r="G45" s="31" t="s">
        <v>108</v>
      </c>
      <c r="H45" s="31">
        <f>B37-1</f>
        <v>1</v>
      </c>
      <c r="I45" s="31">
        <f>(SUM(E41:E49)^2+SUM(E50:E58)^2)/27-B61</f>
        <v>6109.2758685164154</v>
      </c>
      <c r="J45" s="31">
        <f t="shared" si="8"/>
        <v>6109.2758685164154</v>
      </c>
      <c r="K45" s="31">
        <f>J45/$J$16</f>
        <v>37.293295936256257</v>
      </c>
      <c r="L45" s="31">
        <f>FINV(0.05,H45,$H$16)</f>
        <v>4.1300177456520188</v>
      </c>
      <c r="M45" s="31" t="str">
        <f>IF(K45&gt;=L45, "S", "NS")</f>
        <v>S</v>
      </c>
      <c r="N45" s="39"/>
      <c r="O45" s="33">
        <v>1</v>
      </c>
      <c r="P45" s="31">
        <f>(F41+F50)/2</f>
        <v>430.66499999999996</v>
      </c>
      <c r="Q45" s="49">
        <f>RANK(P45,P$45:P$53,0)</f>
        <v>9</v>
      </c>
      <c r="R45" s="51">
        <v>9</v>
      </c>
    </row>
    <row r="46" spans="1:18" s="41" customFormat="1" x14ac:dyDescent="0.25">
      <c r="A46" s="32" t="s">
        <v>91</v>
      </c>
      <c r="B46" s="117">
        <v>755.09</v>
      </c>
      <c r="C46" s="117">
        <v>659.06</v>
      </c>
      <c r="D46" s="117">
        <v>672.04</v>
      </c>
      <c r="E46" s="31">
        <f t="shared" si="7"/>
        <v>2086.19</v>
      </c>
      <c r="F46" s="31">
        <f t="shared" si="6"/>
        <v>695.39666666666665</v>
      </c>
      <c r="G46" s="31" t="s">
        <v>109</v>
      </c>
      <c r="H46" s="31">
        <f>B38-1</f>
        <v>8</v>
      </c>
      <c r="I46" s="31">
        <f>((E41+E50)^2+(E42+E51)^2+(E43+E52)^2+(E44+E53)^2+(E45+E54)^2+(E46+E55)^2+(E47+E56)^2+(E48+E57)^2+(E49+E58)^2/6)-B61</f>
        <v>88406689.089283317</v>
      </c>
      <c r="J46" s="31">
        <f t="shared" si="8"/>
        <v>11050836.136160415</v>
      </c>
      <c r="K46" s="31">
        <f>J46/$J$16</f>
        <v>67458.420807732371</v>
      </c>
      <c r="L46" s="31">
        <f>FINV(0.05,H46,$H$16)</f>
        <v>2.2253399674380931</v>
      </c>
      <c r="M46" s="31" t="str">
        <f>IF(K46&gt;=L46, "S", "NS")</f>
        <v>S</v>
      </c>
      <c r="N46" s="39"/>
      <c r="O46" s="33">
        <v>2</v>
      </c>
      <c r="P46" s="31">
        <f t="shared" ref="P46:P53" si="10">(F42+F51)/2</f>
        <v>642.79166666666674</v>
      </c>
      <c r="Q46" s="49">
        <f t="shared" ref="Q46:Q53" si="11">RANK(P46,P$45:P$53,0)</f>
        <v>5</v>
      </c>
      <c r="R46" s="52">
        <v>5</v>
      </c>
    </row>
    <row r="47" spans="1:18" s="41" customFormat="1" x14ac:dyDescent="0.25">
      <c r="A47" s="32" t="s">
        <v>92</v>
      </c>
      <c r="B47" s="117">
        <v>611.07000000000005</v>
      </c>
      <c r="C47" s="117">
        <v>599.09</v>
      </c>
      <c r="D47" s="117">
        <v>469.09</v>
      </c>
      <c r="E47" s="31">
        <f t="shared" si="7"/>
        <v>1679.25</v>
      </c>
      <c r="F47" s="31">
        <f t="shared" si="6"/>
        <v>559.75</v>
      </c>
      <c r="G47" s="26" t="s">
        <v>110</v>
      </c>
      <c r="H47" s="31">
        <f>H45*H46</f>
        <v>8</v>
      </c>
      <c r="I47" s="31">
        <f>I44-(I45+I46)</f>
        <v>-88075767.120535165</v>
      </c>
      <c r="J47" s="31">
        <f t="shared" si="8"/>
        <v>-11009470.890066896</v>
      </c>
      <c r="K47" s="44">
        <f>J47/$J$16</f>
        <v>-67205.911934791875</v>
      </c>
      <c r="L47" s="31">
        <f>FINV(0.05,H47,$H$16)</f>
        <v>2.2253399674380931</v>
      </c>
      <c r="M47" s="31" t="str">
        <f t="shared" ref="M47" si="12">IF(K47&gt;=L47, "S", "NS")</f>
        <v>NS</v>
      </c>
      <c r="N47" s="39"/>
      <c r="O47" s="33">
        <v>3</v>
      </c>
      <c r="P47" s="31">
        <f t="shared" si="10"/>
        <v>654.93333333333339</v>
      </c>
      <c r="Q47" s="49">
        <f t="shared" si="11"/>
        <v>2</v>
      </c>
      <c r="R47" s="52">
        <v>2</v>
      </c>
    </row>
    <row r="48" spans="1:18" s="41" customFormat="1" x14ac:dyDescent="0.25">
      <c r="A48" s="32" t="s">
        <v>93</v>
      </c>
      <c r="B48" s="117">
        <v>655.04</v>
      </c>
      <c r="C48" s="117">
        <v>660.39</v>
      </c>
      <c r="D48" s="117">
        <v>669.09</v>
      </c>
      <c r="E48" s="31">
        <f t="shared" si="7"/>
        <v>1984.52</v>
      </c>
      <c r="F48" s="31">
        <f t="shared" si="6"/>
        <v>661.50666666666666</v>
      </c>
      <c r="G48" s="45" t="s">
        <v>23</v>
      </c>
      <c r="H48" s="31">
        <f>((B39-1)*(B37*B38-1))</f>
        <v>34</v>
      </c>
      <c r="I48" s="31">
        <f>D63</f>
        <v>40608.652988884598</v>
      </c>
      <c r="J48" s="31">
        <f t="shared" si="8"/>
        <v>1194.3721467318999</v>
      </c>
      <c r="O48" s="33">
        <v>4</v>
      </c>
      <c r="P48" s="31">
        <f t="shared" si="10"/>
        <v>541.13333333333333</v>
      </c>
      <c r="Q48" s="49">
        <f t="shared" si="11"/>
        <v>7</v>
      </c>
      <c r="R48" s="52">
        <v>7</v>
      </c>
    </row>
    <row r="49" spans="1:18" x14ac:dyDescent="0.25">
      <c r="A49" s="32" t="s">
        <v>94</v>
      </c>
      <c r="B49" s="117">
        <v>587.09</v>
      </c>
      <c r="C49" s="117">
        <v>542.05999999999995</v>
      </c>
      <c r="D49" s="117">
        <v>511.08</v>
      </c>
      <c r="E49" s="31">
        <f t="shared" si="7"/>
        <v>1640.23</v>
      </c>
      <c r="F49" s="31">
        <f t="shared" si="6"/>
        <v>546.74333333333334</v>
      </c>
      <c r="G49" s="44" t="s">
        <v>4</v>
      </c>
      <c r="H49" s="31">
        <f>SUM(H43:H48)-H44</f>
        <v>53</v>
      </c>
      <c r="I49" s="31">
        <f>B62</f>
        <v>378569.32768332213</v>
      </c>
      <c r="K49" s="31" t="s">
        <v>111</v>
      </c>
      <c r="L49" s="41">
        <f>TINV(0.05,34)</f>
        <v>2.0322445093177191</v>
      </c>
      <c r="O49" s="33">
        <v>5</v>
      </c>
      <c r="P49" s="31">
        <f t="shared" si="10"/>
        <v>649.22666666666669</v>
      </c>
      <c r="Q49" s="49">
        <f t="shared" si="11"/>
        <v>3</v>
      </c>
      <c r="R49" s="51">
        <v>3</v>
      </c>
    </row>
    <row r="50" spans="1:18" x14ac:dyDescent="0.25">
      <c r="A50" s="32" t="s">
        <v>95</v>
      </c>
      <c r="B50" s="117">
        <v>396.58</v>
      </c>
      <c r="C50" s="117">
        <v>403.59</v>
      </c>
      <c r="D50" s="117">
        <v>482.57</v>
      </c>
      <c r="E50" s="31">
        <f t="shared" si="7"/>
        <v>1282.74</v>
      </c>
      <c r="F50" s="31">
        <f t="shared" si="6"/>
        <v>427.58</v>
      </c>
      <c r="G50" s="34" t="s">
        <v>14</v>
      </c>
      <c r="H50" s="31">
        <f>SQRT(J48/3)</f>
        <v>19.953046106061933</v>
      </c>
      <c r="O50" s="33">
        <v>6</v>
      </c>
      <c r="P50" s="31">
        <f t="shared" si="10"/>
        <v>686.97166666666658</v>
      </c>
      <c r="Q50" s="49">
        <f t="shared" si="11"/>
        <v>1</v>
      </c>
      <c r="R50" s="52">
        <v>1</v>
      </c>
    </row>
    <row r="51" spans="1:18" x14ac:dyDescent="0.25">
      <c r="A51" s="32" t="s">
        <v>96</v>
      </c>
      <c r="B51" s="117">
        <v>625.41</v>
      </c>
      <c r="C51" s="117">
        <v>631.52</v>
      </c>
      <c r="D51" s="117">
        <v>638.59</v>
      </c>
      <c r="E51" s="31">
        <f t="shared" si="7"/>
        <v>1895.52</v>
      </c>
      <c r="F51" s="31">
        <f t="shared" si="6"/>
        <v>631.84</v>
      </c>
      <c r="G51" s="34" t="s">
        <v>16</v>
      </c>
      <c r="H51" s="31">
        <f>(SQRT((2*J48)/3))*L49</f>
        <v>57.345608148693429</v>
      </c>
      <c r="O51" s="33">
        <v>7</v>
      </c>
      <c r="P51" s="31">
        <f t="shared" si="10"/>
        <v>553.54999999999995</v>
      </c>
      <c r="Q51" s="49">
        <f t="shared" si="11"/>
        <v>6</v>
      </c>
      <c r="R51" s="52">
        <v>6</v>
      </c>
    </row>
    <row r="52" spans="1:18" x14ac:dyDescent="0.25">
      <c r="A52" s="32" t="s">
        <v>97</v>
      </c>
      <c r="B52" s="117">
        <v>618.57000000000005</v>
      </c>
      <c r="C52" s="117">
        <v>631.55999999999995</v>
      </c>
      <c r="D52" s="117">
        <v>668.59</v>
      </c>
      <c r="E52" s="31">
        <f t="shared" si="7"/>
        <v>1918.7200000000003</v>
      </c>
      <c r="F52" s="31">
        <f t="shared" si="6"/>
        <v>639.57333333333338</v>
      </c>
      <c r="G52" s="34" t="s">
        <v>29</v>
      </c>
      <c r="H52" s="31">
        <f>((SQRT(J48))/F59)*100</f>
        <v>5.8263743324246242</v>
      </c>
      <c r="O52" s="33">
        <v>8</v>
      </c>
      <c r="P52" s="31">
        <f t="shared" si="10"/>
        <v>644.69333333333338</v>
      </c>
      <c r="Q52" s="49">
        <f t="shared" si="11"/>
        <v>4</v>
      </c>
      <c r="R52" s="51">
        <v>4</v>
      </c>
    </row>
    <row r="53" spans="1:18" x14ac:dyDescent="0.25">
      <c r="A53" s="32" t="s">
        <v>98</v>
      </c>
      <c r="B53" s="117">
        <v>502.59</v>
      </c>
      <c r="C53" s="117">
        <v>528.59</v>
      </c>
      <c r="D53" s="117">
        <v>562.54</v>
      </c>
      <c r="E53" s="31">
        <f t="shared" si="7"/>
        <v>1593.72</v>
      </c>
      <c r="F53" s="31">
        <f t="shared" si="6"/>
        <v>531.24</v>
      </c>
      <c r="O53" s="33">
        <v>9</v>
      </c>
      <c r="P53" s="31">
        <f t="shared" si="10"/>
        <v>534.47</v>
      </c>
      <c r="Q53" s="49">
        <f t="shared" si="11"/>
        <v>8</v>
      </c>
      <c r="R53" s="52">
        <v>8</v>
      </c>
    </row>
    <row r="54" spans="1:18" x14ac:dyDescent="0.25">
      <c r="A54" s="32" t="s">
        <v>99</v>
      </c>
      <c r="B54" s="117">
        <v>611.54</v>
      </c>
      <c r="C54" s="117">
        <v>640.11</v>
      </c>
      <c r="D54" s="117">
        <v>657.85</v>
      </c>
      <c r="E54" s="31">
        <f t="shared" si="7"/>
        <v>1909.5</v>
      </c>
      <c r="F54" s="31">
        <f t="shared" si="6"/>
        <v>636.5</v>
      </c>
      <c r="I54" s="117"/>
      <c r="J54" s="117"/>
      <c r="K54" s="117"/>
      <c r="O54" s="30" t="s">
        <v>14</v>
      </c>
      <c r="P54" s="42">
        <f>SQRT(J48/(3*2))</f>
        <v>14.10893420692423</v>
      </c>
      <c r="Q54" s="49"/>
    </row>
    <row r="55" spans="1:18" x14ac:dyDescent="0.25">
      <c r="A55" s="32" t="s">
        <v>100</v>
      </c>
      <c r="B55" s="117">
        <v>704.51</v>
      </c>
      <c r="C55" s="117">
        <v>672.54</v>
      </c>
      <c r="D55" s="117">
        <v>658.59</v>
      </c>
      <c r="E55" s="31">
        <f t="shared" si="7"/>
        <v>2035.6399999999999</v>
      </c>
      <c r="F55" s="31">
        <f t="shared" si="6"/>
        <v>678.54666666666662</v>
      </c>
      <c r="I55" s="117"/>
      <c r="J55" s="117"/>
      <c r="K55" s="117"/>
      <c r="N55" s="30" t="s">
        <v>109</v>
      </c>
      <c r="O55" s="30" t="s">
        <v>16</v>
      </c>
      <c r="P55" s="42">
        <f>SQRT((2*J48)/(3*2))*L49</f>
        <v>40.549468393207661</v>
      </c>
      <c r="Q55" s="49"/>
    </row>
    <row r="56" spans="1:18" x14ac:dyDescent="0.25">
      <c r="A56" s="32" t="s">
        <v>101</v>
      </c>
      <c r="B56" s="117">
        <v>543.21</v>
      </c>
      <c r="C56" s="117">
        <v>545.87</v>
      </c>
      <c r="D56" s="117">
        <v>552.97</v>
      </c>
      <c r="E56" s="31">
        <f t="shared" si="7"/>
        <v>1642.05</v>
      </c>
      <c r="F56" s="31">
        <f>E56/3</f>
        <v>547.35</v>
      </c>
      <c r="I56" s="117"/>
      <c r="J56" s="117"/>
      <c r="K56" s="117"/>
      <c r="Q56" s="49"/>
    </row>
    <row r="57" spans="1:18" x14ac:dyDescent="0.25">
      <c r="A57" s="32" t="s">
        <v>102</v>
      </c>
      <c r="B57" s="117">
        <v>605.48</v>
      </c>
      <c r="C57" s="117">
        <v>625.58000000000004</v>
      </c>
      <c r="D57" s="117">
        <v>652.58000000000004</v>
      </c>
      <c r="E57" s="31">
        <f t="shared" si="7"/>
        <v>1883.6399999999999</v>
      </c>
      <c r="F57" s="31">
        <f t="shared" ref="F57:F58" si="13">E57/3</f>
        <v>627.88</v>
      </c>
      <c r="I57" s="117"/>
      <c r="J57" s="117"/>
      <c r="K57" s="117"/>
    </row>
    <row r="58" spans="1:18" x14ac:dyDescent="0.25">
      <c r="A58" s="32" t="s">
        <v>103</v>
      </c>
      <c r="B58" s="117">
        <v>501.42</v>
      </c>
      <c r="C58" s="117">
        <v>508.59</v>
      </c>
      <c r="D58" s="117">
        <v>556.58000000000004</v>
      </c>
      <c r="E58" s="31">
        <f t="shared" si="7"/>
        <v>1566.5900000000001</v>
      </c>
      <c r="F58" s="31">
        <f t="shared" si="13"/>
        <v>522.19666666666672</v>
      </c>
      <c r="I58" s="117"/>
      <c r="J58" s="117"/>
      <c r="K58" s="117"/>
    </row>
    <row r="59" spans="1:18" x14ac:dyDescent="0.25">
      <c r="A59" s="30" t="s">
        <v>4</v>
      </c>
      <c r="B59" s="31">
        <f>SUM(B41:B58)</f>
        <v>10660.250000000002</v>
      </c>
      <c r="C59" s="31">
        <f t="shared" ref="C59:D59" si="14">SUM(C41:C58)</f>
        <v>10594.86</v>
      </c>
      <c r="D59" s="31">
        <f t="shared" si="14"/>
        <v>10775.499999999998</v>
      </c>
      <c r="E59" s="31">
        <f>SUM(E41:E58)</f>
        <v>32030.610000000004</v>
      </c>
      <c r="F59" s="31">
        <f>AVERAGE(B41:D58)</f>
        <v>593.15944444444449</v>
      </c>
      <c r="I59" s="117"/>
      <c r="J59" s="117"/>
      <c r="K59" s="117"/>
    </row>
    <row r="60" spans="1:18" x14ac:dyDescent="0.25">
      <c r="A60" s="30" t="s">
        <v>5</v>
      </c>
      <c r="B60" s="31">
        <f>B59/18</f>
        <v>592.2361111111112</v>
      </c>
      <c r="C60" s="31">
        <f>C59/18</f>
        <v>588.60333333333335</v>
      </c>
      <c r="D60" s="31">
        <f>D59/18</f>
        <v>598.6388888888888</v>
      </c>
      <c r="I60" s="117"/>
      <c r="J60" s="117"/>
      <c r="K60" s="117"/>
    </row>
    <row r="61" spans="1:18" x14ac:dyDescent="0.25">
      <c r="A61" s="30" t="s">
        <v>26</v>
      </c>
      <c r="B61" s="31">
        <f>(E59*E59)/54</f>
        <v>18999258.832816672</v>
      </c>
      <c r="C61" s="31"/>
      <c r="D61" s="31"/>
      <c r="I61" s="117"/>
      <c r="J61" s="117"/>
      <c r="K61" s="117"/>
    </row>
    <row r="62" spans="1:18" x14ac:dyDescent="0.25">
      <c r="A62" s="30" t="s">
        <v>27</v>
      </c>
      <c r="B62" s="31">
        <f>SUMSQ(B41:D58)-B61</f>
        <v>378569.32768332213</v>
      </c>
      <c r="C62" s="30" t="s">
        <v>28</v>
      </c>
      <c r="D62" s="31">
        <f>(SUMSQ(B59:D59)/18)-B61</f>
        <v>929.43007777258754</v>
      </c>
      <c r="I62" s="117"/>
      <c r="J62" s="117"/>
      <c r="K62" s="117"/>
    </row>
    <row r="63" spans="1:18" x14ac:dyDescent="0.25">
      <c r="A63" s="30" t="s">
        <v>30</v>
      </c>
      <c r="B63" s="31">
        <f>(SUMSQ(E41:E58)/3)-B61</f>
        <v>337031.24461666495</v>
      </c>
      <c r="C63" s="30" t="s">
        <v>31</v>
      </c>
      <c r="D63" s="31">
        <f>B62-B63-D62</f>
        <v>40608.652988884598</v>
      </c>
      <c r="I63" s="117"/>
      <c r="J63" s="117"/>
      <c r="K63" s="117"/>
    </row>
    <row r="64" spans="1:18" x14ac:dyDescent="0.25">
      <c r="I64" s="117"/>
      <c r="J64" s="117"/>
      <c r="K64" s="117"/>
    </row>
    <row r="67" spans="1:19" x14ac:dyDescent="0.25">
      <c r="C67" s="120" t="s">
        <v>154</v>
      </c>
    </row>
    <row r="69" spans="1:19" x14ac:dyDescent="0.25">
      <c r="A69" s="36" t="s">
        <v>104</v>
      </c>
      <c r="B69" s="38">
        <v>2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5"/>
      <c r="N69" s="35"/>
      <c r="O69" s="39"/>
      <c r="P69" s="39"/>
    </row>
    <row r="70" spans="1:19" x14ac:dyDescent="0.25">
      <c r="A70" s="36" t="s">
        <v>105</v>
      </c>
      <c r="B70" s="38">
        <v>9</v>
      </c>
      <c r="C70" s="39" t="s">
        <v>107</v>
      </c>
      <c r="D70" s="39">
        <v>18</v>
      </c>
      <c r="E70" s="39"/>
      <c r="F70" s="39"/>
      <c r="G70" s="39"/>
      <c r="H70" s="39"/>
      <c r="I70" s="39"/>
      <c r="J70" s="39"/>
      <c r="K70" s="39"/>
      <c r="L70" s="39"/>
      <c r="M70" s="35"/>
      <c r="N70" s="35"/>
      <c r="O70" s="39"/>
      <c r="P70" s="39"/>
    </row>
    <row r="71" spans="1:19" x14ac:dyDescent="0.25">
      <c r="A71" s="37" t="s">
        <v>106</v>
      </c>
      <c r="B71" s="40">
        <v>3</v>
      </c>
    </row>
    <row r="72" spans="1:19" x14ac:dyDescent="0.25">
      <c r="A72" s="46" t="s">
        <v>0</v>
      </c>
      <c r="B72" s="30" t="s">
        <v>1</v>
      </c>
      <c r="C72" s="30" t="s">
        <v>2</v>
      </c>
      <c r="D72" s="30" t="s">
        <v>3</v>
      </c>
      <c r="E72" s="30" t="s">
        <v>4</v>
      </c>
      <c r="F72" s="30" t="s">
        <v>5</v>
      </c>
      <c r="O72" s="41" t="s">
        <v>7</v>
      </c>
      <c r="R72" s="41"/>
      <c r="S72" s="41"/>
    </row>
    <row r="73" spans="1:19" x14ac:dyDescent="0.25">
      <c r="A73" s="32" t="s">
        <v>86</v>
      </c>
      <c r="B73" s="68">
        <v>515.86</v>
      </c>
      <c r="C73" s="68">
        <v>607.84</v>
      </c>
      <c r="D73" s="68">
        <v>796.58</v>
      </c>
      <c r="E73" s="31">
        <f>SUM(B73:D73)</f>
        <v>1920.2800000000002</v>
      </c>
      <c r="F73" s="31">
        <f>E73/3</f>
        <v>640.09333333333336</v>
      </c>
      <c r="H73" s="47"/>
      <c r="I73" s="47"/>
      <c r="J73" s="47" t="s">
        <v>6</v>
      </c>
      <c r="K73" s="47"/>
      <c r="L73" s="47"/>
      <c r="M73" s="47"/>
      <c r="N73" s="47"/>
      <c r="O73" s="33">
        <v>1</v>
      </c>
      <c r="P73" s="31">
        <f>SUM(F73:F81)/9</f>
        <v>869.92259259259254</v>
      </c>
      <c r="Q73" s="49">
        <f>RANK(P73,P$73:P$74,0)</f>
        <v>1</v>
      </c>
      <c r="R73" s="41"/>
      <c r="S73" s="41"/>
    </row>
    <row r="74" spans="1:19" x14ac:dyDescent="0.25">
      <c r="A74" s="32" t="s">
        <v>87</v>
      </c>
      <c r="B74" s="68">
        <v>889.69</v>
      </c>
      <c r="C74" s="68">
        <v>806.59</v>
      </c>
      <c r="D74" s="68">
        <v>978.59</v>
      </c>
      <c r="E74" s="31">
        <f t="shared" ref="E74:E90" si="15">SUM(B74:D74)</f>
        <v>2674.8700000000003</v>
      </c>
      <c r="F74" s="31">
        <f t="shared" ref="F74:F87" si="16">E74/3</f>
        <v>891.62333333333345</v>
      </c>
      <c r="G74" s="31"/>
      <c r="H74" s="30" t="s">
        <v>8</v>
      </c>
      <c r="I74" s="30" t="s">
        <v>9</v>
      </c>
      <c r="J74" s="30" t="s">
        <v>10</v>
      </c>
      <c r="K74" s="30" t="s">
        <v>11</v>
      </c>
      <c r="L74" s="30" t="s">
        <v>12</v>
      </c>
      <c r="M74" s="30" t="s">
        <v>112</v>
      </c>
      <c r="N74" s="50"/>
      <c r="O74" s="33">
        <v>2</v>
      </c>
      <c r="P74" s="31">
        <f>SUM(F82:F90)/9</f>
        <v>830.79333333333329</v>
      </c>
      <c r="Q74" s="49">
        <f>RANK(P74,P$73:P$74,0)</f>
        <v>2</v>
      </c>
      <c r="R74" s="41"/>
      <c r="S74" s="41"/>
    </row>
    <row r="75" spans="1:19" x14ac:dyDescent="0.25">
      <c r="A75" s="32" t="s">
        <v>88</v>
      </c>
      <c r="B75" s="68">
        <v>889.58</v>
      </c>
      <c r="C75" s="68">
        <v>985.59</v>
      </c>
      <c r="D75" s="68">
        <v>946.58</v>
      </c>
      <c r="E75" s="31">
        <f t="shared" si="15"/>
        <v>2821.75</v>
      </c>
      <c r="F75" s="31">
        <f t="shared" si="16"/>
        <v>940.58333333333337</v>
      </c>
      <c r="G75" s="31" t="s">
        <v>13</v>
      </c>
      <c r="H75" s="31">
        <f>B71-1</f>
        <v>2</v>
      </c>
      <c r="I75" s="31">
        <f>D94</f>
        <v>91242.814681477845</v>
      </c>
      <c r="J75" s="31">
        <f>I75/H75</f>
        <v>45621.407340738922</v>
      </c>
      <c r="K75" s="31">
        <f>J75/$J$16</f>
        <v>278.49006684319755</v>
      </c>
      <c r="L75" s="31">
        <f>FINV(0.05,H75,$H$16)</f>
        <v>3.275897990672394</v>
      </c>
      <c r="M75" s="31" t="str">
        <f>IF(K75&gt;=L75, "S", "NS")</f>
        <v>S</v>
      </c>
      <c r="N75" s="39"/>
      <c r="O75" s="30" t="s">
        <v>14</v>
      </c>
      <c r="P75" s="42">
        <f>SQRT(J80/(3*9))</f>
        <v>13.143212003554073</v>
      </c>
      <c r="R75" s="41"/>
      <c r="S75" s="41"/>
    </row>
    <row r="76" spans="1:19" x14ac:dyDescent="0.25">
      <c r="A76" s="32" t="s">
        <v>89</v>
      </c>
      <c r="B76" s="68">
        <v>786.59</v>
      </c>
      <c r="C76" s="68">
        <v>823.45</v>
      </c>
      <c r="D76" s="68">
        <v>926.54</v>
      </c>
      <c r="E76" s="31">
        <f t="shared" si="15"/>
        <v>2536.58</v>
      </c>
      <c r="F76" s="31">
        <f t="shared" si="16"/>
        <v>845.52666666666664</v>
      </c>
      <c r="G76" s="31" t="s">
        <v>15</v>
      </c>
      <c r="H76" s="31">
        <f>D70-1</f>
        <v>17</v>
      </c>
      <c r="I76" s="31">
        <f>B95</f>
        <v>470362.3488092497</v>
      </c>
      <c r="J76" s="31">
        <f t="shared" ref="J76:J80" si="17">I76/H76</f>
        <v>27668.373459367631</v>
      </c>
      <c r="K76" s="31">
        <f>J76/$J$16</f>
        <v>168.89805955769188</v>
      </c>
      <c r="L76" s="31">
        <f>FINV(0.05,H76,$H$16)</f>
        <v>1.9332068318040869</v>
      </c>
      <c r="M76" s="43" t="str">
        <f t="shared" ref="M76" si="18">IF(K76&gt;=L76, "S", "NS")</f>
        <v>S</v>
      </c>
      <c r="N76" s="30" t="s">
        <v>113</v>
      </c>
      <c r="O76" s="30" t="s">
        <v>16</v>
      </c>
      <c r="P76" s="42">
        <f>SQRT((2*J80)/(3*9))*L81</f>
        <v>37.773955984697118</v>
      </c>
      <c r="R76" s="41"/>
      <c r="S76" s="41"/>
    </row>
    <row r="77" spans="1:19" x14ac:dyDescent="0.25">
      <c r="A77" s="32" t="s">
        <v>90</v>
      </c>
      <c r="B77" s="68">
        <v>886.59</v>
      </c>
      <c r="C77" s="68">
        <v>996.25</v>
      </c>
      <c r="D77" s="68">
        <v>900.26</v>
      </c>
      <c r="E77" s="31">
        <f t="shared" si="15"/>
        <v>2783.1000000000004</v>
      </c>
      <c r="F77" s="31">
        <f t="shared" si="16"/>
        <v>927.70000000000016</v>
      </c>
      <c r="G77" s="31" t="s">
        <v>108</v>
      </c>
      <c r="H77" s="31">
        <f>B69-1</f>
        <v>1</v>
      </c>
      <c r="I77" s="31">
        <f>(SUM(E73:E81)^2+SUM(E82:E90)^2)/27-B93</f>
        <v>20669.835557386279</v>
      </c>
      <c r="J77" s="31">
        <f t="shared" si="17"/>
        <v>20669.835557386279</v>
      </c>
      <c r="K77" s="31">
        <f>J77/$J$16</f>
        <v>126.17637687108606</v>
      </c>
      <c r="L77" s="31">
        <f>FINV(0.05,H77,$H$16)</f>
        <v>4.1300177456520188</v>
      </c>
      <c r="M77" s="31" t="str">
        <f>IF(K77&gt;=L77, "S", "NS")</f>
        <v>S</v>
      </c>
      <c r="N77" s="39"/>
      <c r="O77" s="33">
        <v>1</v>
      </c>
      <c r="P77" s="31">
        <f>(F73+F82)/2</f>
        <v>623.43333333333339</v>
      </c>
      <c r="Q77" s="49">
        <f>RANK(P77,P$77:P$85,0)</f>
        <v>9</v>
      </c>
      <c r="R77" s="51">
        <v>9</v>
      </c>
      <c r="S77" s="41"/>
    </row>
    <row r="78" spans="1:19" x14ac:dyDescent="0.25">
      <c r="A78" s="32" t="s">
        <v>91</v>
      </c>
      <c r="B78" s="68">
        <v>859.62</v>
      </c>
      <c r="C78" s="68">
        <v>995.56</v>
      </c>
      <c r="D78" s="68">
        <v>1052.1600000000001</v>
      </c>
      <c r="E78" s="31">
        <f t="shared" si="15"/>
        <v>2907.34</v>
      </c>
      <c r="F78" s="31">
        <f t="shared" si="16"/>
        <v>969.11333333333334</v>
      </c>
      <c r="G78" s="31" t="s">
        <v>109</v>
      </c>
      <c r="H78" s="31">
        <f>B70-1</f>
        <v>8</v>
      </c>
      <c r="I78" s="31">
        <f>((E73+E82)^2+(E74+E83)^2+(E75+E84)^2+(E76+E85)^2+(E77+E86)^2+(E78+E87)^2+(E79+E88)^2+(E80+E89)^2+(E81+E90)^2/6)-B93</f>
        <v>177942383.49599257</v>
      </c>
      <c r="J78" s="31">
        <f t="shared" si="17"/>
        <v>22242797.936999071</v>
      </c>
      <c r="K78" s="31">
        <f>J78/$J$16</f>
        <v>135778.32524958398</v>
      </c>
      <c r="L78" s="31">
        <f>FINV(0.05,H78,$H$16)</f>
        <v>2.2253399674380931</v>
      </c>
      <c r="M78" s="31" t="str">
        <f>IF(K78&gt;=L78, "S", "NS")</f>
        <v>S</v>
      </c>
      <c r="N78" s="39"/>
      <c r="O78" s="33">
        <v>2</v>
      </c>
      <c r="P78" s="31">
        <f t="shared" ref="P78:P85" si="19">(F74+F83)/2</f>
        <v>865.36833333333334</v>
      </c>
      <c r="Q78" s="49">
        <f t="shared" ref="Q78:Q84" si="20">RANK(P78,P$77:P$85,0)</f>
        <v>5</v>
      </c>
      <c r="R78" s="52">
        <v>5</v>
      </c>
      <c r="S78" s="41"/>
    </row>
    <row r="79" spans="1:19" x14ac:dyDescent="0.25">
      <c r="A79" s="32" t="s">
        <v>92</v>
      </c>
      <c r="B79" s="68">
        <v>803.26</v>
      </c>
      <c r="C79" s="68">
        <v>916.56</v>
      </c>
      <c r="D79" s="68">
        <v>832.56</v>
      </c>
      <c r="E79" s="31">
        <f t="shared" si="15"/>
        <v>2552.38</v>
      </c>
      <c r="F79" s="31">
        <f t="shared" si="16"/>
        <v>850.79333333333341</v>
      </c>
      <c r="G79" s="26" t="s">
        <v>110</v>
      </c>
      <c r="H79" s="31">
        <f>H77*H78</f>
        <v>8</v>
      </c>
      <c r="I79" s="31">
        <f>I76-(I77+I78)</f>
        <v>-177492690.9827407</v>
      </c>
      <c r="J79" s="31">
        <f t="shared" si="17"/>
        <v>-22186586.372842588</v>
      </c>
      <c r="K79" s="44">
        <f>J79/$J$16</f>
        <v>-135435.18892013279</v>
      </c>
      <c r="L79" s="31">
        <f>FINV(0.05,H79,$H$16)</f>
        <v>2.2253399674380931</v>
      </c>
      <c r="M79" s="31" t="str">
        <f t="shared" ref="M79" si="21">IF(K79&gt;=L79, "S", "NS")</f>
        <v>NS</v>
      </c>
      <c r="N79" s="39"/>
      <c r="O79" s="33">
        <v>3</v>
      </c>
      <c r="P79" s="31">
        <f t="shared" si="19"/>
        <v>917.62666666666667</v>
      </c>
      <c r="Q79" s="49">
        <f t="shared" si="20"/>
        <v>2</v>
      </c>
      <c r="R79" s="52">
        <v>2</v>
      </c>
      <c r="S79" s="41"/>
    </row>
    <row r="80" spans="1:19" x14ac:dyDescent="0.25">
      <c r="A80" s="32" t="s">
        <v>93</v>
      </c>
      <c r="B80" s="68">
        <v>914.56</v>
      </c>
      <c r="C80" s="68">
        <v>913.56</v>
      </c>
      <c r="D80" s="68">
        <v>942.57</v>
      </c>
      <c r="E80" s="31">
        <f t="shared" si="15"/>
        <v>2770.69</v>
      </c>
      <c r="F80" s="31">
        <f t="shared" si="16"/>
        <v>923.56333333333339</v>
      </c>
      <c r="G80" s="45" t="s">
        <v>23</v>
      </c>
      <c r="H80" s="31">
        <f>((B71-1)*(B69*B70-1))</f>
        <v>34</v>
      </c>
      <c r="I80" s="31">
        <f>D95</f>
        <v>158579.01198519766</v>
      </c>
      <c r="J80" s="31">
        <f t="shared" si="17"/>
        <v>4664.0885877999317</v>
      </c>
      <c r="O80" s="33">
        <v>4</v>
      </c>
      <c r="P80" s="31">
        <f t="shared" si="19"/>
        <v>823.68166666666662</v>
      </c>
      <c r="Q80" s="49">
        <f t="shared" si="20"/>
        <v>7</v>
      </c>
      <c r="R80" s="52">
        <v>7</v>
      </c>
      <c r="S80" s="41"/>
    </row>
    <row r="81" spans="1:18" x14ac:dyDescent="0.25">
      <c r="A81" s="32" t="s">
        <v>94</v>
      </c>
      <c r="B81" s="68">
        <v>768.59</v>
      </c>
      <c r="C81" s="68">
        <v>846.65</v>
      </c>
      <c r="D81" s="68">
        <v>905.68</v>
      </c>
      <c r="E81" s="31">
        <f t="shared" si="15"/>
        <v>2520.92</v>
      </c>
      <c r="F81" s="31">
        <f t="shared" si="16"/>
        <v>840.30666666666673</v>
      </c>
      <c r="G81" s="44" t="s">
        <v>4</v>
      </c>
      <c r="H81" s="31">
        <f>SUM(H75:H80)-H76</f>
        <v>53</v>
      </c>
      <c r="I81" s="31">
        <f>B94</f>
        <v>720184.17547592521</v>
      </c>
      <c r="K81" s="31" t="s">
        <v>111</v>
      </c>
      <c r="L81" s="41">
        <f>TINV(0.05,34)</f>
        <v>2.0322445093177191</v>
      </c>
      <c r="O81" s="33">
        <v>5</v>
      </c>
      <c r="P81" s="31">
        <f t="shared" si="19"/>
        <v>913.62000000000012</v>
      </c>
      <c r="Q81" s="49">
        <f t="shared" si="20"/>
        <v>3</v>
      </c>
      <c r="R81" s="51">
        <v>3</v>
      </c>
    </row>
    <row r="82" spans="1:18" x14ac:dyDescent="0.25">
      <c r="A82" s="32" t="s">
        <v>95</v>
      </c>
      <c r="B82" s="68">
        <v>525.48</v>
      </c>
      <c r="C82" s="68">
        <v>559.55999999999995</v>
      </c>
      <c r="D82" s="68">
        <v>735.28</v>
      </c>
      <c r="E82" s="31">
        <f t="shared" si="15"/>
        <v>1820.32</v>
      </c>
      <c r="F82" s="31">
        <f t="shared" si="16"/>
        <v>606.77333333333331</v>
      </c>
      <c r="G82" s="34" t="s">
        <v>14</v>
      </c>
      <c r="H82" s="31">
        <f>SQRT(J80/3)</f>
        <v>39.429636010662215</v>
      </c>
      <c r="O82" s="33">
        <v>6</v>
      </c>
      <c r="P82" s="31">
        <f t="shared" si="19"/>
        <v>945.73333333333335</v>
      </c>
      <c r="Q82" s="49">
        <f t="shared" si="20"/>
        <v>1</v>
      </c>
      <c r="R82" s="52">
        <v>1</v>
      </c>
    </row>
    <row r="83" spans="1:18" x14ac:dyDescent="0.25">
      <c r="A83" s="32" t="s">
        <v>96</v>
      </c>
      <c r="B83" s="68">
        <v>765.98</v>
      </c>
      <c r="C83" s="68">
        <v>952.68</v>
      </c>
      <c r="D83" s="68">
        <v>798.68</v>
      </c>
      <c r="E83" s="31">
        <f t="shared" si="15"/>
        <v>2517.3399999999997</v>
      </c>
      <c r="F83" s="31">
        <f t="shared" si="16"/>
        <v>839.11333333333323</v>
      </c>
      <c r="G83" s="34" t="s">
        <v>16</v>
      </c>
      <c r="H83" s="31">
        <f>(SQRT((2*J80)/3))*L81</f>
        <v>113.32186795409135</v>
      </c>
      <c r="O83" s="33">
        <v>7</v>
      </c>
      <c r="P83" s="31">
        <f t="shared" si="19"/>
        <v>838.98666666666668</v>
      </c>
      <c r="Q83" s="49">
        <f t="shared" si="20"/>
        <v>6</v>
      </c>
      <c r="R83" s="52">
        <v>6</v>
      </c>
    </row>
    <row r="84" spans="1:18" x14ac:dyDescent="0.25">
      <c r="A84" s="32" t="s">
        <v>97</v>
      </c>
      <c r="B84" s="68">
        <v>801.56</v>
      </c>
      <c r="C84" s="68">
        <v>992.56</v>
      </c>
      <c r="D84" s="68">
        <v>889.89</v>
      </c>
      <c r="E84" s="31">
        <f t="shared" si="15"/>
        <v>2684.0099999999998</v>
      </c>
      <c r="F84" s="31">
        <f t="shared" si="16"/>
        <v>894.67</v>
      </c>
      <c r="G84" s="34" t="s">
        <v>29</v>
      </c>
      <c r="H84" s="31">
        <f>((SQRT(J80))/F91)*100</f>
        <v>8.0312216582828526</v>
      </c>
      <c r="O84" s="33">
        <v>8</v>
      </c>
      <c r="P84" s="31">
        <f t="shared" si="19"/>
        <v>908.53333333333342</v>
      </c>
      <c r="Q84" s="49">
        <f t="shared" si="20"/>
        <v>4</v>
      </c>
      <c r="R84" s="51">
        <v>4</v>
      </c>
    </row>
    <row r="85" spans="1:18" x14ac:dyDescent="0.25">
      <c r="A85" s="32" t="s">
        <v>98</v>
      </c>
      <c r="B85" s="68">
        <v>715.68</v>
      </c>
      <c r="C85" s="68">
        <v>796.58</v>
      </c>
      <c r="D85" s="68">
        <v>893.25</v>
      </c>
      <c r="E85" s="31">
        <f t="shared" si="15"/>
        <v>2405.5100000000002</v>
      </c>
      <c r="F85" s="31">
        <f t="shared" si="16"/>
        <v>801.8366666666667</v>
      </c>
      <c r="O85" s="33">
        <v>9</v>
      </c>
      <c r="P85" s="31">
        <f t="shared" si="19"/>
        <v>816.23833333333334</v>
      </c>
      <c r="Q85" s="49">
        <f>RANK(P85,P$77:P$85,0)</f>
        <v>8</v>
      </c>
      <c r="R85" s="52">
        <v>8</v>
      </c>
    </row>
    <row r="86" spans="1:18" x14ac:dyDescent="0.25">
      <c r="A86" s="32" t="s">
        <v>99</v>
      </c>
      <c r="B86" s="68">
        <v>815.68</v>
      </c>
      <c r="C86" s="68">
        <v>982.68</v>
      </c>
      <c r="D86" s="68">
        <v>900.26</v>
      </c>
      <c r="E86" s="31">
        <f t="shared" si="15"/>
        <v>2698.62</v>
      </c>
      <c r="F86" s="31">
        <f t="shared" si="16"/>
        <v>899.54</v>
      </c>
      <c r="O86" s="30" t="s">
        <v>14</v>
      </c>
      <c r="P86" s="42">
        <f>SQRT(J80/(3*2))</f>
        <v>27.880963002856543</v>
      </c>
      <c r="Q86" s="49"/>
    </row>
    <row r="87" spans="1:18" x14ac:dyDescent="0.25">
      <c r="A87" s="32" t="s">
        <v>100</v>
      </c>
      <c r="B87" s="68">
        <v>901.26</v>
      </c>
      <c r="C87" s="68">
        <v>945.68</v>
      </c>
      <c r="D87" s="68">
        <v>920.12</v>
      </c>
      <c r="E87" s="31">
        <f t="shared" si="15"/>
        <v>2767.06</v>
      </c>
      <c r="F87" s="31">
        <f t="shared" si="16"/>
        <v>922.35333333333335</v>
      </c>
      <c r="N87" s="30" t="s">
        <v>109</v>
      </c>
      <c r="O87" s="30" t="s">
        <v>16</v>
      </c>
      <c r="P87" s="42">
        <f>SQRT((2*J80)/(3*2))*L81</f>
        <v>80.130661287064498</v>
      </c>
      <c r="Q87" s="49"/>
    </row>
    <row r="88" spans="1:18" x14ac:dyDescent="0.25">
      <c r="A88" s="32" t="s">
        <v>101</v>
      </c>
      <c r="B88" s="68">
        <v>789.69</v>
      </c>
      <c r="C88" s="68">
        <v>905.26</v>
      </c>
      <c r="D88" s="68">
        <v>786.59</v>
      </c>
      <c r="E88" s="31">
        <f t="shared" si="15"/>
        <v>2481.54</v>
      </c>
      <c r="F88" s="31">
        <f>E88/3</f>
        <v>827.18</v>
      </c>
      <c r="Q88" s="49"/>
    </row>
    <row r="89" spans="1:18" x14ac:dyDescent="0.25">
      <c r="A89" s="32" t="s">
        <v>102</v>
      </c>
      <c r="B89" s="68">
        <v>865.59</v>
      </c>
      <c r="C89" s="68">
        <v>822.36</v>
      </c>
      <c r="D89" s="68">
        <v>992.56</v>
      </c>
      <c r="E89" s="31">
        <f t="shared" si="15"/>
        <v>2680.51</v>
      </c>
      <c r="F89" s="31">
        <f t="shared" ref="F89:F90" si="22">E89/3</f>
        <v>893.50333333333344</v>
      </c>
    </row>
    <row r="90" spans="1:18" x14ac:dyDescent="0.25">
      <c r="A90" s="32" t="s">
        <v>103</v>
      </c>
      <c r="B90" s="68">
        <v>769.59</v>
      </c>
      <c r="C90" s="68">
        <v>891.24</v>
      </c>
      <c r="D90" s="68">
        <v>715.68</v>
      </c>
      <c r="E90" s="31">
        <f t="shared" si="15"/>
        <v>2376.5099999999998</v>
      </c>
      <c r="F90" s="31">
        <f t="shared" si="22"/>
        <v>792.17</v>
      </c>
    </row>
    <row r="91" spans="1:18" x14ac:dyDescent="0.25">
      <c r="A91" s="30" t="s">
        <v>4</v>
      </c>
      <c r="B91" s="31">
        <f>SUM(B73:B90)</f>
        <v>14264.85</v>
      </c>
      <c r="C91" s="31">
        <f t="shared" ref="C91:D91" si="23">SUM(C73:C90)</f>
        <v>15740.65</v>
      </c>
      <c r="D91" s="31">
        <f t="shared" si="23"/>
        <v>15913.830000000002</v>
      </c>
      <c r="E91" s="31">
        <f>SUM(E73:E90)</f>
        <v>45919.33</v>
      </c>
      <c r="F91" s="31">
        <f>AVERAGE(B73:D90)</f>
        <v>850.35796296296314</v>
      </c>
    </row>
    <row r="92" spans="1:18" x14ac:dyDescent="0.25">
      <c r="A92" s="30" t="s">
        <v>5</v>
      </c>
      <c r="B92" s="31">
        <f>B91/18</f>
        <v>792.49166666666667</v>
      </c>
      <c r="C92" s="31">
        <f>C91/18</f>
        <v>874.4805555555555</v>
      </c>
      <c r="D92" s="31">
        <f>D91/18</f>
        <v>884.1016666666668</v>
      </c>
    </row>
    <row r="93" spans="1:18" x14ac:dyDescent="0.25">
      <c r="A93" s="30" t="s">
        <v>26</v>
      </c>
      <c r="B93" s="31">
        <f>(E91*E91)/54</f>
        <v>39047867.919424079</v>
      </c>
      <c r="C93" s="31"/>
      <c r="D93" s="31"/>
    </row>
    <row r="94" spans="1:18" x14ac:dyDescent="0.25">
      <c r="A94" s="30" t="s">
        <v>27</v>
      </c>
      <c r="B94" s="31">
        <f>SUMSQ(B73:D90)-B93</f>
        <v>720184.17547592521</v>
      </c>
      <c r="C94" s="30" t="s">
        <v>28</v>
      </c>
      <c r="D94" s="31">
        <f>(SUMSQ(B91:D91)/18)-B93</f>
        <v>91242.814681477845</v>
      </c>
    </row>
    <row r="95" spans="1:18" x14ac:dyDescent="0.25">
      <c r="A95" s="30" t="s">
        <v>30</v>
      </c>
      <c r="B95" s="31">
        <f>(SUMSQ(E73:E90)/3)-B93</f>
        <v>470362.3488092497</v>
      </c>
      <c r="C95" s="30" t="s">
        <v>31</v>
      </c>
      <c r="D95" s="31">
        <f>B94-B95-D94</f>
        <v>158579.01198519766</v>
      </c>
    </row>
    <row r="99" spans="1:18" x14ac:dyDescent="0.25">
      <c r="C99" s="120" t="s">
        <v>155</v>
      </c>
    </row>
    <row r="101" spans="1:18" x14ac:dyDescent="0.25">
      <c r="A101" s="36" t="s">
        <v>104</v>
      </c>
      <c r="B101" s="38">
        <v>2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5"/>
      <c r="N101" s="35"/>
      <c r="O101" s="39"/>
      <c r="P101" s="39"/>
    </row>
    <row r="102" spans="1:18" x14ac:dyDescent="0.25">
      <c r="A102" s="36" t="s">
        <v>105</v>
      </c>
      <c r="B102" s="38">
        <v>9</v>
      </c>
      <c r="C102" s="39" t="s">
        <v>107</v>
      </c>
      <c r="D102" s="39">
        <v>18</v>
      </c>
      <c r="E102" s="39"/>
      <c r="F102" s="39"/>
      <c r="G102" s="39"/>
      <c r="H102" s="39"/>
      <c r="I102" s="39"/>
      <c r="J102" s="39"/>
      <c r="K102" s="39"/>
      <c r="L102" s="39"/>
      <c r="M102" s="35"/>
      <c r="N102" s="35"/>
      <c r="O102" s="39"/>
      <c r="P102" s="39"/>
    </row>
    <row r="103" spans="1:18" x14ac:dyDescent="0.25">
      <c r="A103" s="37" t="s">
        <v>106</v>
      </c>
      <c r="B103" s="40">
        <v>3</v>
      </c>
    </row>
    <row r="104" spans="1:18" x14ac:dyDescent="0.25">
      <c r="A104" s="46" t="s">
        <v>0</v>
      </c>
      <c r="B104" s="30" t="s">
        <v>1</v>
      </c>
      <c r="C104" s="30" t="s">
        <v>2</v>
      </c>
      <c r="D104" s="30" t="s">
        <v>3</v>
      </c>
      <c r="E104" s="30" t="s">
        <v>4</v>
      </c>
      <c r="F104" s="30" t="s">
        <v>5</v>
      </c>
      <c r="O104" s="41" t="s">
        <v>7</v>
      </c>
      <c r="R104" s="41"/>
    </row>
    <row r="105" spans="1:18" x14ac:dyDescent="0.25">
      <c r="A105" s="32" t="s">
        <v>86</v>
      </c>
      <c r="B105" s="68">
        <v>597.76</v>
      </c>
      <c r="C105" s="68">
        <v>699.75</v>
      </c>
      <c r="D105" s="68">
        <v>883.08</v>
      </c>
      <c r="E105" s="31">
        <f>SUM(B105:D105)</f>
        <v>2180.59</v>
      </c>
      <c r="F105" s="31">
        <f>E105/3</f>
        <v>726.86333333333334</v>
      </c>
      <c r="H105" s="47"/>
      <c r="I105" s="47"/>
      <c r="J105" s="47" t="s">
        <v>6</v>
      </c>
      <c r="K105" s="47"/>
      <c r="L105" s="47"/>
      <c r="M105" s="47"/>
      <c r="N105" s="47"/>
      <c r="O105" s="33">
        <v>1</v>
      </c>
      <c r="P105" s="31">
        <f>SUM(F105:F113)/9</f>
        <v>1005.9592592592593</v>
      </c>
      <c r="Q105" s="49">
        <f>RANK(P105,P$105:P$106,0)</f>
        <v>1</v>
      </c>
      <c r="R105" s="41"/>
    </row>
    <row r="106" spans="1:18" x14ac:dyDescent="0.25">
      <c r="A106" s="32" t="s">
        <v>87</v>
      </c>
      <c r="B106" s="68">
        <v>1056.45</v>
      </c>
      <c r="C106" s="68">
        <v>999.02</v>
      </c>
      <c r="D106" s="68">
        <v>1111.06</v>
      </c>
      <c r="E106" s="31">
        <f t="shared" ref="E106:E122" si="24">SUM(B106:D106)</f>
        <v>3166.53</v>
      </c>
      <c r="F106" s="31">
        <f t="shared" ref="F106:F119" si="25">E106/3</f>
        <v>1055.51</v>
      </c>
      <c r="G106" s="31"/>
      <c r="H106" s="30" t="s">
        <v>8</v>
      </c>
      <c r="I106" s="30" t="s">
        <v>9</v>
      </c>
      <c r="J106" s="30" t="s">
        <v>10</v>
      </c>
      <c r="K106" s="30" t="s">
        <v>11</v>
      </c>
      <c r="L106" s="30" t="s">
        <v>12</v>
      </c>
      <c r="M106" s="30" t="s">
        <v>112</v>
      </c>
      <c r="N106" s="50"/>
      <c r="O106" s="33">
        <v>2</v>
      </c>
      <c r="P106" s="31">
        <f>SUM(F114:F122)/9</f>
        <v>958.41888888888877</v>
      </c>
      <c r="Q106" s="49">
        <f>RANK(P106,P$105:P$106,0)</f>
        <v>2</v>
      </c>
      <c r="R106" s="41"/>
    </row>
    <row r="107" spans="1:18" x14ac:dyDescent="0.25">
      <c r="A107" s="32" t="s">
        <v>88</v>
      </c>
      <c r="B107" s="68">
        <v>987.79</v>
      </c>
      <c r="C107" s="68">
        <v>1038.08</v>
      </c>
      <c r="D107" s="68">
        <v>1200.06</v>
      </c>
      <c r="E107" s="31">
        <f t="shared" si="24"/>
        <v>3225.93</v>
      </c>
      <c r="F107" s="31">
        <f t="shared" si="25"/>
        <v>1075.31</v>
      </c>
      <c r="G107" s="31" t="s">
        <v>13</v>
      </c>
      <c r="H107" s="31">
        <f>B103-1</f>
        <v>2</v>
      </c>
      <c r="I107" s="31">
        <f>D126</f>
        <v>20805.400337055326</v>
      </c>
      <c r="J107" s="31">
        <f>I107/H107</f>
        <v>10402.700168527663</v>
      </c>
      <c r="K107" s="31">
        <f>J107/$J$16</f>
        <v>63.501957395689764</v>
      </c>
      <c r="L107" s="31">
        <f>FINV(0.05,H107,$H$16)</f>
        <v>3.275897990672394</v>
      </c>
      <c r="M107" s="31" t="str">
        <f>IF(K107&gt;=L107, "S", "NS")</f>
        <v>S</v>
      </c>
      <c r="N107" s="39"/>
      <c r="O107" s="30" t="s">
        <v>14</v>
      </c>
      <c r="P107" s="42">
        <f>SQRT(J112/(3*9))</f>
        <v>12.399399676662563</v>
      </c>
      <c r="R107" s="41"/>
    </row>
    <row r="108" spans="1:18" x14ac:dyDescent="0.25">
      <c r="A108" s="32" t="s">
        <v>89</v>
      </c>
      <c r="B108" s="68">
        <v>992.95</v>
      </c>
      <c r="C108" s="68">
        <v>968.39</v>
      </c>
      <c r="D108" s="68">
        <v>988.09</v>
      </c>
      <c r="E108" s="31">
        <f t="shared" si="24"/>
        <v>2949.4300000000003</v>
      </c>
      <c r="F108" s="31">
        <f t="shared" si="25"/>
        <v>983.14333333333343</v>
      </c>
      <c r="G108" s="31" t="s">
        <v>15</v>
      </c>
      <c r="H108" s="31">
        <f>D102-1</f>
        <v>17</v>
      </c>
      <c r="I108" s="31">
        <f>B127</f>
        <v>658647.85658705235</v>
      </c>
      <c r="J108" s="31">
        <f t="shared" ref="J108:J112" si="26">I108/H108</f>
        <v>38743.991563944255</v>
      </c>
      <c r="K108" s="31">
        <f>J108/$J$16</f>
        <v>236.50775873325694</v>
      </c>
      <c r="L108" s="31">
        <f>FINV(0.05,H108,$H$16)</f>
        <v>1.9332068318040869</v>
      </c>
      <c r="M108" s="43" t="str">
        <f t="shared" ref="M108" si="27">IF(K108&gt;=L108, "S", "NS")</f>
        <v>S</v>
      </c>
      <c r="N108" s="30" t="s">
        <v>113</v>
      </c>
      <c r="O108" s="30" t="s">
        <v>16</v>
      </c>
      <c r="P108" s="42">
        <f>SQRT((2*J112)/(3*9))*L113</f>
        <v>35.636218718549586</v>
      </c>
      <c r="R108" s="41"/>
    </row>
    <row r="109" spans="1:18" x14ac:dyDescent="0.25">
      <c r="A109" s="32" t="s">
        <v>90</v>
      </c>
      <c r="B109" s="68">
        <v>1087.49</v>
      </c>
      <c r="C109" s="68">
        <v>1067.3900000000001</v>
      </c>
      <c r="D109" s="68">
        <v>1073.48</v>
      </c>
      <c r="E109" s="31">
        <f t="shared" si="24"/>
        <v>3228.36</v>
      </c>
      <c r="F109" s="31">
        <f t="shared" si="25"/>
        <v>1076.1200000000001</v>
      </c>
      <c r="G109" s="31" t="s">
        <v>108</v>
      </c>
      <c r="H109" s="31">
        <f>B101-1</f>
        <v>1</v>
      </c>
      <c r="I109" s="31">
        <f>(SUM(E105:E113)^2+SUM(E114:E122)^2)/27-B125</f>
        <v>30511.172001861036</v>
      </c>
      <c r="J109" s="31">
        <f t="shared" si="26"/>
        <v>30511.172001861036</v>
      </c>
      <c r="K109" s="31">
        <f>J109/$J$16</f>
        <v>186.25156095688635</v>
      </c>
      <c r="L109" s="31">
        <f>FINV(0.05,H109,$H$16)</f>
        <v>4.1300177456520188</v>
      </c>
      <c r="M109" s="31" t="str">
        <f>IF(K109&gt;=L109, "S", "NS")</f>
        <v>S</v>
      </c>
      <c r="N109" s="39"/>
      <c r="O109" s="33">
        <v>1</v>
      </c>
      <c r="P109" s="31">
        <f>(F105+F114)/2</f>
        <v>699.43499999999995</v>
      </c>
      <c r="Q109" s="49">
        <f>RANK(P109,P$109:P$117,0)</f>
        <v>9</v>
      </c>
      <c r="R109" s="51">
        <v>9</v>
      </c>
    </row>
    <row r="110" spans="1:18" x14ac:dyDescent="0.25">
      <c r="A110" s="32" t="s">
        <v>91</v>
      </c>
      <c r="B110" s="68">
        <v>1113.18</v>
      </c>
      <c r="C110" s="68">
        <v>1086.08</v>
      </c>
      <c r="D110" s="68">
        <v>1103.18</v>
      </c>
      <c r="E110" s="31">
        <f t="shared" si="24"/>
        <v>3302.4400000000005</v>
      </c>
      <c r="F110" s="31">
        <f t="shared" si="25"/>
        <v>1100.8133333333335</v>
      </c>
      <c r="G110" s="31" t="s">
        <v>109</v>
      </c>
      <c r="H110" s="31">
        <f>B102-1</f>
        <v>8</v>
      </c>
      <c r="I110" s="31">
        <f>((E105+E114)^2+(E106+E115)^2+(E107+E116)^2+(E108+E117)^2+(E109+E118)^2+(E110+E119)^2+(E111+E120)^2+(E112+E121)^2+(E113+E122)^2/6)-B125</f>
        <v>237045921.40565369</v>
      </c>
      <c r="J110" s="31">
        <f t="shared" si="26"/>
        <v>29630740.175706711</v>
      </c>
      <c r="K110" s="31">
        <f>J110/$J$16</f>
        <v>180877.07708168932</v>
      </c>
      <c r="L110" s="31">
        <f>FINV(0.05,H110,$H$16)</f>
        <v>2.2253399674380931</v>
      </c>
      <c r="M110" s="31" t="str">
        <f>IF(K110&gt;=L110, "S", "NS")</f>
        <v>S</v>
      </c>
      <c r="N110" s="39"/>
      <c r="O110" s="33">
        <v>2</v>
      </c>
      <c r="P110" s="31">
        <f t="shared" ref="P110:P117" si="28">(F106+F115)/2</f>
        <v>1028.8616666666667</v>
      </c>
      <c r="Q110" s="49">
        <f t="shared" ref="Q110:Q117" si="29">RANK(P110,P$109:P$117,0)</f>
        <v>5</v>
      </c>
      <c r="R110" s="52">
        <v>5</v>
      </c>
    </row>
    <row r="111" spans="1:18" x14ac:dyDescent="0.25">
      <c r="A111" s="32" t="s">
        <v>92</v>
      </c>
      <c r="B111" s="68">
        <v>993.19</v>
      </c>
      <c r="C111" s="68">
        <v>1078.3499999999999</v>
      </c>
      <c r="D111" s="68">
        <v>918.06</v>
      </c>
      <c r="E111" s="31">
        <f t="shared" si="24"/>
        <v>2989.6</v>
      </c>
      <c r="F111" s="31">
        <f t="shared" si="25"/>
        <v>996.5333333333333</v>
      </c>
      <c r="G111" s="26" t="s">
        <v>110</v>
      </c>
      <c r="H111" s="31">
        <f>H109*H110</f>
        <v>8</v>
      </c>
      <c r="I111" s="31">
        <f>I108-(I109+I110)</f>
        <v>-236417784.7210685</v>
      </c>
      <c r="J111" s="31">
        <f t="shared" si="26"/>
        <v>-29552223.090133563</v>
      </c>
      <c r="K111" s="44">
        <f>J111/$J$16</f>
        <v>-180397.77953950077</v>
      </c>
      <c r="L111" s="31">
        <f>FINV(0.05,H111,$H$16)</f>
        <v>2.2253399674380931</v>
      </c>
      <c r="M111" s="31" t="str">
        <f t="shared" ref="M111" si="30">IF(K111&gt;=L111, "S", "NS")</f>
        <v>NS</v>
      </c>
      <c r="N111" s="39"/>
      <c r="O111" s="33">
        <v>3</v>
      </c>
      <c r="P111" s="31">
        <f t="shared" si="28"/>
        <v>1048.5733333333333</v>
      </c>
      <c r="Q111" s="49">
        <f t="shared" si="29"/>
        <v>2</v>
      </c>
      <c r="R111" s="52">
        <v>2</v>
      </c>
    </row>
    <row r="112" spans="1:18" x14ac:dyDescent="0.25">
      <c r="A112" s="32" t="s">
        <v>93</v>
      </c>
      <c r="B112" s="68">
        <v>1069.0899999999999</v>
      </c>
      <c r="C112" s="68">
        <v>1053.3900000000001</v>
      </c>
      <c r="D112" s="68">
        <v>1063.3399999999999</v>
      </c>
      <c r="E112" s="31">
        <f t="shared" si="24"/>
        <v>3185.8199999999997</v>
      </c>
      <c r="F112" s="31">
        <f t="shared" si="25"/>
        <v>1061.9399999999998</v>
      </c>
      <c r="G112" s="45" t="s">
        <v>23</v>
      </c>
      <c r="H112" s="31">
        <f>((B103-1)*(B101*B102-1))</f>
        <v>34</v>
      </c>
      <c r="I112" s="31">
        <f>D127</f>
        <v>141138.01312960684</v>
      </c>
      <c r="J112" s="31">
        <f t="shared" si="26"/>
        <v>4151.1180332237309</v>
      </c>
      <c r="O112" s="33">
        <v>4</v>
      </c>
      <c r="P112" s="31">
        <f t="shared" si="28"/>
        <v>967.07166666666672</v>
      </c>
      <c r="Q112" s="49">
        <f t="shared" si="29"/>
        <v>7</v>
      </c>
      <c r="R112" s="52">
        <v>7</v>
      </c>
    </row>
    <row r="113" spans="1:18" x14ac:dyDescent="0.25">
      <c r="A113" s="32" t="s">
        <v>94</v>
      </c>
      <c r="B113" s="68">
        <v>986.07</v>
      </c>
      <c r="C113" s="68">
        <v>958.35</v>
      </c>
      <c r="D113" s="68">
        <v>987.78</v>
      </c>
      <c r="E113" s="31">
        <f t="shared" si="24"/>
        <v>2932.2</v>
      </c>
      <c r="F113" s="31">
        <f t="shared" si="25"/>
        <v>977.4</v>
      </c>
      <c r="G113" s="44" t="s">
        <v>4</v>
      </c>
      <c r="H113" s="31">
        <f>SUM(H107:H112)-H108</f>
        <v>53</v>
      </c>
      <c r="I113" s="31">
        <f>B126</f>
        <v>820591.27005371451</v>
      </c>
      <c r="K113" s="31" t="s">
        <v>111</v>
      </c>
      <c r="L113" s="41">
        <f>TINV(0.05,34)</f>
        <v>2.0322445093177191</v>
      </c>
      <c r="O113" s="33">
        <v>5</v>
      </c>
      <c r="P113" s="31">
        <f t="shared" si="28"/>
        <v>1048.0666666666666</v>
      </c>
      <c r="Q113" s="49">
        <f t="shared" si="29"/>
        <v>3</v>
      </c>
      <c r="R113" s="51">
        <v>3</v>
      </c>
    </row>
    <row r="114" spans="1:18" x14ac:dyDescent="0.25">
      <c r="A114" s="32" t="s">
        <v>95</v>
      </c>
      <c r="B114" s="68">
        <v>612.52</v>
      </c>
      <c r="C114" s="68">
        <v>652.25</v>
      </c>
      <c r="D114" s="68">
        <v>751.25</v>
      </c>
      <c r="E114" s="31">
        <f t="shared" si="24"/>
        <v>2016.02</v>
      </c>
      <c r="F114" s="31">
        <f t="shared" si="25"/>
        <v>672.00666666666666</v>
      </c>
      <c r="G114" s="34" t="s">
        <v>14</v>
      </c>
      <c r="H114" s="31">
        <f>SQRT(J112/3)</f>
        <v>37.198199029987691</v>
      </c>
      <c r="O114" s="33">
        <v>6</v>
      </c>
      <c r="P114" s="31">
        <f t="shared" si="28"/>
        <v>1074.8383333333334</v>
      </c>
      <c r="Q114" s="49">
        <f t="shared" si="29"/>
        <v>1</v>
      </c>
      <c r="R114" s="52">
        <v>1</v>
      </c>
    </row>
    <row r="115" spans="1:18" x14ac:dyDescent="0.25">
      <c r="A115" s="32" t="s">
        <v>96</v>
      </c>
      <c r="B115" s="68">
        <v>921.54</v>
      </c>
      <c r="C115" s="68">
        <v>961.25</v>
      </c>
      <c r="D115" s="68">
        <v>1123.8499999999999</v>
      </c>
      <c r="E115" s="31">
        <f t="shared" si="24"/>
        <v>3006.64</v>
      </c>
      <c r="F115" s="31">
        <f t="shared" si="25"/>
        <v>1002.2133333333333</v>
      </c>
      <c r="G115" s="34" t="s">
        <v>16</v>
      </c>
      <c r="H115" s="31">
        <f>(SQRT((2*J112)/3))*L113</f>
        <v>106.90865615564877</v>
      </c>
      <c r="O115" s="33">
        <v>7</v>
      </c>
      <c r="P115" s="31">
        <f t="shared" si="28"/>
        <v>976.42999999999984</v>
      </c>
      <c r="Q115" s="49">
        <f t="shared" si="29"/>
        <v>6</v>
      </c>
      <c r="R115" s="52">
        <v>6</v>
      </c>
    </row>
    <row r="116" spans="1:18" x14ac:dyDescent="0.25">
      <c r="A116" s="32" t="s">
        <v>97</v>
      </c>
      <c r="B116" s="68">
        <v>971.15</v>
      </c>
      <c r="C116" s="68">
        <v>1013.1799999999998</v>
      </c>
      <c r="D116" s="68">
        <v>1081.1799999999998</v>
      </c>
      <c r="E116" s="31">
        <f t="shared" si="24"/>
        <v>3065.5099999999998</v>
      </c>
      <c r="F116" s="31">
        <f t="shared" si="25"/>
        <v>1021.8366666666666</v>
      </c>
      <c r="G116" s="34" t="s">
        <v>29</v>
      </c>
      <c r="H116" s="31">
        <f>((SQRT(J112))/F123)*100</f>
        <v>6.5597523298389833</v>
      </c>
      <c r="L116" s="41">
        <f>P105-P106</f>
        <v>47.54037037037051</v>
      </c>
      <c r="O116" s="33">
        <v>8</v>
      </c>
      <c r="P116" s="31">
        <f t="shared" si="28"/>
        <v>1044.5049999999999</v>
      </c>
      <c r="Q116" s="49">
        <f t="shared" si="29"/>
        <v>4</v>
      </c>
      <c r="R116" s="51">
        <v>4</v>
      </c>
    </row>
    <row r="117" spans="1:18" x14ac:dyDescent="0.25">
      <c r="A117" s="32" t="s">
        <v>98</v>
      </c>
      <c r="B117" s="68">
        <v>924.56</v>
      </c>
      <c r="C117" s="68">
        <v>1001.58</v>
      </c>
      <c r="D117" s="68">
        <v>926.86</v>
      </c>
      <c r="E117" s="31">
        <f t="shared" si="24"/>
        <v>2853</v>
      </c>
      <c r="F117" s="31">
        <f t="shared" si="25"/>
        <v>951</v>
      </c>
      <c r="O117" s="33">
        <v>9</v>
      </c>
      <c r="P117" s="31">
        <f t="shared" si="28"/>
        <v>951.92000000000007</v>
      </c>
      <c r="Q117" s="49">
        <f t="shared" si="29"/>
        <v>8</v>
      </c>
      <c r="R117" s="52">
        <v>8</v>
      </c>
    </row>
    <row r="118" spans="1:18" x14ac:dyDescent="0.25">
      <c r="A118" s="32" t="s">
        <v>99</v>
      </c>
      <c r="B118" s="68">
        <v>989.56</v>
      </c>
      <c r="C118" s="68">
        <v>1081.29</v>
      </c>
      <c r="D118" s="68">
        <v>989.18999999999994</v>
      </c>
      <c r="E118" s="31">
        <f t="shared" si="24"/>
        <v>3060.04</v>
      </c>
      <c r="F118" s="31">
        <f t="shared" si="25"/>
        <v>1020.0133333333333</v>
      </c>
      <c r="O118" s="30" t="s">
        <v>14</v>
      </c>
      <c r="P118" s="42">
        <f>SQRT(J112/(3*2))</f>
        <v>26.303098782031149</v>
      </c>
      <c r="Q118" s="49"/>
    </row>
    <row r="119" spans="1:18" x14ac:dyDescent="0.25">
      <c r="A119" s="32" t="s">
        <v>100</v>
      </c>
      <c r="B119" s="68">
        <v>1081.58</v>
      </c>
      <c r="C119" s="68">
        <v>983.15999999999985</v>
      </c>
      <c r="D119" s="68">
        <v>1081.8499999999999</v>
      </c>
      <c r="E119" s="31">
        <f t="shared" si="24"/>
        <v>3146.5899999999997</v>
      </c>
      <c r="F119" s="31">
        <f t="shared" si="25"/>
        <v>1048.8633333333332</v>
      </c>
      <c r="N119" s="30" t="s">
        <v>109</v>
      </c>
      <c r="O119" s="30" t="s">
        <v>16</v>
      </c>
      <c r="P119" s="42">
        <f>SQRT((2*J112)/(3*2))*L113</f>
        <v>75.595835735200183</v>
      </c>
      <c r="Q119" s="49"/>
    </row>
    <row r="120" spans="1:18" x14ac:dyDescent="0.25">
      <c r="A120" s="32" t="s">
        <v>101</v>
      </c>
      <c r="B120" s="68">
        <v>1001.54</v>
      </c>
      <c r="C120" s="68">
        <v>936.58</v>
      </c>
      <c r="D120" s="68">
        <v>930.8599999999999</v>
      </c>
      <c r="E120" s="31">
        <f t="shared" si="24"/>
        <v>2868.9799999999996</v>
      </c>
      <c r="F120" s="31">
        <f>E120/3</f>
        <v>956.32666666666648</v>
      </c>
      <c r="Q120" s="49"/>
    </row>
    <row r="121" spans="1:18" x14ac:dyDescent="0.25">
      <c r="A121" s="32" t="s">
        <v>102</v>
      </c>
      <c r="B121" s="68">
        <v>1101.8599999999999</v>
      </c>
      <c r="C121" s="68">
        <v>930.15999999999985</v>
      </c>
      <c r="D121" s="68">
        <v>1049.1899999999998</v>
      </c>
      <c r="E121" s="31">
        <f t="shared" si="24"/>
        <v>3081.2099999999996</v>
      </c>
      <c r="F121" s="31">
        <f t="shared" ref="F121:F122" si="31">E121/3</f>
        <v>1027.07</v>
      </c>
      <c r="I121" s="41">
        <f>B114+5.5</f>
        <v>618.02</v>
      </c>
      <c r="J121" s="41">
        <f t="shared" ref="J121:K129" si="32">C114+5.5</f>
        <v>657.75</v>
      </c>
      <c r="K121" s="41">
        <f t="shared" si="32"/>
        <v>756.75</v>
      </c>
    </row>
    <row r="122" spans="1:18" x14ac:dyDescent="0.25">
      <c r="A122" s="32" t="s">
        <v>103</v>
      </c>
      <c r="B122" s="68">
        <v>951.15</v>
      </c>
      <c r="C122" s="68">
        <v>911.59</v>
      </c>
      <c r="D122" s="68">
        <v>916.58</v>
      </c>
      <c r="E122" s="31">
        <f t="shared" si="24"/>
        <v>2779.32</v>
      </c>
      <c r="F122" s="31">
        <f t="shared" si="31"/>
        <v>926.44</v>
      </c>
      <c r="I122" s="41">
        <f t="shared" ref="I122:I129" si="33">B115+5.5</f>
        <v>927.04</v>
      </c>
      <c r="J122" s="41">
        <f t="shared" si="32"/>
        <v>966.75</v>
      </c>
      <c r="K122" s="41">
        <f t="shared" si="32"/>
        <v>1129.3499999999999</v>
      </c>
    </row>
    <row r="123" spans="1:18" x14ac:dyDescent="0.25">
      <c r="A123" s="30" t="s">
        <v>4</v>
      </c>
      <c r="B123" s="31">
        <f>SUM(B105:B122)</f>
        <v>17439.43</v>
      </c>
      <c r="C123" s="31">
        <f t="shared" ref="C123:D123" si="34">SUM(C105:C122)</f>
        <v>17419.84</v>
      </c>
      <c r="D123" s="31">
        <f t="shared" si="34"/>
        <v>18178.940000000006</v>
      </c>
      <c r="E123" s="31">
        <f>SUM(E105:E122)</f>
        <v>53038.209999999992</v>
      </c>
      <c r="F123" s="31">
        <f>AVERAGE(B105:D122)</f>
        <v>982.18907407407403</v>
      </c>
      <c r="I123" s="41">
        <f t="shared" si="33"/>
        <v>976.65</v>
      </c>
      <c r="J123" s="41">
        <f t="shared" si="32"/>
        <v>1018.6799999999998</v>
      </c>
      <c r="K123" s="41">
        <f t="shared" si="32"/>
        <v>1086.6799999999998</v>
      </c>
    </row>
    <row r="124" spans="1:18" x14ac:dyDescent="0.25">
      <c r="A124" s="30" t="s">
        <v>5</v>
      </c>
      <c r="B124" s="31">
        <f>B123/18</f>
        <v>968.85722222222228</v>
      </c>
      <c r="C124" s="31">
        <f>C123/18</f>
        <v>967.76888888888891</v>
      </c>
      <c r="D124" s="31">
        <f>D123/18</f>
        <v>1009.9411111111115</v>
      </c>
      <c r="I124" s="41">
        <f t="shared" si="33"/>
        <v>930.06</v>
      </c>
      <c r="J124" s="41">
        <f t="shared" si="32"/>
        <v>1007.08</v>
      </c>
      <c r="K124" s="41">
        <f t="shared" si="32"/>
        <v>932.36</v>
      </c>
    </row>
    <row r="125" spans="1:18" x14ac:dyDescent="0.25">
      <c r="A125" s="30" t="s">
        <v>26</v>
      </c>
      <c r="B125" s="31">
        <f>(E123*E123)/54</f>
        <v>52093550.370446287</v>
      </c>
      <c r="C125" s="31"/>
      <c r="D125" s="31"/>
      <c r="I125" s="41">
        <f t="shared" si="33"/>
        <v>995.06</v>
      </c>
      <c r="J125" s="41">
        <f t="shared" si="32"/>
        <v>1086.79</v>
      </c>
      <c r="K125" s="41">
        <f t="shared" si="32"/>
        <v>994.68999999999994</v>
      </c>
    </row>
    <row r="126" spans="1:18" x14ac:dyDescent="0.25">
      <c r="A126" s="30" t="s">
        <v>27</v>
      </c>
      <c r="B126" s="31">
        <f>SUMSQ(B105:D122)-B125</f>
        <v>820591.27005371451</v>
      </c>
      <c r="C126" s="30" t="s">
        <v>28</v>
      </c>
      <c r="D126" s="31">
        <f>(SUMSQ(B123:D123)/18)-B125</f>
        <v>20805.400337055326</v>
      </c>
      <c r="I126" s="41">
        <f t="shared" si="33"/>
        <v>1087.08</v>
      </c>
      <c r="J126" s="41">
        <f t="shared" si="32"/>
        <v>988.65999999999985</v>
      </c>
      <c r="K126" s="41">
        <f t="shared" si="32"/>
        <v>1087.3499999999999</v>
      </c>
    </row>
    <row r="127" spans="1:18" x14ac:dyDescent="0.25">
      <c r="A127" s="30" t="s">
        <v>30</v>
      </c>
      <c r="B127" s="31">
        <f>(SUMSQ(E105:E122)/3)-B125</f>
        <v>658647.85658705235</v>
      </c>
      <c r="C127" s="30" t="s">
        <v>31</v>
      </c>
      <c r="D127" s="31">
        <f>B126-B127-D126</f>
        <v>141138.01312960684</v>
      </c>
      <c r="I127" s="41">
        <f t="shared" si="33"/>
        <v>1007.04</v>
      </c>
      <c r="J127" s="41">
        <f t="shared" si="32"/>
        <v>942.08</v>
      </c>
      <c r="K127" s="41">
        <f t="shared" si="32"/>
        <v>936.3599999999999</v>
      </c>
    </row>
    <row r="128" spans="1:18" x14ac:dyDescent="0.25">
      <c r="I128" s="41">
        <f t="shared" si="33"/>
        <v>1107.3599999999999</v>
      </c>
      <c r="J128" s="41">
        <f t="shared" si="32"/>
        <v>935.65999999999985</v>
      </c>
      <c r="K128" s="41">
        <f t="shared" si="32"/>
        <v>1054.6899999999998</v>
      </c>
    </row>
    <row r="129" spans="1:18" x14ac:dyDescent="0.25">
      <c r="I129" s="41">
        <f t="shared" si="33"/>
        <v>956.65</v>
      </c>
      <c r="J129" s="41">
        <f t="shared" si="32"/>
        <v>917.09</v>
      </c>
      <c r="K129" s="41">
        <f t="shared" si="32"/>
        <v>922.08</v>
      </c>
    </row>
    <row r="131" spans="1:18" x14ac:dyDescent="0.25">
      <c r="C131" s="66">
        <v>2020</v>
      </c>
    </row>
    <row r="132" spans="1:18" x14ac:dyDescent="0.25">
      <c r="C132" s="48" t="s">
        <v>152</v>
      </c>
    </row>
    <row r="134" spans="1:18" x14ac:dyDescent="0.25">
      <c r="A134" s="36" t="s">
        <v>104</v>
      </c>
      <c r="B134" s="38">
        <v>2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5"/>
      <c r="N134" s="35"/>
      <c r="O134" s="39"/>
      <c r="P134" s="39"/>
    </row>
    <row r="135" spans="1:18" x14ac:dyDescent="0.25">
      <c r="A135" s="36" t="s">
        <v>105</v>
      </c>
      <c r="B135" s="38">
        <v>9</v>
      </c>
      <c r="C135" s="39" t="s">
        <v>107</v>
      </c>
      <c r="D135" s="39">
        <v>18</v>
      </c>
      <c r="E135" s="39"/>
      <c r="F135" s="39"/>
      <c r="G135" s="39"/>
      <c r="H135" s="39"/>
      <c r="I135" s="39"/>
      <c r="J135" s="39"/>
      <c r="K135" s="39"/>
      <c r="L135" s="39"/>
      <c r="M135" s="35"/>
      <c r="N135" s="35"/>
      <c r="O135" s="39"/>
      <c r="P135" s="39"/>
    </row>
    <row r="136" spans="1:18" x14ac:dyDescent="0.25">
      <c r="A136" s="37" t="s">
        <v>106</v>
      </c>
      <c r="B136" s="40">
        <v>3</v>
      </c>
    </row>
    <row r="137" spans="1:18" x14ac:dyDescent="0.25">
      <c r="A137" s="46" t="s">
        <v>0</v>
      </c>
      <c r="B137" s="30" t="s">
        <v>1</v>
      </c>
      <c r="C137" s="30" t="s">
        <v>2</v>
      </c>
      <c r="D137" s="30" t="s">
        <v>3</v>
      </c>
      <c r="E137" s="30" t="s">
        <v>4</v>
      </c>
      <c r="F137" s="30" t="s">
        <v>5</v>
      </c>
      <c r="O137" s="41" t="s">
        <v>7</v>
      </c>
    </row>
    <row r="138" spans="1:18" x14ac:dyDescent="0.25">
      <c r="A138" s="32" t="s">
        <v>86</v>
      </c>
      <c r="B138" s="55">
        <v>132.52000000000001</v>
      </c>
      <c r="C138" s="55">
        <v>173.5</v>
      </c>
      <c r="D138" s="55">
        <v>183.65</v>
      </c>
      <c r="E138" s="31">
        <f t="shared" ref="E138:E155" si="35">SUM(B138:D138)</f>
        <v>489.66999999999996</v>
      </c>
      <c r="F138" s="31">
        <f>E138/3</f>
        <v>163.22333333333333</v>
      </c>
      <c r="H138" s="47"/>
      <c r="I138" s="47"/>
      <c r="J138" s="47" t="s">
        <v>6</v>
      </c>
      <c r="K138" s="47"/>
      <c r="L138" s="47"/>
      <c r="M138" s="47"/>
      <c r="N138" s="47"/>
      <c r="O138" s="33">
        <v>1</v>
      </c>
      <c r="P138" s="31">
        <f>SUM(F138:F146)/9</f>
        <v>249.7081481481481</v>
      </c>
      <c r="Q138" s="49">
        <f>RANK(P138,P$138:P$139,0)</f>
        <v>1</v>
      </c>
      <c r="R138" s="66">
        <v>1</v>
      </c>
    </row>
    <row r="139" spans="1:18" x14ac:dyDescent="0.25">
      <c r="A139" s="32" t="s">
        <v>87</v>
      </c>
      <c r="B139" s="55">
        <v>244.64</v>
      </c>
      <c r="C139" s="55">
        <v>261.89</v>
      </c>
      <c r="D139" s="55">
        <v>271.66000000000003</v>
      </c>
      <c r="E139" s="31">
        <f t="shared" si="35"/>
        <v>778.19</v>
      </c>
      <c r="F139" s="31">
        <f t="shared" ref="F139:F152" si="36">E139/3</f>
        <v>259.3966666666667</v>
      </c>
      <c r="G139" s="31"/>
      <c r="H139" s="30" t="s">
        <v>8</v>
      </c>
      <c r="I139" s="30" t="s">
        <v>9</v>
      </c>
      <c r="J139" s="30" t="s">
        <v>10</v>
      </c>
      <c r="K139" s="30" t="s">
        <v>11</v>
      </c>
      <c r="L139" s="30" t="s">
        <v>12</v>
      </c>
      <c r="M139" s="30" t="s">
        <v>112</v>
      </c>
      <c r="N139" s="50"/>
      <c r="O139" s="33">
        <v>2</v>
      </c>
      <c r="P139" s="31">
        <f>SUM(F147:F155)/9</f>
        <v>240.37370370370368</v>
      </c>
      <c r="Q139" s="49">
        <f>RANK(P139,P$138:P$139,0)</f>
        <v>2</v>
      </c>
      <c r="R139" s="66">
        <v>2</v>
      </c>
    </row>
    <row r="140" spans="1:18" x14ac:dyDescent="0.25">
      <c r="A140" s="32" t="s">
        <v>88</v>
      </c>
      <c r="B140" s="55">
        <v>270.81</v>
      </c>
      <c r="C140" s="55">
        <v>279.56</v>
      </c>
      <c r="D140" s="55">
        <v>290.56</v>
      </c>
      <c r="E140" s="31">
        <f t="shared" si="35"/>
        <v>840.93000000000006</v>
      </c>
      <c r="F140" s="31">
        <f t="shared" si="36"/>
        <v>280.31</v>
      </c>
      <c r="G140" s="31" t="s">
        <v>13</v>
      </c>
      <c r="H140" s="31">
        <f>B136-1</f>
        <v>2</v>
      </c>
      <c r="I140" s="31">
        <f>D159</f>
        <v>8912.392714814283</v>
      </c>
      <c r="J140" s="31">
        <f>I140/H140</f>
        <v>4456.1963574071415</v>
      </c>
      <c r="K140" s="31">
        <f>J140/$J$16</f>
        <v>27.202282739150323</v>
      </c>
      <c r="L140" s="31">
        <f>FINV(0.05,H140,$H$16)</f>
        <v>3.275897990672394</v>
      </c>
      <c r="M140" s="31" t="str">
        <f>IF(K140&gt;=L140, "S", "NS")</f>
        <v>S</v>
      </c>
      <c r="N140" s="39"/>
      <c r="O140" s="30" t="s">
        <v>14</v>
      </c>
      <c r="P140" s="42">
        <f>SQRT(J145/(3*9))</f>
        <v>2.4980079540308506</v>
      </c>
    </row>
    <row r="141" spans="1:18" x14ac:dyDescent="0.25">
      <c r="A141" s="32" t="s">
        <v>89</v>
      </c>
      <c r="B141" s="55">
        <v>235.1</v>
      </c>
      <c r="C141" s="55">
        <v>240.56</v>
      </c>
      <c r="D141" s="55">
        <v>249.64999999999998</v>
      </c>
      <c r="E141" s="31">
        <f t="shared" si="35"/>
        <v>725.31</v>
      </c>
      <c r="F141" s="31">
        <f t="shared" si="36"/>
        <v>241.76999999999998</v>
      </c>
      <c r="G141" s="31" t="s">
        <v>15</v>
      </c>
      <c r="H141" s="31">
        <f>D135-1</f>
        <v>17</v>
      </c>
      <c r="I141" s="31">
        <f>B160</f>
        <v>60153.428787036799</v>
      </c>
      <c r="J141" s="31">
        <f t="shared" ref="J141:J145" si="37">I141/H141</f>
        <v>3538.4369874727527</v>
      </c>
      <c r="K141" s="31">
        <f>J141/$J$16</f>
        <v>21.59993763019606</v>
      </c>
      <c r="L141" s="31">
        <f>FINV(0.05,H141,$H$16)</f>
        <v>1.9332068318040869</v>
      </c>
      <c r="M141" s="43" t="str">
        <f t="shared" ref="M141" si="38">IF(K141&gt;=L141, "S", "NS")</f>
        <v>S</v>
      </c>
      <c r="N141" s="30" t="s">
        <v>113</v>
      </c>
      <c r="O141" s="30" t="s">
        <v>16</v>
      </c>
      <c r="P141" s="42">
        <f>SQRT((2*J145)/(3*9))*L146</f>
        <v>7.1793441724495306</v>
      </c>
    </row>
    <row r="142" spans="1:18" x14ac:dyDescent="0.25">
      <c r="A142" s="32" t="s">
        <v>90</v>
      </c>
      <c r="B142" s="55">
        <v>268.69</v>
      </c>
      <c r="C142" s="55">
        <v>272.64999999999998</v>
      </c>
      <c r="D142" s="55">
        <v>282.25</v>
      </c>
      <c r="E142" s="31">
        <f t="shared" si="35"/>
        <v>823.58999999999992</v>
      </c>
      <c r="F142" s="31">
        <f t="shared" si="36"/>
        <v>274.52999999999997</v>
      </c>
      <c r="G142" s="31" t="s">
        <v>108</v>
      </c>
      <c r="H142" s="31">
        <f>B134-1</f>
        <v>1</v>
      </c>
      <c r="I142" s="31">
        <f>(SUM(E138:E146)^2+SUM(E147:E155)^2)/27-B158</f>
        <v>1176.2800166672096</v>
      </c>
      <c r="J142" s="31">
        <f t="shared" si="37"/>
        <v>1176.2800166672096</v>
      </c>
      <c r="K142" s="31">
        <f>J142/$J$16</f>
        <v>7.1804514494984657</v>
      </c>
      <c r="L142" s="31">
        <f>FINV(0.05,H142,$H$16)</f>
        <v>4.1300177456520188</v>
      </c>
      <c r="M142" s="31" t="str">
        <f>IF(K142&gt;=L142, "S", "NS")</f>
        <v>S</v>
      </c>
      <c r="N142" s="39"/>
      <c r="O142" s="33">
        <v>1</v>
      </c>
      <c r="P142" s="31">
        <f>(F138+F147)/2</f>
        <v>162.76</v>
      </c>
      <c r="Q142" s="49">
        <f>RANK(P142,P$142:P$150,0)</f>
        <v>9</v>
      </c>
      <c r="R142" s="51">
        <v>9</v>
      </c>
    </row>
    <row r="143" spans="1:18" x14ac:dyDescent="0.25">
      <c r="A143" s="32" t="s">
        <v>91</v>
      </c>
      <c r="B143" s="55">
        <v>243.6</v>
      </c>
      <c r="C143" s="55">
        <v>287.89</v>
      </c>
      <c r="D143" s="55">
        <v>317.8</v>
      </c>
      <c r="E143" s="31">
        <f t="shared" si="35"/>
        <v>849.29</v>
      </c>
      <c r="F143" s="31">
        <f t="shared" si="36"/>
        <v>283.09666666666664</v>
      </c>
      <c r="G143" s="31" t="s">
        <v>109</v>
      </c>
      <c r="H143" s="31">
        <f>B135-1</f>
        <v>8</v>
      </c>
      <c r="I143" s="31">
        <f>((E138+E147)^2+(E139+E148)^2+(E140+E149)^2+(E141+E150)^2+(E142+E151)^2+(E143+E152)^2+(E144+E153)^2+(E145+E154)^2+(E146+E155)^2/6)-B158</f>
        <v>14915513.671253704</v>
      </c>
      <c r="J143" s="31">
        <f t="shared" si="37"/>
        <v>1864439.2089067129</v>
      </c>
      <c r="K143" s="31">
        <f>J143/$J$16</f>
        <v>11381.231535350944</v>
      </c>
      <c r="L143" s="31">
        <f>FINV(0.05,H143,$H$16)</f>
        <v>2.2253399674380931</v>
      </c>
      <c r="M143" s="31" t="str">
        <f>IF(K143&gt;=L143, "S", "NS")</f>
        <v>S</v>
      </c>
      <c r="N143" s="39"/>
      <c r="O143" s="33">
        <v>2</v>
      </c>
      <c r="P143" s="31">
        <f t="shared" ref="P143:P150" si="39">(F139+F148)/2</f>
        <v>252.91666666666669</v>
      </c>
      <c r="Q143" s="49">
        <f t="shared" ref="Q143:Q150" si="40">RANK(P143,P$142:P$150,0)</f>
        <v>5</v>
      </c>
      <c r="R143" s="52">
        <v>5</v>
      </c>
    </row>
    <row r="144" spans="1:18" x14ac:dyDescent="0.25">
      <c r="A144" s="32" t="s">
        <v>92</v>
      </c>
      <c r="B144" s="55">
        <v>236.66</v>
      </c>
      <c r="C144" s="55">
        <v>237.89</v>
      </c>
      <c r="D144" s="55">
        <v>244.69</v>
      </c>
      <c r="E144" s="31">
        <f t="shared" si="35"/>
        <v>719.24</v>
      </c>
      <c r="F144" s="31">
        <f t="shared" si="36"/>
        <v>239.74666666666667</v>
      </c>
      <c r="G144" s="26" t="s">
        <v>110</v>
      </c>
      <c r="H144" s="31">
        <f>H142*H143</f>
        <v>8</v>
      </c>
      <c r="I144" s="31">
        <f>I141-(I142+I143)</f>
        <v>-14856536.522483334</v>
      </c>
      <c r="J144" s="31">
        <f t="shared" si="37"/>
        <v>-1857067.0653104167</v>
      </c>
      <c r="K144" s="44">
        <f>J144/$J$16</f>
        <v>-11336.229224317964</v>
      </c>
      <c r="L144" s="31">
        <f>FINV(0.05,H144,$H$16)</f>
        <v>2.2253399674380931</v>
      </c>
      <c r="M144" s="31" t="str">
        <f t="shared" ref="M144" si="41">IF(K144&gt;=L144, "S", "NS")</f>
        <v>NS</v>
      </c>
      <c r="N144" s="39"/>
      <c r="O144" s="33">
        <v>3</v>
      </c>
      <c r="P144" s="31">
        <f t="shared" si="39"/>
        <v>272.33499999999998</v>
      </c>
      <c r="Q144" s="49">
        <f t="shared" si="40"/>
        <v>2</v>
      </c>
      <c r="R144" s="52">
        <v>2</v>
      </c>
    </row>
    <row r="145" spans="1:18" x14ac:dyDescent="0.25">
      <c r="A145" s="32" t="s">
        <v>93</v>
      </c>
      <c r="B145" s="55">
        <v>246.68</v>
      </c>
      <c r="C145" s="55">
        <v>266.68</v>
      </c>
      <c r="D145" s="55">
        <v>285.56</v>
      </c>
      <c r="E145" s="31">
        <f t="shared" si="35"/>
        <v>798.92000000000007</v>
      </c>
      <c r="F145" s="31">
        <f t="shared" si="36"/>
        <v>266.30666666666667</v>
      </c>
      <c r="G145" s="45" t="s">
        <v>23</v>
      </c>
      <c r="H145" s="31">
        <f>((B136-1)*(B134*B135-1))</f>
        <v>34</v>
      </c>
      <c r="I145" s="31">
        <f>D160</f>
        <v>5728.3601518524811</v>
      </c>
      <c r="J145" s="31">
        <f t="shared" si="37"/>
        <v>168.48118093683769</v>
      </c>
      <c r="O145" s="33">
        <v>4</v>
      </c>
      <c r="P145" s="31">
        <f t="shared" si="39"/>
        <v>237.33333333333331</v>
      </c>
      <c r="Q145" s="49">
        <f t="shared" si="40"/>
        <v>7</v>
      </c>
      <c r="R145" s="52">
        <v>7</v>
      </c>
    </row>
    <row r="146" spans="1:18" x14ac:dyDescent="0.25">
      <c r="A146" s="32" t="s">
        <v>94</v>
      </c>
      <c r="B146" s="55">
        <v>232.65</v>
      </c>
      <c r="C146" s="55">
        <v>239.65</v>
      </c>
      <c r="D146" s="55">
        <v>244.68</v>
      </c>
      <c r="E146" s="31">
        <f t="shared" si="35"/>
        <v>716.98</v>
      </c>
      <c r="F146" s="31">
        <f t="shared" si="36"/>
        <v>238.99333333333334</v>
      </c>
      <c r="G146" s="44" t="s">
        <v>4</v>
      </c>
      <c r="H146" s="31">
        <f>SUM(H140:H145)-H141</f>
        <v>53</v>
      </c>
      <c r="I146" s="31">
        <f>B159</f>
        <v>74794.181653703563</v>
      </c>
      <c r="K146" s="31" t="s">
        <v>111</v>
      </c>
      <c r="L146" s="41">
        <f>TINV(0.05,34)</f>
        <v>2.0322445093177191</v>
      </c>
      <c r="O146" s="33">
        <v>5</v>
      </c>
      <c r="P146" s="31">
        <f t="shared" si="39"/>
        <v>265.18</v>
      </c>
      <c r="Q146" s="49">
        <f t="shared" si="40"/>
        <v>3</v>
      </c>
      <c r="R146" s="51">
        <v>3</v>
      </c>
    </row>
    <row r="147" spans="1:18" x14ac:dyDescent="0.25">
      <c r="A147" s="32" t="s">
        <v>95</v>
      </c>
      <c r="B147" s="55">
        <v>122.56</v>
      </c>
      <c r="C147" s="55">
        <v>158.65</v>
      </c>
      <c r="D147" s="55">
        <v>205.68</v>
      </c>
      <c r="E147" s="31">
        <f t="shared" si="35"/>
        <v>486.89000000000004</v>
      </c>
      <c r="F147" s="31">
        <f t="shared" si="36"/>
        <v>162.29666666666668</v>
      </c>
      <c r="G147" s="34" t="s">
        <v>14</v>
      </c>
      <c r="H147" s="31">
        <f>SQRT(J145/3)</f>
        <v>7.4940238620925514</v>
      </c>
      <c r="O147" s="33">
        <v>6</v>
      </c>
      <c r="P147" s="31">
        <f t="shared" si="39"/>
        <v>281.51666666666665</v>
      </c>
      <c r="Q147" s="49">
        <f t="shared" si="40"/>
        <v>1</v>
      </c>
      <c r="R147" s="52">
        <v>1</v>
      </c>
    </row>
    <row r="148" spans="1:18" x14ac:dyDescent="0.25">
      <c r="A148" s="32" t="s">
        <v>96</v>
      </c>
      <c r="B148" s="55">
        <v>234.65</v>
      </c>
      <c r="C148" s="55">
        <v>248.21</v>
      </c>
      <c r="D148" s="55">
        <v>256.45</v>
      </c>
      <c r="E148" s="31">
        <f t="shared" si="35"/>
        <v>739.31</v>
      </c>
      <c r="F148" s="31">
        <f t="shared" si="36"/>
        <v>246.43666666666664</v>
      </c>
      <c r="G148" s="34" t="s">
        <v>16</v>
      </c>
      <c r="H148" s="31">
        <f>(SQRT((2*J145)/3))*L146</f>
        <v>21.53803251734859</v>
      </c>
      <c r="O148" s="33">
        <v>7</v>
      </c>
      <c r="P148" s="31">
        <f t="shared" si="39"/>
        <v>238.95166666666665</v>
      </c>
      <c r="Q148" s="49">
        <f t="shared" si="40"/>
        <v>6</v>
      </c>
      <c r="R148" s="52">
        <v>6</v>
      </c>
    </row>
    <row r="149" spans="1:18" x14ac:dyDescent="0.25">
      <c r="A149" s="32" t="s">
        <v>97</v>
      </c>
      <c r="B149" s="55">
        <v>248.68</v>
      </c>
      <c r="C149" s="55">
        <v>267.56</v>
      </c>
      <c r="D149" s="55">
        <v>276.83999999999997</v>
      </c>
      <c r="E149" s="31">
        <f t="shared" si="35"/>
        <v>793.07999999999993</v>
      </c>
      <c r="F149" s="31">
        <f t="shared" si="36"/>
        <v>264.35999999999996</v>
      </c>
      <c r="G149" s="34" t="s">
        <v>29</v>
      </c>
      <c r="H149" s="31">
        <f>((SQRT(J145))/F156)*100</f>
        <v>5.2970866124630982</v>
      </c>
      <c r="O149" s="33">
        <v>8</v>
      </c>
      <c r="P149" s="31">
        <f t="shared" si="39"/>
        <v>260.02499999999998</v>
      </c>
      <c r="Q149" s="49">
        <f t="shared" si="40"/>
        <v>4</v>
      </c>
      <c r="R149" s="51">
        <v>4</v>
      </c>
    </row>
    <row r="150" spans="1:18" x14ac:dyDescent="0.25">
      <c r="A150" s="32" t="s">
        <v>98</v>
      </c>
      <c r="B150" s="55">
        <v>228.56</v>
      </c>
      <c r="C150" s="55">
        <v>228.78</v>
      </c>
      <c r="D150" s="55">
        <v>241.35</v>
      </c>
      <c r="E150" s="31">
        <f t="shared" si="35"/>
        <v>698.69</v>
      </c>
      <c r="F150" s="31">
        <f t="shared" si="36"/>
        <v>232.89666666666668</v>
      </c>
      <c r="O150" s="33">
        <v>9</v>
      </c>
      <c r="P150" s="31">
        <f t="shared" si="39"/>
        <v>234.35000000000002</v>
      </c>
      <c r="Q150" s="49">
        <f t="shared" si="40"/>
        <v>8</v>
      </c>
      <c r="R150" s="52">
        <v>8</v>
      </c>
    </row>
    <row r="151" spans="1:18" x14ac:dyDescent="0.25">
      <c r="A151" s="32" t="s">
        <v>99</v>
      </c>
      <c r="B151" s="55">
        <v>242.35</v>
      </c>
      <c r="C151" s="55">
        <v>262.13</v>
      </c>
      <c r="D151" s="55">
        <v>263.01</v>
      </c>
      <c r="E151" s="31">
        <f t="shared" si="35"/>
        <v>767.49</v>
      </c>
      <c r="F151" s="31">
        <f t="shared" si="36"/>
        <v>255.83</v>
      </c>
      <c r="I151" s="55"/>
      <c r="J151" s="55"/>
      <c r="K151" s="55"/>
      <c r="O151" s="30" t="s">
        <v>14</v>
      </c>
      <c r="P151" s="42">
        <f>SQRT(J145/(3*2))</f>
        <v>5.2990750912594438</v>
      </c>
      <c r="Q151" s="49"/>
    </row>
    <row r="152" spans="1:18" x14ac:dyDescent="0.25">
      <c r="A152" s="32" t="s">
        <v>100</v>
      </c>
      <c r="B152" s="55">
        <v>241.58</v>
      </c>
      <c r="C152" s="55">
        <v>272.45</v>
      </c>
      <c r="D152" s="55">
        <v>325.77999999999997</v>
      </c>
      <c r="E152" s="31">
        <f t="shared" si="35"/>
        <v>839.81</v>
      </c>
      <c r="F152" s="31">
        <f t="shared" si="36"/>
        <v>279.93666666666667</v>
      </c>
      <c r="I152" s="55"/>
      <c r="J152" s="55"/>
      <c r="K152" s="55"/>
      <c r="N152" s="30" t="s">
        <v>109</v>
      </c>
      <c r="O152" s="30" t="s">
        <v>16</v>
      </c>
      <c r="P152" s="42">
        <f>SQRT((2*J145)/(3*2))*L146</f>
        <v>15.229688846433556</v>
      </c>
      <c r="Q152" s="49"/>
    </row>
    <row r="153" spans="1:18" x14ac:dyDescent="0.25">
      <c r="A153" s="32" t="s">
        <v>101</v>
      </c>
      <c r="B153" s="55">
        <v>228.31</v>
      </c>
      <c r="C153" s="55">
        <v>234.54</v>
      </c>
      <c r="D153" s="55">
        <v>251.62</v>
      </c>
      <c r="E153" s="31">
        <f t="shared" si="35"/>
        <v>714.47</v>
      </c>
      <c r="F153" s="31">
        <f>E153/3</f>
        <v>238.15666666666667</v>
      </c>
      <c r="I153" s="55"/>
      <c r="J153" s="55"/>
      <c r="K153" s="55"/>
      <c r="Q153" s="49"/>
    </row>
    <row r="154" spans="1:18" x14ac:dyDescent="0.25">
      <c r="A154" s="32" t="s">
        <v>102</v>
      </c>
      <c r="B154" s="55">
        <v>241.32</v>
      </c>
      <c r="C154" s="55">
        <v>256.33999999999997</v>
      </c>
      <c r="D154" s="55">
        <v>263.57</v>
      </c>
      <c r="E154" s="31">
        <f t="shared" si="35"/>
        <v>761.23</v>
      </c>
      <c r="F154" s="31">
        <f t="shared" ref="F154:F155" si="42">E154/3</f>
        <v>253.74333333333334</v>
      </c>
      <c r="I154" s="55"/>
      <c r="J154" s="55"/>
      <c r="K154" s="55"/>
    </row>
    <row r="155" spans="1:18" x14ac:dyDescent="0.25">
      <c r="A155" s="32" t="s">
        <v>103</v>
      </c>
      <c r="B155" s="55">
        <v>224.56</v>
      </c>
      <c r="C155" s="55">
        <v>229.15</v>
      </c>
      <c r="D155" s="55">
        <v>235.41</v>
      </c>
      <c r="E155" s="31">
        <f t="shared" si="35"/>
        <v>689.12</v>
      </c>
      <c r="F155" s="31">
        <f t="shared" si="42"/>
        <v>229.70666666666668</v>
      </c>
      <c r="I155" s="55"/>
      <c r="J155" s="55"/>
      <c r="K155" s="55"/>
    </row>
    <row r="156" spans="1:18" x14ac:dyDescent="0.25">
      <c r="A156" s="30" t="s">
        <v>4</v>
      </c>
      <c r="B156" s="31">
        <f>SUM(B138:B155)</f>
        <v>4123.92</v>
      </c>
      <c r="C156" s="31">
        <f>SUM(C138:C155)</f>
        <v>4418.079999999999</v>
      </c>
      <c r="D156" s="31">
        <f>SUM(D138:D155)</f>
        <v>4690.2099999999991</v>
      </c>
      <c r="E156" s="31">
        <f>SUM(E138:E155)</f>
        <v>13232.21</v>
      </c>
      <c r="F156" s="31">
        <f>AVERAGE(B138:D155)</f>
        <v>245.04092592592593</v>
      </c>
      <c r="I156" s="55"/>
      <c r="J156" s="55"/>
      <c r="K156" s="55"/>
    </row>
    <row r="157" spans="1:18" x14ac:dyDescent="0.25">
      <c r="A157" s="30" t="s">
        <v>5</v>
      </c>
      <c r="B157" s="31">
        <f>B156/18</f>
        <v>229.10666666666668</v>
      </c>
      <c r="C157" s="31">
        <f>C156/18</f>
        <v>245.44888888888883</v>
      </c>
      <c r="D157" s="31">
        <f>D156/18</f>
        <v>260.5672222222222</v>
      </c>
      <c r="I157" s="55"/>
      <c r="J157" s="55"/>
      <c r="K157" s="55"/>
    </row>
    <row r="158" spans="1:18" x14ac:dyDescent="0.25">
      <c r="A158" s="30" t="s">
        <v>26</v>
      </c>
      <c r="B158" s="31">
        <f>(E156*E156)/54</f>
        <v>3242432.9904462961</v>
      </c>
      <c r="C158" s="31"/>
      <c r="D158" s="31"/>
      <c r="I158" s="55"/>
      <c r="J158" s="55"/>
      <c r="K158" s="55"/>
    </row>
    <row r="159" spans="1:18" x14ac:dyDescent="0.25">
      <c r="A159" s="30" t="s">
        <v>27</v>
      </c>
      <c r="B159" s="31">
        <f>SUMSQ(B138:D155)-B158</f>
        <v>74794.181653703563</v>
      </c>
      <c r="C159" s="30" t="s">
        <v>28</v>
      </c>
      <c r="D159" s="31">
        <f>(SUMSQ(B156:D156)/18)-B158</f>
        <v>8912.392714814283</v>
      </c>
      <c r="I159" s="55"/>
      <c r="J159" s="55"/>
      <c r="K159" s="55"/>
    </row>
    <row r="160" spans="1:18" x14ac:dyDescent="0.25">
      <c r="A160" s="30" t="s">
        <v>30</v>
      </c>
      <c r="B160" s="31">
        <f>(SUMSQ(E138:E155)/3)-B158</f>
        <v>60153.428787036799</v>
      </c>
      <c r="C160" s="30" t="s">
        <v>31</v>
      </c>
      <c r="D160" s="31">
        <f>B159-B160-D159</f>
        <v>5728.3601518524811</v>
      </c>
    </row>
    <row r="164" spans="1:18" x14ac:dyDescent="0.25">
      <c r="C164" s="48" t="s">
        <v>153</v>
      </c>
    </row>
    <row r="166" spans="1:18" x14ac:dyDescent="0.25">
      <c r="A166" s="36" t="s">
        <v>104</v>
      </c>
      <c r="B166" s="38">
        <v>2</v>
      </c>
      <c r="C166" s="39"/>
      <c r="D166" s="39"/>
      <c r="E166" s="39"/>
      <c r="F166" s="39"/>
      <c r="G166" s="39"/>
      <c r="H166" s="39"/>
      <c r="I166" s="39"/>
      <c r="M166" s="35"/>
      <c r="N166" s="35"/>
      <c r="O166" s="39"/>
      <c r="P166" s="39"/>
    </row>
    <row r="167" spans="1:18" x14ac:dyDescent="0.25">
      <c r="A167" s="36" t="s">
        <v>105</v>
      </c>
      <c r="B167" s="38">
        <v>9</v>
      </c>
      <c r="C167" s="39" t="s">
        <v>107</v>
      </c>
      <c r="D167" s="39">
        <v>18</v>
      </c>
      <c r="E167" s="39"/>
      <c r="F167" s="39"/>
      <c r="G167" s="39"/>
      <c r="H167" s="39"/>
      <c r="I167" s="39"/>
      <c r="M167" s="35"/>
      <c r="N167" s="35"/>
      <c r="O167" s="39"/>
      <c r="P167" s="39"/>
    </row>
    <row r="168" spans="1:18" x14ac:dyDescent="0.25">
      <c r="A168" s="37" t="s">
        <v>106</v>
      </c>
      <c r="B168" s="40">
        <v>3</v>
      </c>
    </row>
    <row r="169" spans="1:18" x14ac:dyDescent="0.25">
      <c r="A169" s="46" t="s">
        <v>0</v>
      </c>
      <c r="B169" s="30" t="s">
        <v>1</v>
      </c>
      <c r="C169" s="30" t="s">
        <v>2</v>
      </c>
      <c r="D169" s="30" t="s">
        <v>3</v>
      </c>
      <c r="E169" s="30" t="s">
        <v>4</v>
      </c>
      <c r="F169" s="30" t="s">
        <v>5</v>
      </c>
      <c r="O169" s="41" t="s">
        <v>7</v>
      </c>
      <c r="R169" s="41"/>
    </row>
    <row r="170" spans="1:18" x14ac:dyDescent="0.25">
      <c r="A170" s="32" t="s">
        <v>86</v>
      </c>
      <c r="B170" s="117">
        <v>420.15</v>
      </c>
      <c r="C170" s="117">
        <v>450.24</v>
      </c>
      <c r="D170" s="117">
        <v>540.26</v>
      </c>
      <c r="E170" s="31">
        <f>SUM(B170:D170)</f>
        <v>1410.65</v>
      </c>
      <c r="F170" s="31">
        <f>E170/3</f>
        <v>470.2166666666667</v>
      </c>
      <c r="H170" s="47"/>
      <c r="I170" s="47"/>
      <c r="J170" s="47" t="s">
        <v>6</v>
      </c>
      <c r="K170" s="47"/>
      <c r="L170" s="47"/>
      <c r="M170" s="47"/>
      <c r="N170" s="47"/>
      <c r="O170" s="33">
        <v>1</v>
      </c>
      <c r="P170" s="31">
        <f>SUM(F170:F178)/9</f>
        <v>612.72259259259272</v>
      </c>
      <c r="Q170" s="49">
        <f>RANK(P170,P$170:P$171,0)</f>
        <v>1</v>
      </c>
      <c r="R170" s="66">
        <v>1</v>
      </c>
    </row>
    <row r="171" spans="1:18" x14ac:dyDescent="0.25">
      <c r="A171" s="32" t="s">
        <v>87</v>
      </c>
      <c r="B171" s="117">
        <v>641.58000000000004</v>
      </c>
      <c r="C171" s="117">
        <v>648.59</v>
      </c>
      <c r="D171" s="117">
        <v>694.58</v>
      </c>
      <c r="E171" s="31">
        <f t="shared" ref="E171:E187" si="43">SUM(B171:D171)</f>
        <v>1984.75</v>
      </c>
      <c r="F171" s="31">
        <f t="shared" ref="F171:F184" si="44">E171/3</f>
        <v>661.58333333333337</v>
      </c>
      <c r="G171" s="31"/>
      <c r="H171" s="30" t="s">
        <v>8</v>
      </c>
      <c r="I171" s="30" t="s">
        <v>9</v>
      </c>
      <c r="J171" s="30" t="s">
        <v>10</v>
      </c>
      <c r="K171" s="30" t="s">
        <v>11</v>
      </c>
      <c r="L171" s="30" t="s">
        <v>12</v>
      </c>
      <c r="M171" s="30" t="s">
        <v>112</v>
      </c>
      <c r="N171" s="50"/>
      <c r="O171" s="33">
        <v>2</v>
      </c>
      <c r="P171" s="31">
        <f>SUM(F179:F187)/9</f>
        <v>587.88185185185182</v>
      </c>
      <c r="Q171" s="49">
        <f>RANK(P171,P$170:P$171,0)</f>
        <v>2</v>
      </c>
      <c r="R171" s="66">
        <v>2</v>
      </c>
    </row>
    <row r="172" spans="1:18" x14ac:dyDescent="0.25">
      <c r="A172" s="32" t="s">
        <v>88</v>
      </c>
      <c r="B172" s="117">
        <v>610.59</v>
      </c>
      <c r="C172" s="117">
        <v>698.89</v>
      </c>
      <c r="D172" s="117">
        <v>742.15</v>
      </c>
      <c r="E172" s="31">
        <f t="shared" si="43"/>
        <v>2051.63</v>
      </c>
      <c r="F172" s="31">
        <f t="shared" si="44"/>
        <v>683.87666666666667</v>
      </c>
      <c r="G172" s="31" t="s">
        <v>13</v>
      </c>
      <c r="H172" s="31">
        <f>B168-1</f>
        <v>2</v>
      </c>
      <c r="I172" s="31">
        <f>D191</f>
        <v>42118.309300001711</v>
      </c>
      <c r="J172" s="31">
        <f>I172/H172</f>
        <v>21059.154650000855</v>
      </c>
      <c r="K172" s="31">
        <f>J172/$J$16</f>
        <v>128.55292565476964</v>
      </c>
      <c r="L172" s="31">
        <f>FINV(0.05,H172,$H$16)</f>
        <v>3.275897990672394</v>
      </c>
      <c r="M172" s="31" t="str">
        <f>IF(K172&gt;=L172, "S", "NS")</f>
        <v>S</v>
      </c>
      <c r="N172" s="39"/>
      <c r="O172" s="30" t="s">
        <v>14</v>
      </c>
      <c r="P172" s="42">
        <f>SQRT(J177/(3*9))</f>
        <v>7.2544324191517813</v>
      </c>
      <c r="R172" s="41"/>
    </row>
    <row r="173" spans="1:18" x14ac:dyDescent="0.25">
      <c r="A173" s="32" t="s">
        <v>89</v>
      </c>
      <c r="B173" s="117">
        <v>527.85</v>
      </c>
      <c r="C173" s="117">
        <v>546.25</v>
      </c>
      <c r="D173" s="117">
        <v>587.98</v>
      </c>
      <c r="E173" s="31">
        <f t="shared" si="43"/>
        <v>1662.08</v>
      </c>
      <c r="F173" s="31">
        <f t="shared" si="44"/>
        <v>554.02666666666664</v>
      </c>
      <c r="G173" s="31" t="s">
        <v>15</v>
      </c>
      <c r="H173" s="31">
        <f>D167-1</f>
        <v>17</v>
      </c>
      <c r="I173" s="31">
        <f>B192</f>
        <v>336416.70446666703</v>
      </c>
      <c r="J173" s="31">
        <f t="shared" ref="J173:J177" si="45">I173/H173</f>
        <v>19789.217909803941</v>
      </c>
      <c r="K173" s="31">
        <f>J173/$J$16</f>
        <v>120.80075867266395</v>
      </c>
      <c r="L173" s="31">
        <f>FINV(0.05,H173,$H$16)</f>
        <v>1.9332068318040869</v>
      </c>
      <c r="M173" s="43" t="str">
        <f t="shared" ref="M173" si="46">IF(K173&gt;=L173, "S", "NS")</f>
        <v>S</v>
      </c>
      <c r="N173" s="30" t="s">
        <v>113</v>
      </c>
      <c r="O173" s="30" t="s">
        <v>16</v>
      </c>
      <c r="P173" s="42">
        <f>SQRT((2*J177)/(3*9))*L178</f>
        <v>20.849440062360614</v>
      </c>
      <c r="R173" s="41"/>
    </row>
    <row r="174" spans="1:18" x14ac:dyDescent="0.25">
      <c r="A174" s="32" t="s">
        <v>90</v>
      </c>
      <c r="B174" s="117">
        <v>698.58</v>
      </c>
      <c r="C174" s="117">
        <v>654.12</v>
      </c>
      <c r="D174" s="117">
        <v>650.58000000000004</v>
      </c>
      <c r="E174" s="31">
        <f t="shared" si="43"/>
        <v>2003.2800000000002</v>
      </c>
      <c r="F174" s="31">
        <f t="shared" si="44"/>
        <v>667.7600000000001</v>
      </c>
      <c r="G174" s="31" t="s">
        <v>108</v>
      </c>
      <c r="H174" s="31">
        <f>B166-1</f>
        <v>1</v>
      </c>
      <c r="I174" s="31">
        <f>(SUM(E170:E178)^2+SUM(E179:E187)^2)/27-B190</f>
        <v>8330.3424074091017</v>
      </c>
      <c r="J174" s="31">
        <f t="shared" si="45"/>
        <v>8330.3424074091017</v>
      </c>
      <c r="K174" s="31">
        <f>J174/$J$16</f>
        <v>50.851513556760622</v>
      </c>
      <c r="L174" s="31">
        <f>FINV(0.05,H174,$H$16)</f>
        <v>4.1300177456520188</v>
      </c>
      <c r="M174" s="31" t="str">
        <f>IF(K174&gt;=L174, "S", "NS")</f>
        <v>S</v>
      </c>
      <c r="N174" s="39"/>
      <c r="O174" s="33">
        <v>1</v>
      </c>
      <c r="P174" s="31">
        <f>(F170+F179)/2</f>
        <v>446.04333333333341</v>
      </c>
      <c r="Q174" s="49">
        <f>RANK(P174,P$174:P$182,0)</f>
        <v>9</v>
      </c>
      <c r="R174" s="51">
        <v>9</v>
      </c>
    </row>
    <row r="175" spans="1:18" x14ac:dyDescent="0.25">
      <c r="A175" s="32" t="s">
        <v>91</v>
      </c>
      <c r="B175" s="117">
        <v>625.67999999999995</v>
      </c>
      <c r="C175" s="117">
        <v>685.45</v>
      </c>
      <c r="D175" s="117">
        <v>778.59</v>
      </c>
      <c r="E175" s="31">
        <f t="shared" si="43"/>
        <v>2089.7200000000003</v>
      </c>
      <c r="F175" s="31">
        <f t="shared" si="44"/>
        <v>696.57333333333338</v>
      </c>
      <c r="G175" s="31" t="s">
        <v>109</v>
      </c>
      <c r="H175" s="31">
        <f>B167-1</f>
        <v>8</v>
      </c>
      <c r="I175" s="31">
        <f>((E170+E179)^2+(E171+E180)^2+(E172+E181)^2+(E173+E182)^2+(E174+E183)^2+(E175+E184)^2+(E176+E185)^2+(E177+E186)^2+(E178+E187)^2/6)-B190</f>
        <v>90552246.41505</v>
      </c>
      <c r="J175" s="31">
        <f t="shared" si="45"/>
        <v>11319030.80188125</v>
      </c>
      <c r="K175" s="31">
        <f>J175/$J$16</f>
        <v>69095.580964273366</v>
      </c>
      <c r="L175" s="31">
        <f>FINV(0.05,H175,$H$16)</f>
        <v>2.2253399674380931</v>
      </c>
      <c r="M175" s="31" t="str">
        <f>IF(K175&gt;=L175, "S", "NS")</f>
        <v>S</v>
      </c>
      <c r="N175" s="39"/>
      <c r="O175" s="33">
        <v>2</v>
      </c>
      <c r="P175" s="31">
        <f t="shared" ref="P175:P182" si="47">(F171+F180)/2</f>
        <v>647.46</v>
      </c>
      <c r="Q175" s="49">
        <f t="shared" ref="Q175:Q182" si="48">RANK(P175,P$174:P$182,0)</f>
        <v>5</v>
      </c>
      <c r="R175" s="52">
        <v>5</v>
      </c>
    </row>
    <row r="176" spans="1:18" x14ac:dyDescent="0.25">
      <c r="A176" s="32" t="s">
        <v>92</v>
      </c>
      <c r="B176" s="117">
        <v>510.54</v>
      </c>
      <c r="C176" s="117">
        <v>548.35</v>
      </c>
      <c r="D176" s="117">
        <v>652.45000000000005</v>
      </c>
      <c r="E176" s="31">
        <f t="shared" si="43"/>
        <v>1711.3400000000001</v>
      </c>
      <c r="F176" s="31">
        <f t="shared" si="44"/>
        <v>570.44666666666672</v>
      </c>
      <c r="G176" s="26" t="s">
        <v>110</v>
      </c>
      <c r="H176" s="31">
        <f>H174*H175</f>
        <v>8</v>
      </c>
      <c r="I176" s="31">
        <f>I173-(I174+I175)</f>
        <v>-90224160.052990735</v>
      </c>
      <c r="J176" s="31">
        <f t="shared" si="45"/>
        <v>-11278020.006623842</v>
      </c>
      <c r="K176" s="44">
        <f>J176/$J$16</f>
        <v>-68845.235791288535</v>
      </c>
      <c r="L176" s="31">
        <f>FINV(0.05,H176,$H$16)</f>
        <v>2.2253399674380931</v>
      </c>
      <c r="M176" s="31" t="str">
        <f t="shared" ref="M176" si="49">IF(K176&gt;=L176, "S", "NS")</f>
        <v>NS</v>
      </c>
      <c r="N176" s="39"/>
      <c r="O176" s="33">
        <v>3</v>
      </c>
      <c r="P176" s="31">
        <f t="shared" si="47"/>
        <v>666.82500000000005</v>
      </c>
      <c r="Q176" s="49">
        <f t="shared" si="48"/>
        <v>2</v>
      </c>
      <c r="R176" s="52">
        <v>2</v>
      </c>
    </row>
    <row r="177" spans="1:18" x14ac:dyDescent="0.25">
      <c r="A177" s="32" t="s">
        <v>93</v>
      </c>
      <c r="B177" s="117">
        <v>658.49</v>
      </c>
      <c r="C177" s="117">
        <v>659.29</v>
      </c>
      <c r="D177" s="117">
        <v>660.25</v>
      </c>
      <c r="E177" s="31">
        <f t="shared" si="43"/>
        <v>1978.03</v>
      </c>
      <c r="F177" s="31">
        <f t="shared" si="44"/>
        <v>659.34333333333336</v>
      </c>
      <c r="G177" s="45" t="s">
        <v>23</v>
      </c>
      <c r="H177" s="31">
        <f>((B168-1)*(B166*B167-1))</f>
        <v>34</v>
      </c>
      <c r="I177" s="31">
        <f>D192</f>
        <v>48311.392966669053</v>
      </c>
      <c r="J177" s="31">
        <f t="shared" si="45"/>
        <v>1420.9233225490898</v>
      </c>
      <c r="O177" s="33">
        <v>4</v>
      </c>
      <c r="P177" s="31">
        <f t="shared" si="47"/>
        <v>541.57166666666672</v>
      </c>
      <c r="Q177" s="49">
        <f t="shared" si="48"/>
        <v>7</v>
      </c>
      <c r="R177" s="52">
        <v>7</v>
      </c>
    </row>
    <row r="178" spans="1:18" x14ac:dyDescent="0.25">
      <c r="A178" s="32" t="s">
        <v>94</v>
      </c>
      <c r="B178" s="117">
        <v>506.89</v>
      </c>
      <c r="C178" s="117">
        <v>543.54999999999995</v>
      </c>
      <c r="D178" s="117">
        <v>601.59</v>
      </c>
      <c r="E178" s="31">
        <f t="shared" si="43"/>
        <v>1652.0300000000002</v>
      </c>
      <c r="F178" s="31">
        <f t="shared" si="44"/>
        <v>550.67666666666673</v>
      </c>
      <c r="G178" s="44" t="s">
        <v>4</v>
      </c>
      <c r="H178" s="31">
        <f>SUM(H172:H177)-H173</f>
        <v>53</v>
      </c>
      <c r="I178" s="31">
        <f>B191</f>
        <v>426846.40673333779</v>
      </c>
      <c r="K178" s="31" t="s">
        <v>111</v>
      </c>
      <c r="L178" s="41">
        <f>TINV(0.05,34)</f>
        <v>2.0322445093177191</v>
      </c>
      <c r="O178" s="33">
        <v>5</v>
      </c>
      <c r="P178" s="31">
        <f t="shared" si="47"/>
        <v>664.96166666666682</v>
      </c>
      <c r="Q178" s="49">
        <f t="shared" si="48"/>
        <v>3</v>
      </c>
      <c r="R178" s="51">
        <v>3</v>
      </c>
    </row>
    <row r="179" spans="1:18" x14ac:dyDescent="0.25">
      <c r="A179" s="32" t="s">
        <v>95</v>
      </c>
      <c r="B179" s="117">
        <v>400.26</v>
      </c>
      <c r="C179" s="117">
        <v>405.1</v>
      </c>
      <c r="D179" s="117">
        <v>460.25</v>
      </c>
      <c r="E179" s="31">
        <f t="shared" si="43"/>
        <v>1265.6100000000001</v>
      </c>
      <c r="F179" s="31">
        <f t="shared" si="44"/>
        <v>421.87000000000006</v>
      </c>
      <c r="G179" s="34" t="s">
        <v>14</v>
      </c>
      <c r="H179" s="31">
        <f>SQRT(J177/3)</f>
        <v>21.763297257455342</v>
      </c>
      <c r="O179" s="33">
        <v>6</v>
      </c>
      <c r="P179" s="31">
        <f t="shared" si="47"/>
        <v>688.8266666666666</v>
      </c>
      <c r="Q179" s="49">
        <f t="shared" si="48"/>
        <v>1</v>
      </c>
      <c r="R179" s="52">
        <v>1</v>
      </c>
    </row>
    <row r="180" spans="1:18" x14ac:dyDescent="0.25">
      <c r="A180" s="32" t="s">
        <v>96</v>
      </c>
      <c r="B180" s="117">
        <v>605.54</v>
      </c>
      <c r="C180" s="117">
        <v>695.58</v>
      </c>
      <c r="D180" s="117">
        <v>598.89</v>
      </c>
      <c r="E180" s="31">
        <f t="shared" si="43"/>
        <v>1900.0099999999998</v>
      </c>
      <c r="F180" s="31">
        <f t="shared" si="44"/>
        <v>633.33666666666659</v>
      </c>
      <c r="G180" s="34" t="s">
        <v>16</v>
      </c>
      <c r="H180" s="31">
        <f>(SQRT((2*J177)/3))*L178</f>
        <v>62.548320187081849</v>
      </c>
      <c r="O180" s="33">
        <v>7</v>
      </c>
      <c r="P180" s="31">
        <f t="shared" si="47"/>
        <v>556.12833333333333</v>
      </c>
      <c r="Q180" s="49">
        <f t="shared" si="48"/>
        <v>6</v>
      </c>
      <c r="R180" s="52">
        <v>6</v>
      </c>
    </row>
    <row r="181" spans="1:18" x14ac:dyDescent="0.25">
      <c r="A181" s="32" t="s">
        <v>97</v>
      </c>
      <c r="B181" s="117">
        <v>602.15</v>
      </c>
      <c r="C181" s="117">
        <v>648.58000000000004</v>
      </c>
      <c r="D181" s="117">
        <v>698.59</v>
      </c>
      <c r="E181" s="31">
        <f t="shared" si="43"/>
        <v>1949.3200000000002</v>
      </c>
      <c r="F181" s="31">
        <f t="shared" si="44"/>
        <v>649.77333333333343</v>
      </c>
      <c r="G181" s="34" t="s">
        <v>29</v>
      </c>
      <c r="H181" s="31">
        <f>((SQRT(J177))/F188)*100</f>
        <v>6.2793598282204783</v>
      </c>
      <c r="O181" s="33">
        <v>8</v>
      </c>
      <c r="P181" s="31">
        <f t="shared" si="47"/>
        <v>652.29166666666663</v>
      </c>
      <c r="Q181" s="49">
        <f t="shared" si="48"/>
        <v>4</v>
      </c>
      <c r="R181" s="51">
        <v>4</v>
      </c>
    </row>
    <row r="182" spans="1:18" x14ac:dyDescent="0.25">
      <c r="A182" s="32" t="s">
        <v>98</v>
      </c>
      <c r="B182" s="117">
        <v>510.25</v>
      </c>
      <c r="C182" s="117">
        <v>535.54</v>
      </c>
      <c r="D182" s="117">
        <v>541.55999999999995</v>
      </c>
      <c r="E182" s="31">
        <f t="shared" si="43"/>
        <v>1587.35</v>
      </c>
      <c r="F182" s="31">
        <f t="shared" si="44"/>
        <v>529.11666666666667</v>
      </c>
      <c r="O182" s="33">
        <v>9</v>
      </c>
      <c r="P182" s="31">
        <f t="shared" si="47"/>
        <v>538.61166666666668</v>
      </c>
      <c r="Q182" s="49">
        <f t="shared" si="48"/>
        <v>8</v>
      </c>
      <c r="R182" s="52">
        <v>8</v>
      </c>
    </row>
    <row r="183" spans="1:18" x14ac:dyDescent="0.25">
      <c r="A183" s="32" t="s">
        <v>99</v>
      </c>
      <c r="B183" s="117">
        <v>695.85</v>
      </c>
      <c r="C183" s="117">
        <v>648.49</v>
      </c>
      <c r="D183" s="117">
        <v>642.15</v>
      </c>
      <c r="E183" s="31">
        <f t="shared" si="43"/>
        <v>1986.4900000000002</v>
      </c>
      <c r="F183" s="31">
        <f t="shared" si="44"/>
        <v>662.16333333333341</v>
      </c>
      <c r="O183" s="30" t="s">
        <v>14</v>
      </c>
      <c r="P183" s="42">
        <f>SQRT(J177/(3*2))</f>
        <v>15.388975071725266</v>
      </c>
      <c r="Q183" s="49"/>
    </row>
    <row r="184" spans="1:18" x14ac:dyDescent="0.25">
      <c r="A184" s="32" t="s">
        <v>100</v>
      </c>
      <c r="B184" s="117">
        <v>615.48</v>
      </c>
      <c r="C184" s="117">
        <v>651.87</v>
      </c>
      <c r="D184" s="117">
        <v>775.89</v>
      </c>
      <c r="E184" s="31">
        <f t="shared" si="43"/>
        <v>2043.2399999999998</v>
      </c>
      <c r="F184" s="31">
        <f t="shared" si="44"/>
        <v>681.07999999999993</v>
      </c>
      <c r="N184" s="30" t="s">
        <v>109</v>
      </c>
      <c r="O184" s="30" t="s">
        <v>16</v>
      </c>
      <c r="P184" s="42">
        <f>SQRT((2*J177)/(3*2))*L178</f>
        <v>44.228341356112992</v>
      </c>
      <c r="Q184" s="49"/>
    </row>
    <row r="185" spans="1:18" x14ac:dyDescent="0.25">
      <c r="A185" s="32" t="s">
        <v>101</v>
      </c>
      <c r="B185" s="117">
        <v>500.12</v>
      </c>
      <c r="C185" s="117">
        <v>505.16</v>
      </c>
      <c r="D185" s="117">
        <v>620.15</v>
      </c>
      <c r="E185" s="31">
        <f t="shared" si="43"/>
        <v>1625.4299999999998</v>
      </c>
      <c r="F185" s="31">
        <f>E185/3</f>
        <v>541.80999999999995</v>
      </c>
      <c r="Q185" s="49"/>
    </row>
    <row r="186" spans="1:18" x14ac:dyDescent="0.25">
      <c r="A186" s="32" t="s">
        <v>102</v>
      </c>
      <c r="B186" s="117">
        <v>610.25</v>
      </c>
      <c r="C186" s="117">
        <v>649.89</v>
      </c>
      <c r="D186" s="117">
        <v>675.58</v>
      </c>
      <c r="E186" s="31">
        <f t="shared" si="43"/>
        <v>1935.7199999999998</v>
      </c>
      <c r="F186" s="31">
        <f t="shared" ref="F186:F187" si="50">E186/3</f>
        <v>645.2399999999999</v>
      </c>
    </row>
    <row r="187" spans="1:18" x14ac:dyDescent="0.25">
      <c r="A187" s="32" t="s">
        <v>103</v>
      </c>
      <c r="B187" s="117">
        <v>502.48</v>
      </c>
      <c r="C187" s="117">
        <v>535.58000000000004</v>
      </c>
      <c r="D187" s="117">
        <v>541.58000000000004</v>
      </c>
      <c r="E187" s="31">
        <f t="shared" si="43"/>
        <v>1579.6399999999999</v>
      </c>
      <c r="F187" s="31">
        <f t="shared" si="50"/>
        <v>526.54666666666662</v>
      </c>
    </row>
    <row r="188" spans="1:18" x14ac:dyDescent="0.25">
      <c r="A188" s="30" t="s">
        <v>4</v>
      </c>
      <c r="B188" s="31">
        <f>SUM(B170:B187)</f>
        <v>10242.730000000001</v>
      </c>
      <c r="C188" s="31">
        <f t="shared" ref="C188:D188" si="51">SUM(C170:C187)</f>
        <v>10710.52</v>
      </c>
      <c r="D188" s="31">
        <f t="shared" si="51"/>
        <v>11463.07</v>
      </c>
      <c r="E188" s="31">
        <f>SUM(E170:E187)</f>
        <v>32416.32</v>
      </c>
      <c r="F188" s="31">
        <f>AVERAGE(B170:D187)</f>
        <v>600.30222222222244</v>
      </c>
    </row>
    <row r="189" spans="1:18" x14ac:dyDescent="0.25">
      <c r="A189" s="30" t="s">
        <v>5</v>
      </c>
      <c r="B189" s="31">
        <f>B188/18</f>
        <v>569.04055555555567</v>
      </c>
      <c r="C189" s="31">
        <f>C188/18</f>
        <v>595.0288888888889</v>
      </c>
      <c r="D189" s="31">
        <f>D188/18</f>
        <v>636.83722222222218</v>
      </c>
    </row>
    <row r="190" spans="1:18" x14ac:dyDescent="0.25">
      <c r="A190" s="30" t="s">
        <v>26</v>
      </c>
      <c r="B190" s="31">
        <f>(E188*E188)/54</f>
        <v>19459588.932266667</v>
      </c>
      <c r="C190" s="31"/>
      <c r="D190" s="31"/>
    </row>
    <row r="191" spans="1:18" x14ac:dyDescent="0.25">
      <c r="A191" s="30" t="s">
        <v>27</v>
      </c>
      <c r="B191" s="31">
        <f>SUMSQ(B170:D187)-B190</f>
        <v>426846.40673333779</v>
      </c>
      <c r="C191" s="30" t="s">
        <v>28</v>
      </c>
      <c r="D191" s="31">
        <f>(SUMSQ(B188:D188)/18)-B190</f>
        <v>42118.309300001711</v>
      </c>
    </row>
    <row r="192" spans="1:18" x14ac:dyDescent="0.25">
      <c r="A192" s="30" t="s">
        <v>30</v>
      </c>
      <c r="B192" s="31">
        <f>(SUMSQ(E170:E187)/3)-B190</f>
        <v>336416.70446666703</v>
      </c>
      <c r="C192" s="30" t="s">
        <v>31</v>
      </c>
      <c r="D192" s="31">
        <f>B191-B192-D191</f>
        <v>48311.392966669053</v>
      </c>
    </row>
    <row r="196" spans="1:18" x14ac:dyDescent="0.25">
      <c r="C196" s="48" t="s">
        <v>154</v>
      </c>
    </row>
    <row r="198" spans="1:18" x14ac:dyDescent="0.25">
      <c r="A198" s="36" t="s">
        <v>104</v>
      </c>
      <c r="B198" s="38">
        <v>2</v>
      </c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5"/>
      <c r="N198" s="35"/>
      <c r="O198" s="39"/>
      <c r="P198" s="39"/>
    </row>
    <row r="199" spans="1:18" x14ac:dyDescent="0.25">
      <c r="A199" s="36" t="s">
        <v>105</v>
      </c>
      <c r="B199" s="38">
        <v>9</v>
      </c>
      <c r="C199" s="39" t="s">
        <v>107</v>
      </c>
      <c r="D199" s="39">
        <v>18</v>
      </c>
      <c r="E199" s="39"/>
      <c r="F199" s="39"/>
      <c r="G199" s="39"/>
      <c r="H199" s="39"/>
      <c r="I199" s="39"/>
      <c r="J199" s="39"/>
      <c r="K199" s="39"/>
      <c r="L199" s="39"/>
      <c r="M199" s="35"/>
      <c r="N199" s="35"/>
      <c r="O199" s="39"/>
      <c r="P199" s="39"/>
    </row>
    <row r="200" spans="1:18" x14ac:dyDescent="0.25">
      <c r="A200" s="37" t="s">
        <v>106</v>
      </c>
      <c r="B200" s="40">
        <v>3</v>
      </c>
    </row>
    <row r="201" spans="1:18" x14ac:dyDescent="0.25">
      <c r="A201" s="46" t="s">
        <v>0</v>
      </c>
      <c r="B201" s="30" t="s">
        <v>1</v>
      </c>
      <c r="C201" s="30" t="s">
        <v>2</v>
      </c>
      <c r="D201" s="30" t="s">
        <v>3</v>
      </c>
      <c r="E201" s="30" t="s">
        <v>4</v>
      </c>
      <c r="F201" s="30" t="s">
        <v>5</v>
      </c>
      <c r="O201" s="41" t="s">
        <v>7</v>
      </c>
      <c r="R201" s="41"/>
    </row>
    <row r="202" spans="1:18" x14ac:dyDescent="0.25">
      <c r="A202" s="32" t="s">
        <v>86</v>
      </c>
      <c r="B202" s="68">
        <v>559.85</v>
      </c>
      <c r="C202" s="68">
        <v>610.25</v>
      </c>
      <c r="D202" s="68">
        <v>799.59</v>
      </c>
      <c r="E202" s="31">
        <f>SUM(B202:D202)</f>
        <v>1969.69</v>
      </c>
      <c r="F202" s="31">
        <f>E202/3</f>
        <v>656.56333333333339</v>
      </c>
      <c r="H202" s="47"/>
      <c r="I202" s="47"/>
      <c r="J202" s="47" t="s">
        <v>6</v>
      </c>
      <c r="K202" s="47"/>
      <c r="L202" s="47"/>
      <c r="M202" s="47"/>
      <c r="N202" s="47"/>
      <c r="O202" s="33">
        <v>1</v>
      </c>
      <c r="P202" s="31">
        <f>SUM(F202:F210)/9</f>
        <v>875.64148148148138</v>
      </c>
      <c r="Q202" s="49">
        <f>RANK(P202,P$202:P$203,0)</f>
        <v>1</v>
      </c>
      <c r="R202" s="41"/>
    </row>
    <row r="203" spans="1:18" x14ac:dyDescent="0.25">
      <c r="A203" s="32" t="s">
        <v>87</v>
      </c>
      <c r="B203" s="68">
        <v>958.86</v>
      </c>
      <c r="C203" s="68">
        <v>895.68</v>
      </c>
      <c r="D203" s="68">
        <v>841.58</v>
      </c>
      <c r="E203" s="31">
        <f t="shared" ref="E203:E219" si="52">SUM(B203:D203)</f>
        <v>2696.12</v>
      </c>
      <c r="F203" s="31">
        <f t="shared" ref="F203:F216" si="53">E203/3</f>
        <v>898.70666666666659</v>
      </c>
      <c r="G203" s="31"/>
      <c r="H203" s="30" t="s">
        <v>8</v>
      </c>
      <c r="I203" s="30" t="s">
        <v>9</v>
      </c>
      <c r="J203" s="30" t="s">
        <v>10</v>
      </c>
      <c r="K203" s="30" t="s">
        <v>11</v>
      </c>
      <c r="L203" s="30" t="s">
        <v>12</v>
      </c>
      <c r="M203" s="30" t="s">
        <v>112</v>
      </c>
      <c r="N203" s="50"/>
      <c r="O203" s="33">
        <v>2</v>
      </c>
      <c r="P203" s="31">
        <f>SUM(F211:F219)/9</f>
        <v>834.15962962962953</v>
      </c>
      <c r="Q203" s="49">
        <f>RANK(P203,P$202:P$203,0)</f>
        <v>2</v>
      </c>
      <c r="R203" s="41"/>
    </row>
    <row r="204" spans="1:18" x14ac:dyDescent="0.25">
      <c r="A204" s="32" t="s">
        <v>88</v>
      </c>
      <c r="B204" s="68">
        <v>975.58</v>
      </c>
      <c r="C204" s="68">
        <v>950.25</v>
      </c>
      <c r="D204" s="68">
        <v>915.48</v>
      </c>
      <c r="E204" s="31">
        <f t="shared" si="52"/>
        <v>2841.31</v>
      </c>
      <c r="F204" s="31">
        <f t="shared" si="53"/>
        <v>947.10333333333335</v>
      </c>
      <c r="G204" s="31" t="s">
        <v>13</v>
      </c>
      <c r="H204" s="31">
        <f>B200-1</f>
        <v>2</v>
      </c>
      <c r="I204" s="31">
        <f>D223</f>
        <v>97775.374299995601</v>
      </c>
      <c r="J204" s="31">
        <f>I204/H204</f>
        <v>48887.687149997801</v>
      </c>
      <c r="K204" s="31">
        <f>J204/$J$16</f>
        <v>298.42865566434546</v>
      </c>
      <c r="L204" s="31">
        <f>FINV(0.05,H204,$H$16)</f>
        <v>3.275897990672394</v>
      </c>
      <c r="M204" s="31" t="str">
        <f>IF(K204&gt;=L204, "S", "NS")</f>
        <v>S</v>
      </c>
      <c r="N204" s="39"/>
      <c r="O204" s="30" t="s">
        <v>14</v>
      </c>
      <c r="P204" s="42">
        <f>SQRT(J209/(3*9))</f>
        <v>13.545795759288596</v>
      </c>
      <c r="R204" s="41"/>
    </row>
    <row r="205" spans="1:18" x14ac:dyDescent="0.25">
      <c r="A205" s="32" t="s">
        <v>89</v>
      </c>
      <c r="B205" s="68">
        <v>738.59</v>
      </c>
      <c r="C205" s="68">
        <v>825.44</v>
      </c>
      <c r="D205" s="68">
        <v>970.15</v>
      </c>
      <c r="E205" s="31">
        <f t="shared" si="52"/>
        <v>2534.1800000000003</v>
      </c>
      <c r="F205" s="31">
        <f t="shared" si="53"/>
        <v>844.7266666666668</v>
      </c>
      <c r="G205" s="31" t="s">
        <v>15</v>
      </c>
      <c r="H205" s="31">
        <f>D199-1</f>
        <v>17</v>
      </c>
      <c r="I205" s="31">
        <f>B224</f>
        <v>480186.22321666777</v>
      </c>
      <c r="J205" s="31">
        <f t="shared" ref="J205:J209" si="54">I205/H205</f>
        <v>28246.248424509868</v>
      </c>
      <c r="K205" s="31">
        <f>J205/$J$16</f>
        <v>172.42562363451867</v>
      </c>
      <c r="L205" s="31">
        <f>FINV(0.05,H205,$H$16)</f>
        <v>1.9332068318040869</v>
      </c>
      <c r="M205" s="43" t="str">
        <f t="shared" ref="M205" si="55">IF(K205&gt;=L205, "S", "NS")</f>
        <v>S</v>
      </c>
      <c r="N205" s="30" t="s">
        <v>113</v>
      </c>
      <c r="O205" s="30" t="s">
        <v>16</v>
      </c>
      <c r="P205" s="42">
        <f>SQRT((2*J209)/(3*9))*L210</f>
        <v>38.930992869224106</v>
      </c>
      <c r="R205" s="41"/>
    </row>
    <row r="206" spans="1:18" x14ac:dyDescent="0.25">
      <c r="A206" s="32" t="s">
        <v>90</v>
      </c>
      <c r="B206" s="68">
        <v>895.68</v>
      </c>
      <c r="C206" s="68">
        <v>940.15</v>
      </c>
      <c r="D206" s="68">
        <v>985.87</v>
      </c>
      <c r="E206" s="31">
        <f t="shared" si="52"/>
        <v>2821.7</v>
      </c>
      <c r="F206" s="31">
        <f t="shared" si="53"/>
        <v>940.56666666666661</v>
      </c>
      <c r="G206" s="31" t="s">
        <v>108</v>
      </c>
      <c r="H206" s="31">
        <f>B198-1</f>
        <v>1</v>
      </c>
      <c r="I206" s="31">
        <f>(SUM(E202:E210)^2+SUM(E211:E219)^2)/27-B222</f>
        <v>23230.044446274638</v>
      </c>
      <c r="J206" s="31">
        <f t="shared" si="54"/>
        <v>23230.044446274638</v>
      </c>
      <c r="K206" s="31">
        <f>J206/$J$16</f>
        <v>141.80484574478476</v>
      </c>
      <c r="L206" s="31">
        <f>FINV(0.05,H206,$H$16)</f>
        <v>4.1300177456520188</v>
      </c>
      <c r="M206" s="31" t="str">
        <f>IF(K206&gt;=L206, "S", "NS")</f>
        <v>S</v>
      </c>
      <c r="N206" s="39"/>
      <c r="O206" s="33">
        <v>1</v>
      </c>
      <c r="P206" s="31">
        <f>(F202+F211)/2</f>
        <v>627.33166666666671</v>
      </c>
      <c r="Q206" s="49">
        <f>RANK(P206,P$206:P$214,0)</f>
        <v>9</v>
      </c>
      <c r="R206" s="51">
        <v>9</v>
      </c>
    </row>
    <row r="207" spans="1:18" x14ac:dyDescent="0.25">
      <c r="A207" s="32" t="s">
        <v>91</v>
      </c>
      <c r="B207" s="68">
        <v>910.68</v>
      </c>
      <c r="C207" s="68">
        <v>994.56</v>
      </c>
      <c r="D207" s="68">
        <v>998.58</v>
      </c>
      <c r="E207" s="31">
        <f t="shared" si="52"/>
        <v>2903.8199999999997</v>
      </c>
      <c r="F207" s="31">
        <f t="shared" si="53"/>
        <v>967.93999999999994</v>
      </c>
      <c r="G207" s="31" t="s">
        <v>109</v>
      </c>
      <c r="H207" s="31">
        <f>B199-1</f>
        <v>8</v>
      </c>
      <c r="I207" s="31">
        <f>((E202+E211)^2+(E203+E212)^2+(E204+E213)^2+(E205+E214)^2+(E206+E215)^2+(E207+E216)^2+(E208+E217)^2+(E209+E218)^2+(E210+E219)^2/6)-B222</f>
        <v>179879904.50174996</v>
      </c>
      <c r="J207" s="31">
        <f t="shared" si="54"/>
        <v>22484988.062718745</v>
      </c>
      <c r="K207" s="31">
        <f>J207/$J$16</f>
        <v>137256.7440058639</v>
      </c>
      <c r="L207" s="31">
        <f>FINV(0.05,H207,$H$16)</f>
        <v>2.2253399674380931</v>
      </c>
      <c r="M207" s="31" t="str">
        <f>IF(K207&gt;=L207, "S", "NS")</f>
        <v>S</v>
      </c>
      <c r="N207" s="39"/>
      <c r="O207" s="33">
        <v>2</v>
      </c>
      <c r="P207" s="31">
        <f t="shared" ref="P207:P214" si="56">(F203+F212)/2</f>
        <v>869.34999999999991</v>
      </c>
      <c r="Q207" s="49">
        <f t="shared" ref="Q207:Q214" si="57">RANK(P207,P$206:P$214,0)</f>
        <v>5</v>
      </c>
      <c r="R207" s="52">
        <v>5</v>
      </c>
    </row>
    <row r="208" spans="1:18" x14ac:dyDescent="0.25">
      <c r="A208" s="32" t="s">
        <v>92</v>
      </c>
      <c r="B208" s="68">
        <v>778.65</v>
      </c>
      <c r="C208" s="68">
        <v>851.24</v>
      </c>
      <c r="D208" s="68">
        <v>968.59</v>
      </c>
      <c r="E208" s="31">
        <f t="shared" si="52"/>
        <v>2598.48</v>
      </c>
      <c r="F208" s="31">
        <f t="shared" si="53"/>
        <v>866.16</v>
      </c>
      <c r="G208" s="26" t="s">
        <v>110</v>
      </c>
      <c r="H208" s="31">
        <f>H206*H207</f>
        <v>8</v>
      </c>
      <c r="I208" s="31">
        <f>I205-(I206+I207)</f>
        <v>-179422948.32297957</v>
      </c>
      <c r="J208" s="31">
        <f t="shared" si="54"/>
        <v>-22427868.540372446</v>
      </c>
      <c r="K208" s="44">
        <f>J208/$J$16</f>
        <v>-136908.06516135865</v>
      </c>
      <c r="L208" s="31">
        <f>FINV(0.05,H208,$H$16)</f>
        <v>2.2253399674380931</v>
      </c>
      <c r="M208" s="31" t="str">
        <f t="shared" ref="M208" si="58">IF(K208&gt;=L208, "S", "NS")</f>
        <v>NS</v>
      </c>
      <c r="N208" s="39"/>
      <c r="O208" s="33">
        <v>3</v>
      </c>
      <c r="P208" s="31">
        <f t="shared" si="56"/>
        <v>929.23166666666668</v>
      </c>
      <c r="Q208" s="49">
        <f t="shared" si="57"/>
        <v>2</v>
      </c>
      <c r="R208" s="52">
        <v>2</v>
      </c>
    </row>
    <row r="209" spans="1:18" x14ac:dyDescent="0.25">
      <c r="A209" s="32" t="s">
        <v>93</v>
      </c>
      <c r="B209" s="68">
        <v>941.25</v>
      </c>
      <c r="C209" s="68">
        <v>886.58</v>
      </c>
      <c r="D209" s="68">
        <v>948.51</v>
      </c>
      <c r="E209" s="31">
        <f t="shared" si="52"/>
        <v>2776.34</v>
      </c>
      <c r="F209" s="31">
        <f t="shared" si="53"/>
        <v>925.44666666666672</v>
      </c>
      <c r="G209" s="45" t="s">
        <v>23</v>
      </c>
      <c r="H209" s="31">
        <f>((B200-1)*(B198*B199-1))</f>
        <v>34</v>
      </c>
      <c r="I209" s="31">
        <f>D224</f>
        <v>168442.51896666735</v>
      </c>
      <c r="J209" s="31">
        <f t="shared" si="54"/>
        <v>4954.1917343137457</v>
      </c>
      <c r="O209" s="33">
        <v>4</v>
      </c>
      <c r="P209" s="31">
        <f t="shared" si="56"/>
        <v>826.00833333333344</v>
      </c>
      <c r="Q209" s="49">
        <f t="shared" si="57"/>
        <v>7</v>
      </c>
      <c r="R209" s="52">
        <v>7</v>
      </c>
    </row>
    <row r="210" spans="1:18" x14ac:dyDescent="0.25">
      <c r="A210" s="32" t="s">
        <v>94</v>
      </c>
      <c r="B210" s="68">
        <v>781.58</v>
      </c>
      <c r="C210" s="68">
        <v>920.56</v>
      </c>
      <c r="D210" s="68">
        <v>798.54</v>
      </c>
      <c r="E210" s="31">
        <f t="shared" si="52"/>
        <v>2500.6799999999998</v>
      </c>
      <c r="F210" s="31">
        <f t="shared" si="53"/>
        <v>833.56</v>
      </c>
      <c r="G210" s="44" t="s">
        <v>4</v>
      </c>
      <c r="H210" s="31">
        <f>SUM(H204:H209)-H205</f>
        <v>53</v>
      </c>
      <c r="I210" s="31">
        <f>B223</f>
        <v>746404.11648333073</v>
      </c>
      <c r="K210" s="31" t="s">
        <v>111</v>
      </c>
      <c r="L210" s="41">
        <f>TINV(0.05,34)</f>
        <v>2.0322445093177191</v>
      </c>
      <c r="O210" s="33">
        <v>5</v>
      </c>
      <c r="P210" s="31">
        <f t="shared" si="56"/>
        <v>922.42833333333328</v>
      </c>
      <c r="Q210" s="49">
        <f t="shared" si="57"/>
        <v>3</v>
      </c>
      <c r="R210" s="51">
        <v>3</v>
      </c>
    </row>
    <row r="211" spans="1:18" x14ac:dyDescent="0.25">
      <c r="A211" s="32" t="s">
        <v>95</v>
      </c>
      <c r="B211" s="68">
        <v>511.59</v>
      </c>
      <c r="C211" s="68">
        <v>505.86</v>
      </c>
      <c r="D211" s="68">
        <v>776.85</v>
      </c>
      <c r="E211" s="31">
        <f t="shared" si="52"/>
        <v>1794.3000000000002</v>
      </c>
      <c r="F211" s="31">
        <f t="shared" si="53"/>
        <v>598.1</v>
      </c>
      <c r="G211" s="34" t="s">
        <v>14</v>
      </c>
      <c r="H211" s="31">
        <f>SQRT(J209/3)</f>
        <v>40.637387277865791</v>
      </c>
      <c r="O211" s="33">
        <v>6</v>
      </c>
      <c r="P211" s="31">
        <f t="shared" si="56"/>
        <v>947.03666666666663</v>
      </c>
      <c r="Q211" s="49">
        <f t="shared" si="57"/>
        <v>1</v>
      </c>
      <c r="R211" s="52">
        <v>1</v>
      </c>
    </row>
    <row r="212" spans="1:18" x14ac:dyDescent="0.25">
      <c r="A212" s="32" t="s">
        <v>96</v>
      </c>
      <c r="B212" s="68">
        <v>782.54</v>
      </c>
      <c r="C212" s="68">
        <v>935.86</v>
      </c>
      <c r="D212" s="68">
        <v>801.58</v>
      </c>
      <c r="E212" s="31">
        <f t="shared" si="52"/>
        <v>2519.98</v>
      </c>
      <c r="F212" s="31">
        <f t="shared" si="53"/>
        <v>839.99333333333334</v>
      </c>
      <c r="G212" s="34" t="s">
        <v>16</v>
      </c>
      <c r="H212" s="31">
        <f>(SQRT((2*J209)/3))*L210</f>
        <v>116.79297860767232</v>
      </c>
      <c r="O212" s="33">
        <v>7</v>
      </c>
      <c r="P212" s="31">
        <f t="shared" si="56"/>
        <v>841.81499999999994</v>
      </c>
      <c r="Q212" s="49">
        <f t="shared" si="57"/>
        <v>6</v>
      </c>
      <c r="R212" s="52">
        <v>6</v>
      </c>
    </row>
    <row r="213" spans="1:18" x14ac:dyDescent="0.25">
      <c r="A213" s="32" t="s">
        <v>97</v>
      </c>
      <c r="B213" s="68">
        <v>962.54</v>
      </c>
      <c r="C213" s="68">
        <v>835.86</v>
      </c>
      <c r="D213" s="68">
        <v>935.68</v>
      </c>
      <c r="E213" s="31">
        <f t="shared" si="52"/>
        <v>2734.08</v>
      </c>
      <c r="F213" s="31">
        <f t="shared" si="53"/>
        <v>911.36</v>
      </c>
      <c r="G213" s="34" t="s">
        <v>29</v>
      </c>
      <c r="H213" s="31">
        <f>((SQRT(J209))/F220)*100</f>
        <v>8.233240579236309</v>
      </c>
      <c r="O213" s="33">
        <v>8</v>
      </c>
      <c r="P213" s="31">
        <f t="shared" si="56"/>
        <v>910.68000000000006</v>
      </c>
      <c r="Q213" s="49">
        <f t="shared" si="57"/>
        <v>4</v>
      </c>
      <c r="R213" s="51">
        <v>4</v>
      </c>
    </row>
    <row r="214" spans="1:18" x14ac:dyDescent="0.25">
      <c r="A214" s="32" t="s">
        <v>98</v>
      </c>
      <c r="B214" s="68">
        <v>728.86</v>
      </c>
      <c r="C214" s="68">
        <v>752.86</v>
      </c>
      <c r="D214" s="68">
        <v>940.15</v>
      </c>
      <c r="E214" s="31">
        <f t="shared" si="52"/>
        <v>2421.87</v>
      </c>
      <c r="F214" s="31">
        <f t="shared" si="53"/>
        <v>807.29</v>
      </c>
      <c r="O214" s="33">
        <v>9</v>
      </c>
      <c r="P214" s="31">
        <f t="shared" si="56"/>
        <v>820.22333333333336</v>
      </c>
      <c r="Q214" s="49">
        <f t="shared" si="57"/>
        <v>8</v>
      </c>
      <c r="R214" s="52">
        <v>8</v>
      </c>
    </row>
    <row r="215" spans="1:18" x14ac:dyDescent="0.25">
      <c r="A215" s="32" t="s">
        <v>99</v>
      </c>
      <c r="B215" s="68">
        <v>805.75</v>
      </c>
      <c r="C215" s="68">
        <v>935.54</v>
      </c>
      <c r="D215" s="68">
        <v>971.58</v>
      </c>
      <c r="E215" s="31">
        <f t="shared" si="52"/>
        <v>2712.87</v>
      </c>
      <c r="F215" s="31">
        <f t="shared" si="53"/>
        <v>904.29</v>
      </c>
      <c r="O215" s="30" t="s">
        <v>14</v>
      </c>
      <c r="P215" s="42">
        <f>SQRT(J209/(3*2))</f>
        <v>28.734972113882836</v>
      </c>
      <c r="Q215" s="49"/>
    </row>
    <row r="216" spans="1:18" x14ac:dyDescent="0.25">
      <c r="A216" s="32" t="s">
        <v>100</v>
      </c>
      <c r="B216" s="68">
        <v>816.58</v>
      </c>
      <c r="C216" s="68">
        <v>962.56</v>
      </c>
      <c r="D216" s="68">
        <v>999.26</v>
      </c>
      <c r="E216" s="31">
        <f t="shared" si="52"/>
        <v>2778.3999999999996</v>
      </c>
      <c r="F216" s="31">
        <f t="shared" si="53"/>
        <v>926.13333333333321</v>
      </c>
      <c r="N216" s="30" t="s">
        <v>109</v>
      </c>
      <c r="O216" s="30" t="s">
        <v>16</v>
      </c>
      <c r="P216" s="42">
        <f>SQRT((2*J209)/(3*2))*L210</f>
        <v>82.585107168460482</v>
      </c>
      <c r="Q216" s="49"/>
    </row>
    <row r="217" spans="1:18" x14ac:dyDescent="0.25">
      <c r="A217" s="32" t="s">
        <v>101</v>
      </c>
      <c r="B217" s="68">
        <v>742.15</v>
      </c>
      <c r="C217" s="68">
        <v>824.57</v>
      </c>
      <c r="D217" s="68">
        <v>885.69</v>
      </c>
      <c r="E217" s="31">
        <f t="shared" si="52"/>
        <v>2452.41</v>
      </c>
      <c r="F217" s="31">
        <f>E217/3</f>
        <v>817.46999999999991</v>
      </c>
      <c r="Q217" s="49"/>
    </row>
    <row r="218" spans="1:18" x14ac:dyDescent="0.25">
      <c r="A218" s="32" t="s">
        <v>102</v>
      </c>
      <c r="B218" s="68">
        <v>852.87</v>
      </c>
      <c r="C218" s="68">
        <v>908.29</v>
      </c>
      <c r="D218" s="68">
        <v>926.58</v>
      </c>
      <c r="E218" s="31">
        <f t="shared" si="52"/>
        <v>2687.74</v>
      </c>
      <c r="F218" s="31">
        <f t="shared" ref="F218:F219" si="59">E218/3</f>
        <v>895.9133333333333</v>
      </c>
    </row>
    <row r="219" spans="1:18" x14ac:dyDescent="0.25">
      <c r="A219" s="32" t="s">
        <v>103</v>
      </c>
      <c r="B219" s="68">
        <v>741.58</v>
      </c>
      <c r="C219" s="68">
        <v>785.56</v>
      </c>
      <c r="D219" s="68">
        <v>893.52</v>
      </c>
      <c r="E219" s="31">
        <f t="shared" si="52"/>
        <v>2420.66</v>
      </c>
      <c r="F219" s="31">
        <f t="shared" si="59"/>
        <v>806.88666666666666</v>
      </c>
    </row>
    <row r="220" spans="1:18" x14ac:dyDescent="0.25">
      <c r="A220" s="30" t="s">
        <v>4</v>
      </c>
      <c r="B220" s="31">
        <f>SUM(B202:B219)</f>
        <v>14485.18</v>
      </c>
      <c r="C220" s="31">
        <f t="shared" ref="C220:D220" si="60">SUM(C202:C219)</f>
        <v>15321.67</v>
      </c>
      <c r="D220" s="31">
        <f t="shared" si="60"/>
        <v>16357.78</v>
      </c>
      <c r="E220" s="31">
        <f>SUM(E202:E219)</f>
        <v>46164.630000000005</v>
      </c>
      <c r="F220" s="31">
        <f>AVERAGE(B202:D219)</f>
        <v>854.90055555555591</v>
      </c>
    </row>
    <row r="221" spans="1:18" x14ac:dyDescent="0.25">
      <c r="A221" s="30" t="s">
        <v>5</v>
      </c>
      <c r="B221" s="31">
        <f>B220/18</f>
        <v>804.73222222222228</v>
      </c>
      <c r="C221" s="31">
        <f>C220/18</f>
        <v>851.20388888888886</v>
      </c>
      <c r="D221" s="31">
        <f>D220/18</f>
        <v>908.76555555555558</v>
      </c>
    </row>
    <row r="222" spans="1:18" x14ac:dyDescent="0.25">
      <c r="A222" s="30" t="s">
        <v>26</v>
      </c>
      <c r="B222" s="31">
        <f>(E220*E220)/54</f>
        <v>39466167.834016673</v>
      </c>
      <c r="C222" s="31"/>
      <c r="D222" s="31"/>
    </row>
    <row r="223" spans="1:18" x14ac:dyDescent="0.25">
      <c r="A223" s="30" t="s">
        <v>27</v>
      </c>
      <c r="B223" s="31">
        <f>SUMSQ(B202:D219)-B222</f>
        <v>746404.11648333073</v>
      </c>
      <c r="C223" s="30" t="s">
        <v>28</v>
      </c>
      <c r="D223" s="31">
        <f>(SUMSQ(B220:D220)/18)-B222</f>
        <v>97775.374299995601</v>
      </c>
    </row>
    <row r="224" spans="1:18" x14ac:dyDescent="0.25">
      <c r="A224" s="30" t="s">
        <v>30</v>
      </c>
      <c r="B224" s="31">
        <f>(SUMSQ(E202:E219)/3)-B222</f>
        <v>480186.22321666777</v>
      </c>
      <c r="C224" s="30" t="s">
        <v>31</v>
      </c>
      <c r="D224" s="31">
        <f>B223-B224-D223</f>
        <v>168442.51896666735</v>
      </c>
    </row>
    <row r="228" spans="1:18" x14ac:dyDescent="0.25">
      <c r="C228" s="120" t="s">
        <v>156</v>
      </c>
    </row>
    <row r="230" spans="1:18" x14ac:dyDescent="0.25">
      <c r="A230" s="36" t="s">
        <v>104</v>
      </c>
      <c r="B230" s="38">
        <v>2</v>
      </c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5"/>
      <c r="N230" s="35"/>
      <c r="O230" s="39"/>
      <c r="P230" s="39"/>
    </row>
    <row r="231" spans="1:18" x14ac:dyDescent="0.25">
      <c r="A231" s="36" t="s">
        <v>105</v>
      </c>
      <c r="B231" s="38">
        <v>9</v>
      </c>
      <c r="C231" s="39" t="s">
        <v>107</v>
      </c>
      <c r="D231" s="39">
        <v>18</v>
      </c>
      <c r="E231" s="39"/>
      <c r="F231" s="39"/>
      <c r="G231" s="39"/>
      <c r="H231" s="39"/>
      <c r="I231" s="39"/>
      <c r="J231" s="39"/>
      <c r="K231" s="39"/>
      <c r="L231" s="39"/>
      <c r="M231" s="35"/>
      <c r="N231" s="35"/>
      <c r="O231" s="39"/>
      <c r="P231" s="39"/>
    </row>
    <row r="232" spans="1:18" x14ac:dyDescent="0.25">
      <c r="A232" s="37" t="s">
        <v>106</v>
      </c>
      <c r="B232" s="40">
        <v>3</v>
      </c>
    </row>
    <row r="233" spans="1:18" x14ac:dyDescent="0.25">
      <c r="A233" s="46" t="s">
        <v>0</v>
      </c>
      <c r="B233" s="30" t="s">
        <v>1</v>
      </c>
      <c r="C233" s="30" t="s">
        <v>2</v>
      </c>
      <c r="D233" s="30" t="s">
        <v>3</v>
      </c>
      <c r="E233" s="30" t="s">
        <v>4</v>
      </c>
      <c r="F233" s="30" t="s">
        <v>5</v>
      </c>
      <c r="O233" s="41" t="s">
        <v>7</v>
      </c>
      <c r="R233" s="41"/>
    </row>
    <row r="234" spans="1:18" x14ac:dyDescent="0.25">
      <c r="A234" s="32" t="s">
        <v>86</v>
      </c>
      <c r="B234" s="68">
        <v>610.29</v>
      </c>
      <c r="C234" s="68">
        <v>702.25</v>
      </c>
      <c r="D234" s="68">
        <v>910.26</v>
      </c>
      <c r="E234" s="31">
        <f>SUM(B234:D234)</f>
        <v>2222.8000000000002</v>
      </c>
      <c r="F234" s="31">
        <f>E234/3</f>
        <v>740.93333333333339</v>
      </c>
      <c r="H234" s="47"/>
      <c r="I234" s="47"/>
      <c r="J234" s="47" t="s">
        <v>6</v>
      </c>
      <c r="K234" s="47"/>
      <c r="L234" s="47"/>
      <c r="M234" s="47"/>
      <c r="N234" s="47"/>
      <c r="O234" s="33">
        <v>1</v>
      </c>
      <c r="P234" s="31">
        <f>SUM(F234:F242)/9</f>
        <v>1021.8855555555557</v>
      </c>
      <c r="Q234" s="49">
        <f>RANK(P234,P$234:P$235,0)</f>
        <v>1</v>
      </c>
      <c r="R234" s="41"/>
    </row>
    <row r="235" spans="1:18" x14ac:dyDescent="0.25">
      <c r="A235" s="32" t="s">
        <v>87</v>
      </c>
      <c r="B235" s="68">
        <v>1072.58</v>
      </c>
      <c r="C235" s="68">
        <v>1021.56</v>
      </c>
      <c r="D235" s="68">
        <v>1126.58</v>
      </c>
      <c r="E235" s="31">
        <f t="shared" ref="E235:E242" si="61">SUM(B235:D235)</f>
        <v>3220.72</v>
      </c>
      <c r="F235" s="31">
        <f t="shared" ref="F235:F248" si="62">E235/3</f>
        <v>1073.5733333333333</v>
      </c>
      <c r="G235" s="31"/>
      <c r="H235" s="30" t="s">
        <v>8</v>
      </c>
      <c r="I235" s="30" t="s">
        <v>9</v>
      </c>
      <c r="J235" s="30" t="s">
        <v>10</v>
      </c>
      <c r="K235" s="30" t="s">
        <v>11</v>
      </c>
      <c r="L235" s="30" t="s">
        <v>12</v>
      </c>
      <c r="M235" s="30" t="s">
        <v>112</v>
      </c>
      <c r="N235" s="50"/>
      <c r="O235" s="33">
        <v>2</v>
      </c>
      <c r="P235" s="31">
        <f>SUM(F243:F251)/9</f>
        <v>967.09777777777788</v>
      </c>
      <c r="Q235" s="49">
        <f>RANK(P235,P$234:P$235,0)</f>
        <v>2</v>
      </c>
      <c r="R235" s="41"/>
    </row>
    <row r="236" spans="1:18" x14ac:dyDescent="0.25">
      <c r="A236" s="32" t="s">
        <v>88</v>
      </c>
      <c r="B236" s="68">
        <v>1005.86</v>
      </c>
      <c r="C236" s="68">
        <v>1060.24</v>
      </c>
      <c r="D236" s="68">
        <v>1216.58</v>
      </c>
      <c r="E236" s="31">
        <f t="shared" si="61"/>
        <v>3282.68</v>
      </c>
      <c r="F236" s="31">
        <f t="shared" si="62"/>
        <v>1094.2266666666667</v>
      </c>
      <c r="G236" s="31" t="s">
        <v>13</v>
      </c>
      <c r="H236" s="31">
        <f>B232-1</f>
        <v>2</v>
      </c>
      <c r="I236" s="31">
        <f>D255</f>
        <v>23703.124800018966</v>
      </c>
      <c r="J236" s="31">
        <f>I236/H236</f>
        <v>11851.562400009483</v>
      </c>
      <c r="K236" s="31">
        <f>J236/$J$16</f>
        <v>72.346352235996349</v>
      </c>
      <c r="L236" s="31">
        <f>FINV(0.05,H236,$H$16)</f>
        <v>3.275897990672394</v>
      </c>
      <c r="M236" s="31" t="str">
        <f>IF(K236&gt;=L236, "S", "NS")</f>
        <v>S</v>
      </c>
      <c r="N236" s="39"/>
      <c r="O236" s="30" t="s">
        <v>14</v>
      </c>
      <c r="P236" s="42">
        <f>SQRT(J241/(3*9))</f>
        <v>12.677562049569611</v>
      </c>
      <c r="R236" s="41"/>
    </row>
    <row r="237" spans="1:18" x14ac:dyDescent="0.25">
      <c r="A237" s="32" t="s">
        <v>89</v>
      </c>
      <c r="B237" s="68">
        <v>1007.58</v>
      </c>
      <c r="C237" s="68">
        <v>985.58</v>
      </c>
      <c r="D237" s="68">
        <v>1003.56</v>
      </c>
      <c r="E237" s="31">
        <f t="shared" si="61"/>
        <v>2996.7200000000003</v>
      </c>
      <c r="F237" s="31">
        <f t="shared" si="62"/>
        <v>998.90666666666675</v>
      </c>
      <c r="G237" s="31" t="s">
        <v>15</v>
      </c>
      <c r="H237" s="31">
        <f>D231-1</f>
        <v>17</v>
      </c>
      <c r="I237" s="31">
        <f>B256</f>
        <v>641248.55355001986</v>
      </c>
      <c r="J237" s="31">
        <f t="shared" ref="J237:J241" si="63">I237/H237</f>
        <v>37720.503150001168</v>
      </c>
      <c r="K237" s="31">
        <f>J237/$J$16</f>
        <v>230.26000414990102</v>
      </c>
      <c r="L237" s="31">
        <f>FINV(0.05,H237,$H$16)</f>
        <v>1.9332068318040869</v>
      </c>
      <c r="M237" s="43" t="str">
        <f t="shared" ref="M237" si="64">IF(K237&gt;=L237, "S", "NS")</f>
        <v>S</v>
      </c>
      <c r="N237" s="30" t="s">
        <v>113</v>
      </c>
      <c r="O237" s="30" t="s">
        <v>16</v>
      </c>
      <c r="P237" s="42">
        <f>SQRT((2*J241)/(3*9))*L242</f>
        <v>36.435665096493466</v>
      </c>
      <c r="R237" s="41"/>
    </row>
    <row r="238" spans="1:18" x14ac:dyDescent="0.25">
      <c r="A238" s="32" t="s">
        <v>90</v>
      </c>
      <c r="B238" s="68">
        <v>1101.25</v>
      </c>
      <c r="C238" s="68">
        <v>1081.56</v>
      </c>
      <c r="D238" s="68">
        <v>1088.95</v>
      </c>
      <c r="E238" s="31">
        <f t="shared" si="61"/>
        <v>3271.76</v>
      </c>
      <c r="F238" s="31">
        <f t="shared" si="62"/>
        <v>1090.5866666666668</v>
      </c>
      <c r="G238" s="31" t="s">
        <v>108</v>
      </c>
      <c r="H238" s="31">
        <f>B230-1</f>
        <v>1</v>
      </c>
      <c r="I238" s="31">
        <f>(SUM(E234:E242)^2+SUM(E243:E251)^2)/27-B254</f>
        <v>40522.958016686141</v>
      </c>
      <c r="J238" s="31">
        <f t="shared" si="63"/>
        <v>40522.958016686141</v>
      </c>
      <c r="K238" s="31">
        <f>J238/$J$16</f>
        <v>247.36723272176519</v>
      </c>
      <c r="L238" s="31">
        <f>FINV(0.05,H238,$H$16)</f>
        <v>4.1300177456520188</v>
      </c>
      <c r="M238" s="31" t="str">
        <f>IF(K238&gt;=L238, "S", "NS")</f>
        <v>S</v>
      </c>
      <c r="N238" s="39"/>
      <c r="O238" s="33">
        <v>1</v>
      </c>
      <c r="P238" s="31">
        <f>(F234+F243)/2</f>
        <v>719.32333333333327</v>
      </c>
      <c r="Q238" s="49">
        <f>RANK(P238,P$238:P$246,0)</f>
        <v>9</v>
      </c>
      <c r="R238" s="51">
        <v>9</v>
      </c>
    </row>
    <row r="239" spans="1:18" x14ac:dyDescent="0.25">
      <c r="A239" s="32" t="s">
        <v>91</v>
      </c>
      <c r="B239" s="68">
        <v>1128.56</v>
      </c>
      <c r="C239" s="68">
        <v>1100.25</v>
      </c>
      <c r="D239" s="68">
        <v>1118.5899999999999</v>
      </c>
      <c r="E239" s="31">
        <f t="shared" si="61"/>
        <v>3347.3999999999996</v>
      </c>
      <c r="F239" s="31">
        <f t="shared" si="62"/>
        <v>1115.8</v>
      </c>
      <c r="G239" s="31" t="s">
        <v>109</v>
      </c>
      <c r="H239" s="31">
        <f>B231-1</f>
        <v>8</v>
      </c>
      <c r="I239" s="31">
        <f>((E234+E243)^2+(E235+E244)^2+(E236+E245)^2+(E237+E246)^2+(E238+E247)^2+(E239+E248)^2+(E240+E249)^2+(E241+E250)^2+(E242+E251)^2/6)-B254</f>
        <v>242889132.75041667</v>
      </c>
      <c r="J239" s="31">
        <f t="shared" si="63"/>
        <v>30361141.593802083</v>
      </c>
      <c r="K239" s="31">
        <f>J239/$J$16</f>
        <v>185335.71945167394</v>
      </c>
      <c r="L239" s="31">
        <f>FINV(0.05,H239,$H$16)</f>
        <v>2.2253399674380931</v>
      </c>
      <c r="M239" s="31" t="str">
        <f>IF(K239&gt;=L239, "S", "NS")</f>
        <v>S</v>
      </c>
      <c r="N239" s="39"/>
      <c r="O239" s="33">
        <v>2</v>
      </c>
      <c r="P239" s="31">
        <f t="shared" ref="P239:P246" si="65">(F235+F244)/2</f>
        <v>1043.4099999999999</v>
      </c>
      <c r="Q239" s="49">
        <f t="shared" ref="Q239:Q246" si="66">RANK(P239,P$238:P$246,0)</f>
        <v>5</v>
      </c>
      <c r="R239" s="52">
        <v>5</v>
      </c>
    </row>
    <row r="240" spans="1:18" x14ac:dyDescent="0.25">
      <c r="A240" s="32" t="s">
        <v>92</v>
      </c>
      <c r="B240" s="68">
        <v>1007.58</v>
      </c>
      <c r="C240" s="68">
        <v>1094.58</v>
      </c>
      <c r="D240" s="68">
        <v>940.25</v>
      </c>
      <c r="E240" s="31">
        <f t="shared" si="61"/>
        <v>3042.41</v>
      </c>
      <c r="F240" s="31">
        <f t="shared" si="62"/>
        <v>1014.1366666666667</v>
      </c>
      <c r="G240" s="26" t="s">
        <v>110</v>
      </c>
      <c r="H240" s="31">
        <f>H238*H239</f>
        <v>8</v>
      </c>
      <c r="I240" s="31">
        <f>I237-(I238+I239)</f>
        <v>-242288407.15488333</v>
      </c>
      <c r="J240" s="31">
        <f t="shared" si="63"/>
        <v>-30286050.894360416</v>
      </c>
      <c r="K240" s="44">
        <f>J240/$J$16</f>
        <v>-184877.33784694562</v>
      </c>
      <c r="L240" s="31">
        <f>FINV(0.05,H240,$H$16)</f>
        <v>2.2253399674380931</v>
      </c>
      <c r="M240" s="31" t="str">
        <f t="shared" ref="M240" si="67">IF(K240&gt;=L240, "S", "NS")</f>
        <v>NS</v>
      </c>
      <c r="N240" s="39"/>
      <c r="O240" s="33">
        <v>3</v>
      </c>
      <c r="P240" s="31">
        <f t="shared" si="65"/>
        <v>1061.405</v>
      </c>
      <c r="Q240" s="49">
        <f t="shared" si="66"/>
        <v>2</v>
      </c>
      <c r="R240" s="52">
        <v>2</v>
      </c>
    </row>
    <row r="241" spans="1:18" x14ac:dyDescent="0.25">
      <c r="A241" s="32" t="s">
        <v>93</v>
      </c>
      <c r="B241" s="68">
        <v>1084.53</v>
      </c>
      <c r="C241" s="68">
        <v>1067.58</v>
      </c>
      <c r="D241" s="68">
        <v>1078.58</v>
      </c>
      <c r="E241" s="31">
        <f t="shared" si="61"/>
        <v>3230.6899999999996</v>
      </c>
      <c r="F241" s="31">
        <f t="shared" si="62"/>
        <v>1076.8966666666665</v>
      </c>
      <c r="G241" s="45" t="s">
        <v>23</v>
      </c>
      <c r="H241" s="31">
        <f>((B232-1)*(B230*B231-1))</f>
        <v>34</v>
      </c>
      <c r="I241" s="31">
        <f>D256</f>
        <v>147541.49199999124</v>
      </c>
      <c r="J241" s="31">
        <f t="shared" si="63"/>
        <v>4339.4556470585658</v>
      </c>
      <c r="O241" s="33">
        <v>4</v>
      </c>
      <c r="P241" s="31">
        <f t="shared" si="65"/>
        <v>977.85500000000002</v>
      </c>
      <c r="Q241" s="49">
        <f t="shared" si="66"/>
        <v>7</v>
      </c>
      <c r="R241" s="52">
        <v>7</v>
      </c>
    </row>
    <row r="242" spans="1:18" x14ac:dyDescent="0.25">
      <c r="A242" s="32" t="s">
        <v>94</v>
      </c>
      <c r="B242" s="68">
        <v>1000.23</v>
      </c>
      <c r="C242" s="68">
        <v>972.25</v>
      </c>
      <c r="D242" s="68">
        <v>1003.25</v>
      </c>
      <c r="E242" s="31">
        <f t="shared" si="61"/>
        <v>2975.73</v>
      </c>
      <c r="F242" s="31">
        <f t="shared" si="62"/>
        <v>991.91</v>
      </c>
      <c r="G242" s="44" t="s">
        <v>4</v>
      </c>
      <c r="H242" s="31">
        <f>SUM(H236:H241)-H237</f>
        <v>53</v>
      </c>
      <c r="I242" s="31">
        <f>B255</f>
        <v>812493.17035003006</v>
      </c>
      <c r="K242" s="31" t="s">
        <v>111</v>
      </c>
      <c r="L242" s="41">
        <f>TINV(0.05,34)</f>
        <v>2.0322445093177191</v>
      </c>
      <c r="O242" s="33">
        <v>5</v>
      </c>
      <c r="P242" s="31">
        <f t="shared" si="65"/>
        <v>1058.4750000000001</v>
      </c>
      <c r="Q242" s="49">
        <f t="shared" si="66"/>
        <v>3</v>
      </c>
      <c r="R242" s="51">
        <v>3</v>
      </c>
    </row>
    <row r="243" spans="1:18" x14ac:dyDescent="0.25">
      <c r="A243" s="32" t="s">
        <v>95</v>
      </c>
      <c r="B243" s="68">
        <v>617.98</v>
      </c>
      <c r="C243" s="68">
        <v>667.58</v>
      </c>
      <c r="D243" s="68">
        <v>807.58</v>
      </c>
      <c r="E243" s="31">
        <f t="shared" ref="E243:E251" si="68">SUM(B243:D243)</f>
        <v>2093.14</v>
      </c>
      <c r="F243" s="31">
        <f t="shared" si="62"/>
        <v>697.71333333333325</v>
      </c>
      <c r="G243" s="34" t="s">
        <v>14</v>
      </c>
      <c r="H243" s="31">
        <f>SQRT(J241/3)</f>
        <v>38.032686148708834</v>
      </c>
      <c r="O243" s="33">
        <v>6</v>
      </c>
      <c r="P243" s="31">
        <f t="shared" si="65"/>
        <v>1085.19</v>
      </c>
      <c r="Q243" s="49">
        <f t="shared" si="66"/>
        <v>1</v>
      </c>
      <c r="R243" s="52">
        <v>1</v>
      </c>
    </row>
    <row r="244" spans="1:18" x14ac:dyDescent="0.25">
      <c r="A244" s="32" t="s">
        <v>96</v>
      </c>
      <c r="B244" s="68">
        <v>937.58</v>
      </c>
      <c r="C244" s="68">
        <v>972.58</v>
      </c>
      <c r="D244" s="68">
        <v>1129.58</v>
      </c>
      <c r="E244" s="31">
        <f t="shared" si="68"/>
        <v>3039.74</v>
      </c>
      <c r="F244" s="31">
        <f t="shared" si="62"/>
        <v>1013.2466666666666</v>
      </c>
      <c r="G244" s="34" t="s">
        <v>16</v>
      </c>
      <c r="H244" s="31">
        <f>(SQRT((2*J241)/3))*L242</f>
        <v>109.30699528948038</v>
      </c>
      <c r="O244" s="33">
        <v>7</v>
      </c>
      <c r="P244" s="31">
        <f t="shared" si="65"/>
        <v>988.33500000000004</v>
      </c>
      <c r="Q244" s="49">
        <f t="shared" si="66"/>
        <v>6</v>
      </c>
      <c r="R244" s="52">
        <v>6</v>
      </c>
    </row>
    <row r="245" spans="1:18" x14ac:dyDescent="0.25">
      <c r="A245" s="32" t="s">
        <v>97</v>
      </c>
      <c r="B245" s="68">
        <v>983.25</v>
      </c>
      <c r="C245" s="68">
        <v>1018.25</v>
      </c>
      <c r="D245" s="68">
        <v>1084.25</v>
      </c>
      <c r="E245" s="31">
        <f t="shared" si="68"/>
        <v>3085.75</v>
      </c>
      <c r="F245" s="31">
        <f t="shared" si="62"/>
        <v>1028.5833333333333</v>
      </c>
      <c r="G245" s="34" t="s">
        <v>29</v>
      </c>
      <c r="H245" s="31">
        <f>((SQRT(J241))/F252)*100</f>
        <v>6.6239413527398181</v>
      </c>
      <c r="O245" s="33">
        <v>8</v>
      </c>
      <c r="P245" s="31">
        <f t="shared" si="65"/>
        <v>1054.7950000000001</v>
      </c>
      <c r="Q245" s="49">
        <f t="shared" si="66"/>
        <v>4</v>
      </c>
      <c r="R245" s="51">
        <v>4</v>
      </c>
    </row>
    <row r="246" spans="1:18" x14ac:dyDescent="0.25">
      <c r="A246" s="32" t="s">
        <v>98</v>
      </c>
      <c r="B246" s="68">
        <v>933.25</v>
      </c>
      <c r="C246" s="68">
        <v>1006.58</v>
      </c>
      <c r="D246" s="68">
        <v>930.58</v>
      </c>
      <c r="E246" s="31">
        <f t="shared" si="68"/>
        <v>2870.41</v>
      </c>
      <c r="F246" s="31">
        <f t="shared" si="62"/>
        <v>956.80333333333328</v>
      </c>
      <c r="O246" s="33">
        <v>9</v>
      </c>
      <c r="P246" s="31">
        <f t="shared" si="65"/>
        <v>961.63666666666666</v>
      </c>
      <c r="Q246" s="49">
        <f t="shared" si="66"/>
        <v>8</v>
      </c>
      <c r="R246" s="52">
        <v>8</v>
      </c>
    </row>
    <row r="247" spans="1:18" x14ac:dyDescent="0.25">
      <c r="A247" s="32" t="s">
        <v>99</v>
      </c>
      <c r="B247" s="68">
        <v>992.25</v>
      </c>
      <c r="C247" s="68">
        <v>1092.25</v>
      </c>
      <c r="D247" s="68">
        <v>994.59</v>
      </c>
      <c r="E247" s="31">
        <f t="shared" si="68"/>
        <v>3079.09</v>
      </c>
      <c r="F247" s="31">
        <f t="shared" si="62"/>
        <v>1026.3633333333335</v>
      </c>
      <c r="O247" s="30" t="s">
        <v>14</v>
      </c>
      <c r="P247" s="42">
        <f>SQRT(J241/(3*2))</f>
        <v>26.893170282491692</v>
      </c>
      <c r="Q247" s="49"/>
    </row>
    <row r="248" spans="1:18" x14ac:dyDescent="0.25">
      <c r="A248" s="32" t="s">
        <v>100</v>
      </c>
      <c r="B248" s="68">
        <v>1089.58</v>
      </c>
      <c r="C248" s="68">
        <v>987.58</v>
      </c>
      <c r="D248" s="68">
        <v>1086.58</v>
      </c>
      <c r="E248" s="31">
        <f t="shared" si="68"/>
        <v>3163.74</v>
      </c>
      <c r="F248" s="31">
        <f t="shared" si="62"/>
        <v>1054.58</v>
      </c>
      <c r="N248" s="30" t="s">
        <v>109</v>
      </c>
      <c r="O248" s="30" t="s">
        <v>16</v>
      </c>
      <c r="P248" s="42">
        <f>SQRT((2*J241)/(3*2))*L242</f>
        <v>77.291717600317597</v>
      </c>
      <c r="Q248" s="49"/>
    </row>
    <row r="249" spans="1:18" x14ac:dyDescent="0.25">
      <c r="A249" s="32" t="s">
        <v>101</v>
      </c>
      <c r="B249" s="68">
        <v>1007.48</v>
      </c>
      <c r="C249" s="68">
        <v>941.58</v>
      </c>
      <c r="D249" s="68">
        <v>938.54</v>
      </c>
      <c r="E249" s="31">
        <f t="shared" si="68"/>
        <v>2887.6</v>
      </c>
      <c r="F249" s="31">
        <f>E249/3</f>
        <v>962.5333333333333</v>
      </c>
      <c r="Q249" s="49"/>
    </row>
    <row r="250" spans="1:18" x14ac:dyDescent="0.25">
      <c r="A250" s="32" t="s">
        <v>102</v>
      </c>
      <c r="B250" s="68">
        <v>1105.25</v>
      </c>
      <c r="C250" s="68">
        <v>938.58</v>
      </c>
      <c r="D250" s="68">
        <v>1054.25</v>
      </c>
      <c r="E250" s="31">
        <f t="shared" si="68"/>
        <v>3098.08</v>
      </c>
      <c r="F250" s="31">
        <f t="shared" ref="F250:F251" si="69">E250/3</f>
        <v>1032.6933333333334</v>
      </c>
    </row>
    <row r="251" spans="1:18" x14ac:dyDescent="0.25">
      <c r="A251" s="32" t="s">
        <v>103</v>
      </c>
      <c r="B251" s="68">
        <v>955.25</v>
      </c>
      <c r="C251" s="68">
        <v>917.26</v>
      </c>
      <c r="D251" s="68">
        <v>921.58</v>
      </c>
      <c r="E251" s="31">
        <f t="shared" si="68"/>
        <v>2794.09</v>
      </c>
      <c r="F251" s="31">
        <f t="shared" si="69"/>
        <v>931.36333333333334</v>
      </c>
    </row>
    <row r="252" spans="1:18" x14ac:dyDescent="0.25">
      <c r="A252" s="30" t="s">
        <v>4</v>
      </c>
      <c r="B252" s="31">
        <f>SUM(B234:B251)</f>
        <v>17640.329999999998</v>
      </c>
      <c r="C252" s="31">
        <f>SUM(C234:C251)</f>
        <v>17628.09</v>
      </c>
      <c r="D252" s="31">
        <f>SUM(D234:D251)</f>
        <v>18434.13</v>
      </c>
      <c r="E252" s="31">
        <f>SUM(E234:E251)</f>
        <v>53702.549999999988</v>
      </c>
      <c r="F252" s="31">
        <f>AVERAGE(B234:D251)</f>
        <v>994.49166666666713</v>
      </c>
    </row>
    <row r="253" spans="1:18" x14ac:dyDescent="0.25">
      <c r="A253" s="30" t="s">
        <v>5</v>
      </c>
      <c r="B253" s="31">
        <f>B252/18</f>
        <v>980.0183333333332</v>
      </c>
      <c r="C253" s="31">
        <f>C252/18</f>
        <v>979.33833333333337</v>
      </c>
      <c r="D253" s="31">
        <f>D252/18</f>
        <v>1024.1183333333333</v>
      </c>
    </row>
    <row r="254" spans="1:18" x14ac:dyDescent="0.25">
      <c r="A254" s="30" t="s">
        <v>26</v>
      </c>
      <c r="B254" s="31">
        <f>(E252*E252)/54</f>
        <v>53406738.453749977</v>
      </c>
      <c r="C254" s="31"/>
      <c r="D254" s="31"/>
    </row>
    <row r="255" spans="1:18" x14ac:dyDescent="0.25">
      <c r="A255" s="30" t="s">
        <v>27</v>
      </c>
      <c r="B255" s="31">
        <f>SUMSQ(B234:D251)-B254</f>
        <v>812493.17035003006</v>
      </c>
      <c r="C255" s="30" t="s">
        <v>28</v>
      </c>
      <c r="D255" s="31">
        <f>(SUMSQ(B252:D252)/18)-B254</f>
        <v>23703.124800018966</v>
      </c>
    </row>
    <row r="256" spans="1:18" x14ac:dyDescent="0.25">
      <c r="A256" s="30" t="s">
        <v>30</v>
      </c>
      <c r="B256" s="31">
        <f>(SUMSQ(E234:E251)/3)-B254</f>
        <v>641248.55355001986</v>
      </c>
      <c r="C256" s="30" t="s">
        <v>31</v>
      </c>
      <c r="D256" s="31">
        <f>B255-B256-D255</f>
        <v>147541.49199999124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56"/>
  <sheetViews>
    <sheetView topLeftCell="A7" workbookViewId="0">
      <selection activeCell="K26" sqref="K26"/>
    </sheetView>
  </sheetViews>
  <sheetFormatPr defaultColWidth="8.85546875" defaultRowHeight="15" x14ac:dyDescent="0.25"/>
  <cols>
    <col min="1" max="1" width="17.7109375" style="37" bestFit="1" customWidth="1"/>
    <col min="2" max="2" width="11.28515625" style="41" bestFit="1" customWidth="1"/>
    <col min="3" max="3" width="11.42578125" style="41" customWidth="1"/>
    <col min="4" max="4" width="9.5703125" style="41" bestFit="1" customWidth="1"/>
    <col min="5" max="6" width="9.140625" style="41" bestFit="1" customWidth="1"/>
    <col min="7" max="7" width="10.7109375" style="41" bestFit="1" customWidth="1"/>
    <col min="8" max="8" width="9.140625" style="41" bestFit="1" customWidth="1"/>
    <col min="9" max="9" width="13.42578125" style="41" customWidth="1"/>
    <col min="10" max="10" width="11.28515625" style="41" bestFit="1" customWidth="1"/>
    <col min="11" max="11" width="10.28515625" style="41" bestFit="1" customWidth="1"/>
    <col min="12" max="12" width="9.140625" style="41" bestFit="1" customWidth="1"/>
    <col min="13" max="13" width="9.5703125" style="41" bestFit="1" customWidth="1"/>
    <col min="14" max="14" width="9.5703125" style="41" customWidth="1"/>
    <col min="15" max="15" width="9.140625" style="41" bestFit="1" customWidth="1"/>
    <col min="16" max="16" width="12.28515625" style="41" bestFit="1" customWidth="1"/>
    <col min="17" max="17" width="9.85546875" style="37" customWidth="1"/>
    <col min="18" max="16384" width="8.85546875" style="37"/>
  </cols>
  <sheetData>
    <row r="2" spans="1:28" x14ac:dyDescent="0.25">
      <c r="C2" s="66">
        <v>2019</v>
      </c>
    </row>
    <row r="3" spans="1:28" ht="15.75" x14ac:dyDescent="0.25">
      <c r="C3" s="56" t="s">
        <v>126</v>
      </c>
    </row>
    <row r="5" spans="1:28" x14ac:dyDescent="0.25">
      <c r="A5" s="36" t="s">
        <v>104</v>
      </c>
      <c r="B5" s="38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9"/>
      <c r="P5" s="39"/>
    </row>
    <row r="6" spans="1:28" x14ac:dyDescent="0.25">
      <c r="A6" s="36" t="s">
        <v>105</v>
      </c>
      <c r="B6" s="38">
        <v>9</v>
      </c>
      <c r="C6" s="39" t="s">
        <v>107</v>
      </c>
      <c r="D6" s="39">
        <v>18</v>
      </c>
      <c r="E6" s="39"/>
      <c r="F6" s="39"/>
      <c r="G6" s="39"/>
      <c r="H6" s="39"/>
      <c r="I6" s="39"/>
      <c r="J6" s="39"/>
      <c r="K6" s="39"/>
      <c r="L6" s="39"/>
      <c r="M6" s="35"/>
      <c r="N6" s="35"/>
      <c r="O6" s="39"/>
      <c r="P6" s="39"/>
    </row>
    <row r="7" spans="1:28" x14ac:dyDescent="0.25">
      <c r="A7" s="37" t="s">
        <v>106</v>
      </c>
      <c r="B7" s="40">
        <v>3</v>
      </c>
    </row>
    <row r="8" spans="1:28" x14ac:dyDescent="0.25">
      <c r="A8" s="46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30" t="s">
        <v>5</v>
      </c>
      <c r="O8" s="41" t="s">
        <v>7</v>
      </c>
      <c r="S8" s="53"/>
      <c r="T8" s="53"/>
      <c r="U8" s="53"/>
    </row>
    <row r="9" spans="1:28" x14ac:dyDescent="0.25">
      <c r="A9" s="32" t="s">
        <v>86</v>
      </c>
      <c r="B9" s="55">
        <v>26.5</v>
      </c>
      <c r="C9" s="55">
        <v>23.6</v>
      </c>
      <c r="D9" s="55">
        <v>21.56</v>
      </c>
      <c r="E9" s="31">
        <f t="shared" ref="E9:E26" si="0">SUM(B9:D9)</f>
        <v>71.66</v>
      </c>
      <c r="F9" s="31">
        <f>E9/3</f>
        <v>23.886666666666667</v>
      </c>
      <c r="H9" s="47"/>
      <c r="I9" s="47"/>
      <c r="J9" s="47" t="s">
        <v>6</v>
      </c>
      <c r="K9" s="47"/>
      <c r="L9" s="47"/>
      <c r="M9" s="47"/>
      <c r="N9" s="47"/>
      <c r="O9" s="33">
        <v>1</v>
      </c>
      <c r="P9" s="31">
        <f>SUM(F9:F17)/9</f>
        <v>40.430370370370369</v>
      </c>
      <c r="Q9" s="49">
        <f>RANK(P9,P$9:P$10,0)</f>
        <v>1</v>
      </c>
      <c r="S9" s="46" t="s">
        <v>0</v>
      </c>
      <c r="T9" s="30" t="s">
        <v>1</v>
      </c>
      <c r="U9" s="30" t="s">
        <v>2</v>
      </c>
      <c r="V9" s="30" t="s">
        <v>3</v>
      </c>
    </row>
    <row r="10" spans="1:28" x14ac:dyDescent="0.25">
      <c r="A10" s="32" t="s">
        <v>87</v>
      </c>
      <c r="B10" s="55">
        <v>38.9</v>
      </c>
      <c r="C10" s="55">
        <v>42.2</v>
      </c>
      <c r="D10" s="55">
        <v>43.5</v>
      </c>
      <c r="E10" s="31">
        <f t="shared" si="0"/>
        <v>124.6</v>
      </c>
      <c r="F10" s="31">
        <f t="shared" ref="F10:F26" si="1">E10/3</f>
        <v>41.533333333333331</v>
      </c>
      <c r="G10" s="31"/>
      <c r="H10" s="30" t="s">
        <v>8</v>
      </c>
      <c r="I10" s="30" t="s">
        <v>9</v>
      </c>
      <c r="J10" s="30" t="s">
        <v>10</v>
      </c>
      <c r="K10" s="30" t="s">
        <v>11</v>
      </c>
      <c r="L10" s="30" t="s">
        <v>12</v>
      </c>
      <c r="M10" s="30" t="s">
        <v>112</v>
      </c>
      <c r="N10" s="50"/>
      <c r="O10" s="33">
        <v>2</v>
      </c>
      <c r="P10" s="31">
        <f>SUM(F18:F26)/9</f>
        <v>38.69259259259259</v>
      </c>
      <c r="Q10" s="49">
        <f>RANK(P10,P$9:P$10,0)</f>
        <v>2</v>
      </c>
      <c r="S10" s="32" t="s">
        <v>86</v>
      </c>
      <c r="T10" s="124">
        <f>B9*100</f>
        <v>2650</v>
      </c>
      <c r="U10" s="124">
        <f t="shared" ref="U10:V25" si="2">C9*100</f>
        <v>2360</v>
      </c>
      <c r="V10" s="124">
        <f t="shared" si="2"/>
        <v>2156</v>
      </c>
      <c r="X10" s="118"/>
      <c r="Y10" s="118" t="s">
        <v>151</v>
      </c>
    </row>
    <row r="11" spans="1:28" x14ac:dyDescent="0.25">
      <c r="A11" s="32" t="s">
        <v>88</v>
      </c>
      <c r="B11" s="55">
        <v>48.6</v>
      </c>
      <c r="C11" s="55">
        <v>47.56</v>
      </c>
      <c r="D11" s="55">
        <v>45.8</v>
      </c>
      <c r="E11" s="31">
        <f t="shared" si="0"/>
        <v>141.95999999999998</v>
      </c>
      <c r="F11" s="31">
        <f t="shared" si="1"/>
        <v>47.319999999999993</v>
      </c>
      <c r="G11" s="31" t="s">
        <v>13</v>
      </c>
      <c r="H11" s="31">
        <f>B7-1</f>
        <v>2</v>
      </c>
      <c r="I11" s="31">
        <f>D30</f>
        <v>4.5282814814563608</v>
      </c>
      <c r="J11" s="31">
        <f>I11/H11</f>
        <v>2.2641407407281804</v>
      </c>
      <c r="K11" s="31">
        <f>J11/$J$16</f>
        <v>0.42931709769273607</v>
      </c>
      <c r="L11" s="31">
        <f>FINV(0.05,H11,$H$16)</f>
        <v>3.275897990672394</v>
      </c>
      <c r="M11" s="31" t="str">
        <f>IF(K11&gt;=L11, "S", "NS")</f>
        <v>NS</v>
      </c>
      <c r="N11" s="39"/>
      <c r="O11" s="30" t="s">
        <v>14</v>
      </c>
      <c r="P11" s="42">
        <f>SQRT(J16/(3*9))</f>
        <v>0.44195773101532315</v>
      </c>
      <c r="S11" s="32" t="s">
        <v>87</v>
      </c>
      <c r="T11" s="124">
        <f t="shared" ref="T11:V27" si="3">B10*100</f>
        <v>3890</v>
      </c>
      <c r="U11" s="124">
        <f t="shared" si="2"/>
        <v>4220</v>
      </c>
      <c r="V11" s="124">
        <f t="shared" si="2"/>
        <v>4350</v>
      </c>
      <c r="X11" s="32" t="s">
        <v>140</v>
      </c>
      <c r="Y11" s="81">
        <v>0</v>
      </c>
      <c r="AB11" s="123">
        <f>(T11-T10)/Y12</f>
        <v>8.2666666666666675</v>
      </c>
    </row>
    <row r="12" spans="1:28" x14ac:dyDescent="0.25">
      <c r="A12" s="32" t="s">
        <v>89</v>
      </c>
      <c r="B12" s="55">
        <v>38.6</v>
      </c>
      <c r="C12" s="55">
        <v>37.799999999999997</v>
      </c>
      <c r="D12" s="55">
        <v>36.200000000000003</v>
      </c>
      <c r="E12" s="31">
        <f t="shared" si="0"/>
        <v>112.60000000000001</v>
      </c>
      <c r="F12" s="31">
        <f t="shared" si="1"/>
        <v>37.533333333333339</v>
      </c>
      <c r="G12" s="31" t="s">
        <v>15</v>
      </c>
      <c r="H12" s="31">
        <f>D6-1</f>
        <v>17</v>
      </c>
      <c r="I12" s="31">
        <f>B31</f>
        <v>2902.304948148143</v>
      </c>
      <c r="J12" s="31">
        <f t="shared" ref="J12:J16" si="4">I12/H12</f>
        <v>170.72382047930253</v>
      </c>
      <c r="K12" s="31">
        <f>J12/$J$16</f>
        <v>32.371951882998772</v>
      </c>
      <c r="L12" s="31">
        <f>FINV(0.05,H12,$H$16)</f>
        <v>1.9332068318040869</v>
      </c>
      <c r="M12" s="43" t="str">
        <f t="shared" ref="M12:M15" si="5">IF(K12&gt;=L12, "S", "NS")</f>
        <v>S</v>
      </c>
      <c r="N12" s="30" t="s">
        <v>113</v>
      </c>
      <c r="O12" s="30" t="s">
        <v>16</v>
      </c>
      <c r="P12" s="42">
        <f>SQRT((2*J16)/(3*9))*L17</f>
        <v>1.2701987819990308</v>
      </c>
      <c r="S12" s="32" t="s">
        <v>88</v>
      </c>
      <c r="T12" s="124">
        <f t="shared" si="3"/>
        <v>4860</v>
      </c>
      <c r="U12" s="124">
        <f t="shared" si="2"/>
        <v>4756</v>
      </c>
      <c r="V12" s="124">
        <f t="shared" si="2"/>
        <v>4580</v>
      </c>
      <c r="X12" s="32" t="s">
        <v>141</v>
      </c>
      <c r="Y12" s="81">
        <v>150</v>
      </c>
    </row>
    <row r="13" spans="1:28" x14ac:dyDescent="0.25">
      <c r="A13" s="32" t="s">
        <v>90</v>
      </c>
      <c r="B13" s="55">
        <v>45.8</v>
      </c>
      <c r="C13" s="55">
        <v>47.6</v>
      </c>
      <c r="D13" s="55">
        <v>44.5</v>
      </c>
      <c r="E13" s="31">
        <f t="shared" si="0"/>
        <v>137.9</v>
      </c>
      <c r="F13" s="31">
        <f t="shared" si="1"/>
        <v>45.966666666666669</v>
      </c>
      <c r="G13" s="31" t="s">
        <v>108</v>
      </c>
      <c r="H13" s="31">
        <f>B5-1</f>
        <v>1</v>
      </c>
      <c r="I13" s="31">
        <f>(SUM(E9:E17)^2+SUM(E18:E26)^2)/27-B29</f>
        <v>40.768266666651471</v>
      </c>
      <c r="J13" s="31">
        <f t="shared" si="4"/>
        <v>40.768266666651471</v>
      </c>
      <c r="K13" s="31">
        <f>J13/$J$16</f>
        <v>7.7303118169505947</v>
      </c>
      <c r="L13" s="31">
        <f>FINV(0.05,H13,$H$16)</f>
        <v>4.1300177456520188</v>
      </c>
      <c r="M13" s="31" t="str">
        <f>IF(K13&gt;=L13, "S", "NS")</f>
        <v>S</v>
      </c>
      <c r="N13" s="39"/>
      <c r="O13" s="33">
        <v>1</v>
      </c>
      <c r="P13" s="31">
        <f>(F9+F18)/2</f>
        <v>22.726666666666667</v>
      </c>
      <c r="Q13" s="49">
        <f>RANK(P13,P$13:P$21,0)</f>
        <v>9</v>
      </c>
      <c r="R13" s="51">
        <v>9</v>
      </c>
      <c r="S13" s="32" t="s">
        <v>89</v>
      </c>
      <c r="T13" s="124">
        <f t="shared" si="3"/>
        <v>3860</v>
      </c>
      <c r="U13" s="124">
        <f t="shared" si="2"/>
        <v>3779.9999999999995</v>
      </c>
      <c r="V13" s="124">
        <f t="shared" si="2"/>
        <v>3620.0000000000005</v>
      </c>
      <c r="X13" s="32" t="s">
        <v>142</v>
      </c>
      <c r="Y13" s="81">
        <v>187.5</v>
      </c>
    </row>
    <row r="14" spans="1:28" x14ac:dyDescent="0.25">
      <c r="A14" s="32" t="s">
        <v>91</v>
      </c>
      <c r="B14" s="55">
        <v>51.8</v>
      </c>
      <c r="C14" s="55">
        <v>49.8</v>
      </c>
      <c r="D14" s="55">
        <v>47.8</v>
      </c>
      <c r="E14" s="31">
        <f t="shared" si="0"/>
        <v>149.39999999999998</v>
      </c>
      <c r="F14" s="31">
        <f t="shared" si="1"/>
        <v>49.79999999999999</v>
      </c>
      <c r="G14" s="31" t="s">
        <v>109</v>
      </c>
      <c r="H14" s="31">
        <f>B6-1</f>
        <v>8</v>
      </c>
      <c r="I14" s="31">
        <f>((E9+E18)^2+(E10+E19)^2+(E11+E20)^2+(E12+E21)^2+(E13+E22)^2+(E14+E23)^2+(E15+E24)^2+(E16+E25)^2+(E17+E26)^2/6)-B29</f>
        <v>401179.88174814812</v>
      </c>
      <c r="J14" s="31">
        <f t="shared" si="4"/>
        <v>50147.485218518515</v>
      </c>
      <c r="K14" s="31">
        <f>J14/$J$16</f>
        <v>9508.7608395225725</v>
      </c>
      <c r="L14" s="31">
        <f>FINV(0.05,H14,$H$16)</f>
        <v>2.2253399674380931</v>
      </c>
      <c r="M14" s="31" t="str">
        <f>IF(K14&gt;=L14, "S", "NS")</f>
        <v>S</v>
      </c>
      <c r="N14" s="39"/>
      <c r="O14" s="33">
        <v>2</v>
      </c>
      <c r="P14" s="31">
        <f t="shared" ref="P14:P21" si="6">(F10+F19)/2</f>
        <v>39.549999999999997</v>
      </c>
      <c r="Q14" s="49">
        <f t="shared" ref="Q14:Q21" si="7">RANK(P14,P$13:P$21,0)</f>
        <v>5</v>
      </c>
      <c r="R14" s="52">
        <v>5</v>
      </c>
      <c r="S14" s="32" t="s">
        <v>90</v>
      </c>
      <c r="T14" s="124">
        <f t="shared" si="3"/>
        <v>4580</v>
      </c>
      <c r="U14" s="124">
        <f t="shared" si="2"/>
        <v>4760</v>
      </c>
      <c r="V14" s="124">
        <f t="shared" si="2"/>
        <v>4450</v>
      </c>
      <c r="X14" s="32" t="s">
        <v>143</v>
      </c>
      <c r="Y14" s="81">
        <v>71.599999999999994</v>
      </c>
    </row>
    <row r="15" spans="1:28" x14ac:dyDescent="0.25">
      <c r="A15" s="32" t="s">
        <v>92</v>
      </c>
      <c r="B15" s="55">
        <v>40.200000000000003</v>
      </c>
      <c r="C15" s="55">
        <v>39.5</v>
      </c>
      <c r="D15" s="55">
        <v>38.9</v>
      </c>
      <c r="E15" s="31">
        <f t="shared" si="0"/>
        <v>118.6</v>
      </c>
      <c r="F15" s="31">
        <f t="shared" si="1"/>
        <v>39.533333333333331</v>
      </c>
      <c r="G15" s="26" t="s">
        <v>110</v>
      </c>
      <c r="H15" s="31">
        <f>H13*H14</f>
        <v>8</v>
      </c>
      <c r="I15" s="31">
        <f>I12-(I13+I14)</f>
        <v>-398318.34506666666</v>
      </c>
      <c r="J15" s="31">
        <f t="shared" si="4"/>
        <v>-49789.793133333333</v>
      </c>
      <c r="K15" s="44">
        <f>J15/$J$16</f>
        <v>-9440.936730748319</v>
      </c>
      <c r="L15" s="31">
        <f>FINV(0.05,H15,$H$16)</f>
        <v>2.2253399674380931</v>
      </c>
      <c r="M15" s="31" t="str">
        <f t="shared" si="5"/>
        <v>NS</v>
      </c>
      <c r="N15" s="39"/>
      <c r="O15" s="33">
        <v>3</v>
      </c>
      <c r="P15" s="31">
        <f t="shared" si="6"/>
        <v>46.893333333333331</v>
      </c>
      <c r="Q15" s="49">
        <f t="shared" si="7"/>
        <v>2</v>
      </c>
      <c r="R15" s="52">
        <v>2</v>
      </c>
      <c r="S15" s="32" t="s">
        <v>91</v>
      </c>
      <c r="T15" s="124">
        <f t="shared" si="3"/>
        <v>5180</v>
      </c>
      <c r="U15" s="124">
        <f t="shared" si="2"/>
        <v>4980</v>
      </c>
      <c r="V15" s="124">
        <f t="shared" si="2"/>
        <v>4780</v>
      </c>
      <c r="X15" s="32" t="s">
        <v>144</v>
      </c>
      <c r="Y15" s="81">
        <f>150+AA15</f>
        <v>150</v>
      </c>
    </row>
    <row r="16" spans="1:28" x14ac:dyDescent="0.25">
      <c r="A16" s="32" t="s">
        <v>93</v>
      </c>
      <c r="B16" s="55">
        <v>43.5</v>
      </c>
      <c r="C16" s="55">
        <v>42.5</v>
      </c>
      <c r="D16" s="55">
        <v>41.9</v>
      </c>
      <c r="E16" s="31">
        <f t="shared" si="0"/>
        <v>127.9</v>
      </c>
      <c r="F16" s="31">
        <f t="shared" si="1"/>
        <v>42.633333333333333</v>
      </c>
      <c r="G16" s="45" t="s">
        <v>23</v>
      </c>
      <c r="H16" s="31">
        <f>((B7-1)*(B5*B6-1))</f>
        <v>34</v>
      </c>
      <c r="I16" s="31">
        <f>D31</f>
        <v>179.30985185186728</v>
      </c>
      <c r="J16" s="31">
        <f t="shared" si="4"/>
        <v>5.2738191721137433</v>
      </c>
      <c r="O16" s="33">
        <v>4</v>
      </c>
      <c r="P16" s="31">
        <f t="shared" si="6"/>
        <v>37.516666666666666</v>
      </c>
      <c r="Q16" s="49">
        <f t="shared" si="7"/>
        <v>7</v>
      </c>
      <c r="R16" s="52">
        <v>7</v>
      </c>
      <c r="S16" s="32" t="s">
        <v>92</v>
      </c>
      <c r="T16" s="124">
        <f t="shared" si="3"/>
        <v>4020.0000000000005</v>
      </c>
      <c r="U16" s="124">
        <f t="shared" si="2"/>
        <v>3950</v>
      </c>
      <c r="V16" s="124">
        <f t="shared" si="2"/>
        <v>3890</v>
      </c>
      <c r="X16" s="32" t="s">
        <v>145</v>
      </c>
      <c r="Y16" s="81">
        <f>150+AA15+20</f>
        <v>170</v>
      </c>
    </row>
    <row r="17" spans="1:25" x14ac:dyDescent="0.25">
      <c r="A17" s="32" t="s">
        <v>94</v>
      </c>
      <c r="B17" s="55">
        <v>36.5</v>
      </c>
      <c r="C17" s="55">
        <v>35.700000000000003</v>
      </c>
      <c r="D17" s="55">
        <v>34.799999999999997</v>
      </c>
      <c r="E17" s="31">
        <f t="shared" si="0"/>
        <v>107</v>
      </c>
      <c r="F17" s="31">
        <f t="shared" si="1"/>
        <v>35.666666666666664</v>
      </c>
      <c r="G17" s="44" t="s">
        <v>4</v>
      </c>
      <c r="H17" s="31">
        <f>SUM(H11:H16)-H12</f>
        <v>53</v>
      </c>
      <c r="I17" s="31">
        <f>B30</f>
        <v>3086.1430814814667</v>
      </c>
      <c r="K17" s="31" t="s">
        <v>111</v>
      </c>
      <c r="L17" s="41">
        <f>TINV(0.05,34)</f>
        <v>2.0322445093177191</v>
      </c>
      <c r="O17" s="33">
        <v>5</v>
      </c>
      <c r="P17" s="31">
        <f t="shared" si="6"/>
        <v>43.75</v>
      </c>
      <c r="Q17" s="49">
        <f t="shared" si="7"/>
        <v>3</v>
      </c>
      <c r="R17" s="51">
        <v>3</v>
      </c>
      <c r="S17" s="32" t="s">
        <v>93</v>
      </c>
      <c r="T17" s="124">
        <f t="shared" si="3"/>
        <v>4350</v>
      </c>
      <c r="U17" s="124">
        <f t="shared" si="2"/>
        <v>4250</v>
      </c>
      <c r="V17" s="124">
        <f t="shared" si="2"/>
        <v>4190</v>
      </c>
      <c r="X17" s="32" t="s">
        <v>146</v>
      </c>
      <c r="Y17" s="81">
        <f>112.5+AA15</f>
        <v>112.5</v>
      </c>
    </row>
    <row r="18" spans="1:25" x14ac:dyDescent="0.25">
      <c r="A18" s="32" t="s">
        <v>95</v>
      </c>
      <c r="B18" s="55">
        <v>26.5</v>
      </c>
      <c r="C18" s="55">
        <v>15.6</v>
      </c>
      <c r="D18" s="55">
        <v>22.6</v>
      </c>
      <c r="E18" s="31">
        <f t="shared" si="0"/>
        <v>64.7</v>
      </c>
      <c r="F18" s="31">
        <f t="shared" si="1"/>
        <v>21.566666666666666</v>
      </c>
      <c r="G18" s="34" t="s">
        <v>14</v>
      </c>
      <c r="H18" s="31">
        <f>SQRT(J16/3)</f>
        <v>1.3258731930459693</v>
      </c>
      <c r="O18" s="33">
        <v>6</v>
      </c>
      <c r="P18" s="31">
        <f t="shared" si="6"/>
        <v>49.033333333333331</v>
      </c>
      <c r="Q18" s="49">
        <f t="shared" si="7"/>
        <v>1</v>
      </c>
      <c r="R18" s="52">
        <v>1</v>
      </c>
      <c r="S18" s="32" t="s">
        <v>94</v>
      </c>
      <c r="T18" s="124">
        <f t="shared" si="3"/>
        <v>3650</v>
      </c>
      <c r="U18" s="124">
        <f t="shared" si="2"/>
        <v>3570.0000000000005</v>
      </c>
      <c r="V18" s="124">
        <f t="shared" si="2"/>
        <v>3479.9999999999995</v>
      </c>
      <c r="X18" s="32" t="s">
        <v>147</v>
      </c>
      <c r="Y18" s="81">
        <f>112.5+AA15+20</f>
        <v>132.5</v>
      </c>
    </row>
    <row r="19" spans="1:25" x14ac:dyDescent="0.25">
      <c r="A19" s="32" t="s">
        <v>96</v>
      </c>
      <c r="B19" s="55">
        <v>38.5</v>
      </c>
      <c r="C19" s="55">
        <v>36.4</v>
      </c>
      <c r="D19" s="55">
        <v>37.799999999999997</v>
      </c>
      <c r="E19" s="31">
        <f t="shared" si="0"/>
        <v>112.7</v>
      </c>
      <c r="F19" s="31">
        <f t="shared" si="1"/>
        <v>37.56666666666667</v>
      </c>
      <c r="G19" s="34" t="s">
        <v>16</v>
      </c>
      <c r="H19" s="31">
        <f>(SQRT((2*J16)/3))*L17</f>
        <v>3.8105963459970922</v>
      </c>
      <c r="L19" s="41">
        <f>P9-P10</f>
        <v>1.7377777777777794</v>
      </c>
      <c r="O19" s="33">
        <v>7</v>
      </c>
      <c r="P19" s="31">
        <f t="shared" si="6"/>
        <v>38.516666666666666</v>
      </c>
      <c r="Q19" s="49">
        <f t="shared" si="7"/>
        <v>6</v>
      </c>
      <c r="R19" s="52">
        <v>6</v>
      </c>
      <c r="S19" s="32" t="s">
        <v>95</v>
      </c>
      <c r="T19" s="124">
        <f t="shared" si="3"/>
        <v>2650</v>
      </c>
      <c r="U19" s="124">
        <f t="shared" si="2"/>
        <v>1560</v>
      </c>
      <c r="V19" s="124">
        <f t="shared" si="2"/>
        <v>2260</v>
      </c>
      <c r="X19" s="32" t="s">
        <v>148</v>
      </c>
      <c r="Y19" s="81">
        <f>AB15+20</f>
        <v>20</v>
      </c>
    </row>
    <row r="20" spans="1:25" x14ac:dyDescent="0.25">
      <c r="A20" s="32" t="s">
        <v>97</v>
      </c>
      <c r="B20" s="55">
        <v>47.8</v>
      </c>
      <c r="C20" s="55">
        <v>46.8</v>
      </c>
      <c r="D20" s="55">
        <v>44.8</v>
      </c>
      <c r="E20" s="31">
        <f t="shared" si="0"/>
        <v>139.39999999999998</v>
      </c>
      <c r="F20" s="31">
        <f t="shared" si="1"/>
        <v>46.466666666666661</v>
      </c>
      <c r="G20" s="34" t="s">
        <v>29</v>
      </c>
      <c r="H20" s="31">
        <f>((SQRT(J16))/F27)*100</f>
        <v>5.8048375560055003</v>
      </c>
      <c r="O20" s="33">
        <v>8</v>
      </c>
      <c r="P20" s="31">
        <f t="shared" si="6"/>
        <v>42.3</v>
      </c>
      <c r="Q20" s="49">
        <f t="shared" si="7"/>
        <v>4</v>
      </c>
      <c r="R20" s="51">
        <v>4</v>
      </c>
      <c r="S20" s="32" t="s">
        <v>96</v>
      </c>
      <c r="T20" s="124">
        <f t="shared" si="3"/>
        <v>3850</v>
      </c>
      <c r="U20" s="124">
        <f t="shared" si="2"/>
        <v>3640</v>
      </c>
      <c r="V20" s="124">
        <f t="shared" si="2"/>
        <v>3779.9999999999995</v>
      </c>
    </row>
    <row r="21" spans="1:25" x14ac:dyDescent="0.25">
      <c r="A21" s="32" t="s">
        <v>98</v>
      </c>
      <c r="B21" s="55">
        <v>36.799999999999997</v>
      </c>
      <c r="C21" s="55">
        <v>35.9</v>
      </c>
      <c r="D21" s="55">
        <v>39.799999999999997</v>
      </c>
      <c r="E21" s="31">
        <f t="shared" si="0"/>
        <v>112.49999999999999</v>
      </c>
      <c r="F21" s="31">
        <f t="shared" si="1"/>
        <v>37.499999999999993</v>
      </c>
      <c r="O21" s="33">
        <v>9</v>
      </c>
      <c r="P21" s="31">
        <f t="shared" si="6"/>
        <v>35.766666666666666</v>
      </c>
      <c r="Q21" s="49">
        <f t="shared" si="7"/>
        <v>8</v>
      </c>
      <c r="R21" s="52">
        <v>8</v>
      </c>
      <c r="S21" s="32" t="s">
        <v>97</v>
      </c>
      <c r="T21" s="124">
        <f t="shared" si="3"/>
        <v>4780</v>
      </c>
      <c r="U21" s="124">
        <f t="shared" si="2"/>
        <v>4680</v>
      </c>
      <c r="V21" s="124">
        <f t="shared" si="2"/>
        <v>4480</v>
      </c>
    </row>
    <row r="22" spans="1:25" x14ac:dyDescent="0.25">
      <c r="A22" s="32" t="s">
        <v>99</v>
      </c>
      <c r="B22" s="55">
        <v>36.5</v>
      </c>
      <c r="C22" s="55">
        <v>45.6</v>
      </c>
      <c r="D22" s="55">
        <v>42.5</v>
      </c>
      <c r="E22" s="31">
        <f t="shared" si="0"/>
        <v>124.6</v>
      </c>
      <c r="F22" s="31">
        <f t="shared" si="1"/>
        <v>41.533333333333331</v>
      </c>
      <c r="H22" s="41" t="s">
        <v>114</v>
      </c>
      <c r="O22" s="30" t="s">
        <v>14</v>
      </c>
      <c r="P22" s="42">
        <f>SQRT(J16/(3*2))</f>
        <v>0.93753392579626538</v>
      </c>
      <c r="Q22" s="49"/>
      <c r="S22" s="32" t="s">
        <v>98</v>
      </c>
      <c r="T22" s="124">
        <f t="shared" si="3"/>
        <v>3679.9999999999995</v>
      </c>
      <c r="U22" s="124">
        <f t="shared" si="2"/>
        <v>3590</v>
      </c>
      <c r="V22" s="124">
        <f t="shared" si="2"/>
        <v>3979.9999999999995</v>
      </c>
    </row>
    <row r="23" spans="1:25" x14ac:dyDescent="0.25">
      <c r="A23" s="32" t="s">
        <v>100</v>
      </c>
      <c r="B23" s="55">
        <v>46.8</v>
      </c>
      <c r="C23" s="55">
        <v>50.8</v>
      </c>
      <c r="D23" s="55">
        <v>47.2</v>
      </c>
      <c r="E23" s="31">
        <f t="shared" si="0"/>
        <v>144.80000000000001</v>
      </c>
      <c r="F23" s="31">
        <f t="shared" si="1"/>
        <v>48.266666666666673</v>
      </c>
      <c r="G23" s="59">
        <v>1</v>
      </c>
      <c r="H23" s="41">
        <f>F9-F18</f>
        <v>2.3200000000000003</v>
      </c>
      <c r="N23" s="30" t="s">
        <v>109</v>
      </c>
      <c r="O23" s="30" t="s">
        <v>16</v>
      </c>
      <c r="P23" s="42">
        <f>SQRT((2*J16)/(3*2))*L17</f>
        <v>2.6944985166192232</v>
      </c>
      <c r="Q23" s="49"/>
      <c r="S23" s="32" t="s">
        <v>99</v>
      </c>
      <c r="T23" s="124">
        <f t="shared" si="3"/>
        <v>3650</v>
      </c>
      <c r="U23" s="124">
        <f t="shared" si="2"/>
        <v>4560</v>
      </c>
      <c r="V23" s="124">
        <f t="shared" si="2"/>
        <v>4250</v>
      </c>
    </row>
    <row r="24" spans="1:25" x14ac:dyDescent="0.25">
      <c r="A24" s="32" t="s">
        <v>101</v>
      </c>
      <c r="B24" s="55">
        <v>37.9</v>
      </c>
      <c r="C24" s="55">
        <v>37.799999999999997</v>
      </c>
      <c r="D24" s="55">
        <v>36.799999999999997</v>
      </c>
      <c r="E24" s="31">
        <f t="shared" si="0"/>
        <v>112.49999999999999</v>
      </c>
      <c r="F24" s="31">
        <f>E24/3</f>
        <v>37.499999999999993</v>
      </c>
      <c r="G24" s="59">
        <v>2</v>
      </c>
      <c r="H24" s="41">
        <f t="shared" ref="H24:H31" si="8">F10-F19</f>
        <v>3.9666666666666615</v>
      </c>
      <c r="Q24" s="49"/>
      <c r="S24" s="32" t="s">
        <v>100</v>
      </c>
      <c r="T24" s="124">
        <f t="shared" si="3"/>
        <v>4680</v>
      </c>
      <c r="U24" s="124">
        <f t="shared" si="2"/>
        <v>5080</v>
      </c>
      <c r="V24" s="124">
        <f t="shared" si="2"/>
        <v>4720</v>
      </c>
    </row>
    <row r="25" spans="1:25" x14ac:dyDescent="0.25">
      <c r="A25" s="32" t="s">
        <v>102</v>
      </c>
      <c r="B25" s="55">
        <v>40.9</v>
      </c>
      <c r="C25" s="55">
        <v>41.8</v>
      </c>
      <c r="D25" s="55">
        <v>43.2</v>
      </c>
      <c r="E25" s="31">
        <f t="shared" si="0"/>
        <v>125.89999999999999</v>
      </c>
      <c r="F25" s="31">
        <f t="shared" si="1"/>
        <v>41.966666666666661</v>
      </c>
      <c r="G25" s="59">
        <v>3</v>
      </c>
      <c r="H25" s="41">
        <f t="shared" si="8"/>
        <v>0.85333333333333172</v>
      </c>
      <c r="S25" s="32" t="s">
        <v>101</v>
      </c>
      <c r="T25" s="124">
        <f t="shared" si="3"/>
        <v>3790</v>
      </c>
      <c r="U25" s="124">
        <f t="shared" si="2"/>
        <v>3779.9999999999995</v>
      </c>
      <c r="V25" s="124">
        <f t="shared" si="2"/>
        <v>3679.9999999999995</v>
      </c>
    </row>
    <row r="26" spans="1:25" x14ac:dyDescent="0.25">
      <c r="A26" s="32" t="s">
        <v>103</v>
      </c>
      <c r="B26" s="55">
        <v>34.799999999999997</v>
      </c>
      <c r="C26" s="55">
        <v>37.6</v>
      </c>
      <c r="D26" s="55">
        <v>35.200000000000003</v>
      </c>
      <c r="E26" s="31">
        <f t="shared" si="0"/>
        <v>107.60000000000001</v>
      </c>
      <c r="F26" s="31">
        <f t="shared" si="1"/>
        <v>35.866666666666667</v>
      </c>
      <c r="G26" s="59">
        <v>4</v>
      </c>
      <c r="H26" s="41">
        <f t="shared" si="8"/>
        <v>3.3333333333345649E-2</v>
      </c>
      <c r="K26" s="41">
        <f>STDEV(B9:D9)/SQRT(3)</f>
        <v>1.4332403070587216</v>
      </c>
      <c r="S26" s="32" t="s">
        <v>102</v>
      </c>
      <c r="T26" s="124">
        <f t="shared" si="3"/>
        <v>4090</v>
      </c>
      <c r="U26" s="124">
        <f t="shared" si="3"/>
        <v>4180</v>
      </c>
      <c r="V26" s="124">
        <f t="shared" si="3"/>
        <v>4320</v>
      </c>
    </row>
    <row r="27" spans="1:25" x14ac:dyDescent="0.25">
      <c r="A27" s="30" t="s">
        <v>4</v>
      </c>
      <c r="B27" s="31">
        <f>SUM(B9:B26)</f>
        <v>716.89999999999986</v>
      </c>
      <c r="C27" s="31">
        <f>SUM(C9:C26)</f>
        <v>714.55999999999983</v>
      </c>
      <c r="D27" s="31">
        <f>SUM(D9:D26)</f>
        <v>704.86000000000013</v>
      </c>
      <c r="E27" s="31">
        <f>SUM(E9:E26)</f>
        <v>2136.3200000000002</v>
      </c>
      <c r="F27" s="31">
        <f>AVERAGE(B9:D26)</f>
        <v>39.561481481481465</v>
      </c>
      <c r="G27" s="59">
        <v>5</v>
      </c>
      <c r="H27" s="41">
        <f t="shared" si="8"/>
        <v>4.4333333333333371</v>
      </c>
      <c r="S27" s="32" t="s">
        <v>103</v>
      </c>
      <c r="T27" s="124">
        <f t="shared" si="3"/>
        <v>3479.9999999999995</v>
      </c>
      <c r="U27" s="124">
        <f t="shared" si="3"/>
        <v>3760</v>
      </c>
      <c r="V27" s="124">
        <f t="shared" si="3"/>
        <v>3520.0000000000005</v>
      </c>
    </row>
    <row r="28" spans="1:25" x14ac:dyDescent="0.25">
      <c r="A28" s="30" t="s">
        <v>5</v>
      </c>
      <c r="B28" s="31">
        <f>B27/18</f>
        <v>39.827777777777769</v>
      </c>
      <c r="C28" s="31">
        <f>C27/18</f>
        <v>39.697777777777766</v>
      </c>
      <c r="D28" s="31">
        <f>D27/18</f>
        <v>39.158888888888896</v>
      </c>
      <c r="G28" s="59">
        <v>6</v>
      </c>
      <c r="H28" s="41">
        <f t="shared" si="8"/>
        <v>1.5333333333333172</v>
      </c>
    </row>
    <row r="29" spans="1:25" x14ac:dyDescent="0.25">
      <c r="A29" s="30" t="s">
        <v>26</v>
      </c>
      <c r="B29" s="31">
        <f>(E27*E27)/54</f>
        <v>84515.984118518521</v>
      </c>
      <c r="C29" s="31"/>
      <c r="D29" s="31"/>
      <c r="G29" s="59">
        <v>7</v>
      </c>
      <c r="H29" s="41">
        <f t="shared" si="8"/>
        <v>2.0333333333333385</v>
      </c>
    </row>
    <row r="30" spans="1:25" x14ac:dyDescent="0.25">
      <c r="A30" s="30" t="s">
        <v>27</v>
      </c>
      <c r="B30" s="31">
        <f>SUMSQ(B9:D26)-B29</f>
        <v>3086.1430814814667</v>
      </c>
      <c r="C30" s="30" t="s">
        <v>28</v>
      </c>
      <c r="D30" s="31">
        <f>(SUMSQ(B27:D27)/18)-B29</f>
        <v>4.5282814814563608</v>
      </c>
      <c r="G30" s="59">
        <v>8</v>
      </c>
      <c r="H30" s="41">
        <f t="shared" si="8"/>
        <v>0.6666666666666714</v>
      </c>
    </row>
    <row r="31" spans="1:25" x14ac:dyDescent="0.25">
      <c r="A31" s="30" t="s">
        <v>30</v>
      </c>
      <c r="B31" s="31">
        <f>(SUMSQ(E9:E26)/3)-B29</f>
        <v>2902.304948148143</v>
      </c>
      <c r="C31" s="30" t="s">
        <v>31</v>
      </c>
      <c r="D31" s="31">
        <f>B30-B31-D30</f>
        <v>179.30985185186728</v>
      </c>
      <c r="G31" s="59">
        <v>9</v>
      </c>
      <c r="H31" s="41">
        <f t="shared" si="8"/>
        <v>-0.20000000000000284</v>
      </c>
    </row>
    <row r="35" spans="1:18" ht="15.75" x14ac:dyDescent="0.25">
      <c r="C35" s="56" t="s">
        <v>127</v>
      </c>
    </row>
    <row r="37" spans="1:18" x14ac:dyDescent="0.25">
      <c r="A37" s="36" t="s">
        <v>104</v>
      </c>
      <c r="B37" s="38">
        <v>2</v>
      </c>
      <c r="C37" s="39"/>
      <c r="D37" s="39"/>
      <c r="E37" s="39"/>
      <c r="F37" s="39"/>
      <c r="G37" s="39"/>
      <c r="H37" s="39"/>
      <c r="I37" s="39"/>
      <c r="M37" s="35"/>
      <c r="N37" s="35"/>
      <c r="O37" s="39"/>
      <c r="P37" s="39"/>
    </row>
    <row r="38" spans="1:18" x14ac:dyDescent="0.25">
      <c r="A38" s="36" t="s">
        <v>105</v>
      </c>
      <c r="B38" s="38">
        <v>9</v>
      </c>
      <c r="C38" s="39" t="s">
        <v>107</v>
      </c>
      <c r="D38" s="39">
        <v>18</v>
      </c>
      <c r="E38" s="39"/>
      <c r="F38" s="39"/>
      <c r="G38" s="39"/>
      <c r="H38" s="39"/>
      <c r="I38" s="39"/>
      <c r="M38" s="35"/>
      <c r="N38" s="35"/>
      <c r="O38" s="39"/>
      <c r="P38" s="39"/>
    </row>
    <row r="39" spans="1:18" x14ac:dyDescent="0.25">
      <c r="A39" s="37" t="s">
        <v>106</v>
      </c>
      <c r="B39" s="40">
        <v>3</v>
      </c>
    </row>
    <row r="40" spans="1:18" s="41" customFormat="1" x14ac:dyDescent="0.25">
      <c r="A40" s="46" t="s">
        <v>0</v>
      </c>
      <c r="B40" s="30" t="s">
        <v>1</v>
      </c>
      <c r="C40" s="30" t="s">
        <v>2</v>
      </c>
      <c r="D40" s="30" t="s">
        <v>3</v>
      </c>
      <c r="E40" s="30" t="s">
        <v>4</v>
      </c>
      <c r="F40" s="30" t="s">
        <v>5</v>
      </c>
      <c r="O40" s="41" t="s">
        <v>7</v>
      </c>
      <c r="Q40" s="37"/>
    </row>
    <row r="41" spans="1:18" s="41" customFormat="1" x14ac:dyDescent="0.25">
      <c r="A41" s="32" t="s">
        <v>86</v>
      </c>
      <c r="B41" s="115">
        <v>37.4</v>
      </c>
      <c r="C41" s="115">
        <v>36.799999999999997</v>
      </c>
      <c r="D41" s="115">
        <v>40.799999999999997</v>
      </c>
      <c r="E41" s="31">
        <f>SUM(B41:D41)</f>
        <v>114.99999999999999</v>
      </c>
      <c r="F41" s="31">
        <f>E41/3</f>
        <v>38.333333333333329</v>
      </c>
      <c r="H41" s="47"/>
      <c r="I41" s="47"/>
      <c r="J41" s="47" t="s">
        <v>6</v>
      </c>
      <c r="K41" s="47"/>
      <c r="L41" s="47"/>
      <c r="M41" s="47"/>
      <c r="N41" s="47"/>
      <c r="O41" s="33">
        <v>1</v>
      </c>
      <c r="P41" s="31">
        <f>SUM(F41:F49)/9</f>
        <v>62.714814814814822</v>
      </c>
      <c r="Q41" s="49">
        <f>RANK(P41,P$41:P$42,0)</f>
        <v>1</v>
      </c>
    </row>
    <row r="42" spans="1:18" s="41" customFormat="1" x14ac:dyDescent="0.25">
      <c r="A42" s="32" t="s">
        <v>87</v>
      </c>
      <c r="B42" s="121">
        <v>61.2</v>
      </c>
      <c r="C42" s="121">
        <v>66.2</v>
      </c>
      <c r="D42" s="121">
        <v>66.2</v>
      </c>
      <c r="E42" s="31">
        <f t="shared" ref="E42:E58" si="9">SUM(B42:D42)</f>
        <v>193.60000000000002</v>
      </c>
      <c r="F42" s="31">
        <f t="shared" ref="F42:F55" si="10">E42/3</f>
        <v>64.533333333333346</v>
      </c>
      <c r="G42" s="31"/>
      <c r="H42" s="30" t="s">
        <v>8</v>
      </c>
      <c r="I42" s="30" t="s">
        <v>9</v>
      </c>
      <c r="J42" s="30" t="s">
        <v>10</v>
      </c>
      <c r="K42" s="30" t="s">
        <v>11</v>
      </c>
      <c r="L42" s="30" t="s">
        <v>12</v>
      </c>
      <c r="M42" s="30" t="s">
        <v>112</v>
      </c>
      <c r="N42" s="50"/>
      <c r="O42" s="33">
        <v>2</v>
      </c>
      <c r="P42" s="31">
        <f>SUM(F50:F58)/9</f>
        <v>60.966666666666669</v>
      </c>
      <c r="Q42" s="49">
        <f>RANK(P42,P$41:P$42,0)</f>
        <v>2</v>
      </c>
    </row>
    <row r="43" spans="1:18" s="41" customFormat="1" x14ac:dyDescent="0.25">
      <c r="A43" s="32" t="s">
        <v>88</v>
      </c>
      <c r="B43" s="121">
        <v>68.900000000000006</v>
      </c>
      <c r="C43" s="121">
        <v>70.2</v>
      </c>
      <c r="D43" s="121">
        <v>71.599999999999994</v>
      </c>
      <c r="E43" s="31">
        <f t="shared" si="9"/>
        <v>210.70000000000002</v>
      </c>
      <c r="F43" s="31">
        <f t="shared" si="10"/>
        <v>70.233333333333334</v>
      </c>
      <c r="G43" s="31" t="s">
        <v>13</v>
      </c>
      <c r="H43" s="31">
        <f>B39-1</f>
        <v>2</v>
      </c>
      <c r="I43" s="31">
        <f>D62</f>
        <v>3.7159259258769453</v>
      </c>
      <c r="J43" s="31">
        <f>I43/H43</f>
        <v>1.8579629629384726</v>
      </c>
      <c r="K43" s="31">
        <f>J43/$J$16</f>
        <v>0.35229933039092093</v>
      </c>
      <c r="L43" s="31">
        <f>FINV(0.05,H43,$H$16)</f>
        <v>3.275897990672394</v>
      </c>
      <c r="M43" s="31" t="str">
        <f>IF(K43&gt;=L43, "S", "NS")</f>
        <v>NS</v>
      </c>
      <c r="N43" s="39"/>
      <c r="O43" s="30" t="s">
        <v>14</v>
      </c>
      <c r="P43" s="42">
        <f>SQRT(J48/(3*9))</f>
        <v>0.51749081160459764</v>
      </c>
      <c r="Q43" s="37"/>
    </row>
    <row r="44" spans="1:18" s="41" customFormat="1" x14ac:dyDescent="0.25">
      <c r="A44" s="32" t="s">
        <v>89</v>
      </c>
      <c r="B44" s="121">
        <v>61.6</v>
      </c>
      <c r="C44" s="121">
        <v>59.5</v>
      </c>
      <c r="D44" s="121">
        <v>64.5</v>
      </c>
      <c r="E44" s="31">
        <f t="shared" si="9"/>
        <v>185.6</v>
      </c>
      <c r="F44" s="31">
        <f t="shared" si="10"/>
        <v>61.866666666666667</v>
      </c>
      <c r="G44" s="31" t="s">
        <v>15</v>
      </c>
      <c r="H44" s="31">
        <f>D38-1</f>
        <v>17</v>
      </c>
      <c r="I44" s="31">
        <f>B63</f>
        <v>4870.1570370370173</v>
      </c>
      <c r="J44" s="31">
        <f t="shared" ref="J44:J48" si="11">I44/H44</f>
        <v>286.47982570805982</v>
      </c>
      <c r="K44" s="31">
        <f>J44/$J$16</f>
        <v>54.321131680599301</v>
      </c>
      <c r="L44" s="31">
        <f>FINV(0.05,H44,$H$16)</f>
        <v>1.9332068318040869</v>
      </c>
      <c r="M44" s="43" t="str">
        <f t="shared" ref="M44" si="12">IF(K44&gt;=L44, "S", "NS")</f>
        <v>S</v>
      </c>
      <c r="N44" s="30" t="s">
        <v>113</v>
      </c>
      <c r="O44" s="30" t="s">
        <v>16</v>
      </c>
      <c r="P44" s="42">
        <f>SQRT((2*J48)/(3*9))*L49</f>
        <v>1.4872829514392181</v>
      </c>
      <c r="Q44" s="37"/>
    </row>
    <row r="45" spans="1:18" s="41" customFormat="1" x14ac:dyDescent="0.25">
      <c r="A45" s="32" t="s">
        <v>90</v>
      </c>
      <c r="B45" s="121">
        <v>70.400000000000006</v>
      </c>
      <c r="C45" s="121">
        <v>66.8</v>
      </c>
      <c r="D45" s="121">
        <v>66.8</v>
      </c>
      <c r="E45" s="31">
        <f t="shared" si="9"/>
        <v>204</v>
      </c>
      <c r="F45" s="31">
        <f t="shared" si="10"/>
        <v>68</v>
      </c>
      <c r="G45" s="31" t="s">
        <v>108</v>
      </c>
      <c r="H45" s="31">
        <f>B37-1</f>
        <v>1</v>
      </c>
      <c r="I45" s="31">
        <f>(SUM(E41:E49)^2+SUM(E50:E58)^2)/27-B61</f>
        <v>41.256296296312939</v>
      </c>
      <c r="J45" s="31">
        <f t="shared" si="11"/>
        <v>41.256296296312939</v>
      </c>
      <c r="K45" s="31">
        <f>J45/$J$16</f>
        <v>7.8228499972966352</v>
      </c>
      <c r="L45" s="31">
        <f>FINV(0.05,H45,$H$16)</f>
        <v>4.1300177456520188</v>
      </c>
      <c r="M45" s="31" t="str">
        <f>IF(K45&gt;=L45, "S", "NS")</f>
        <v>S</v>
      </c>
      <c r="N45" s="39"/>
      <c r="O45" s="33">
        <v>1</v>
      </c>
      <c r="P45" s="31">
        <f>(F41+F50)/2</f>
        <v>37.216666666666669</v>
      </c>
      <c r="Q45" s="49">
        <f>RANK(P45,P$45:P$53,0)</f>
        <v>9</v>
      </c>
      <c r="R45" s="51">
        <v>9</v>
      </c>
    </row>
    <row r="46" spans="1:18" s="41" customFormat="1" x14ac:dyDescent="0.25">
      <c r="A46" s="32" t="s">
        <v>91</v>
      </c>
      <c r="B46" s="121">
        <v>71.2</v>
      </c>
      <c r="C46" s="121">
        <v>77.099999999999994</v>
      </c>
      <c r="D46" s="121">
        <v>67.599999999999994</v>
      </c>
      <c r="E46" s="31">
        <f t="shared" si="9"/>
        <v>215.9</v>
      </c>
      <c r="F46" s="31">
        <f t="shared" si="10"/>
        <v>71.966666666666669</v>
      </c>
      <c r="G46" s="31" t="s">
        <v>109</v>
      </c>
      <c r="H46" s="31">
        <f>B38-1</f>
        <v>8</v>
      </c>
      <c r="I46" s="31">
        <f>((E41+E50)^2+(E42+E51)^2+(E43+E52)^2+(E44+E53)^2+(E45+E54)^2+(E46+E55)^2+(E47+E56)^2+(E48+E57)^2+(E49+E58)^2/6)-B61</f>
        <v>956916.03537037049</v>
      </c>
      <c r="J46" s="31">
        <f t="shared" si="11"/>
        <v>119614.50442129631</v>
      </c>
      <c r="K46" s="31">
        <f>J46/$J$16</f>
        <v>22680.812617501047</v>
      </c>
      <c r="L46" s="31">
        <f>FINV(0.05,H46,$H$16)</f>
        <v>2.2253399674380931</v>
      </c>
      <c r="M46" s="31" t="str">
        <f>IF(K46&gt;=L46, "S", "NS")</f>
        <v>S</v>
      </c>
      <c r="N46" s="39"/>
      <c r="O46" s="33">
        <v>2</v>
      </c>
      <c r="P46" s="31">
        <f t="shared" ref="P46:P53" si="13">(F42+F51)/2</f>
        <v>63.683333333333337</v>
      </c>
      <c r="Q46" s="49">
        <f t="shared" ref="Q46:Q53" si="14">RANK(P46,P$45:P$53,0)</f>
        <v>5</v>
      </c>
      <c r="R46" s="52">
        <v>5</v>
      </c>
    </row>
    <row r="47" spans="1:18" s="41" customFormat="1" x14ac:dyDescent="0.25">
      <c r="A47" s="32" t="s">
        <v>92</v>
      </c>
      <c r="B47" s="121">
        <v>63.5</v>
      </c>
      <c r="C47" s="121">
        <v>60.8</v>
      </c>
      <c r="D47" s="121">
        <v>64.599999999999994</v>
      </c>
      <c r="E47" s="31">
        <f t="shared" si="9"/>
        <v>188.89999999999998</v>
      </c>
      <c r="F47" s="31">
        <f t="shared" si="10"/>
        <v>62.966666666666661</v>
      </c>
      <c r="G47" s="26" t="s">
        <v>110</v>
      </c>
      <c r="H47" s="31">
        <f>H45*H46</f>
        <v>8</v>
      </c>
      <c r="I47" s="31">
        <f>I44-(I45+I46)</f>
        <v>-952087.13462962979</v>
      </c>
      <c r="J47" s="31">
        <f t="shared" si="11"/>
        <v>-119010.89182870372</v>
      </c>
      <c r="K47" s="44">
        <f>J47/$J$16</f>
        <v>-22566.358068929436</v>
      </c>
      <c r="L47" s="31">
        <f>FINV(0.05,H47,$H$16)</f>
        <v>2.2253399674380931</v>
      </c>
      <c r="M47" s="31" t="str">
        <f t="shared" ref="M47" si="15">IF(K47&gt;=L47, "S", "NS")</f>
        <v>NS</v>
      </c>
      <c r="N47" s="39"/>
      <c r="O47" s="33">
        <v>3</v>
      </c>
      <c r="P47" s="31">
        <f t="shared" si="13"/>
        <v>69.316666666666663</v>
      </c>
      <c r="Q47" s="49">
        <f t="shared" si="14"/>
        <v>2</v>
      </c>
      <c r="R47" s="52">
        <v>2</v>
      </c>
    </row>
    <row r="48" spans="1:18" s="41" customFormat="1" x14ac:dyDescent="0.25">
      <c r="A48" s="32" t="s">
        <v>93</v>
      </c>
      <c r="B48" s="121">
        <v>68.8</v>
      </c>
      <c r="C48" s="121">
        <v>64.599999999999994</v>
      </c>
      <c r="D48" s="121">
        <v>65.900000000000006</v>
      </c>
      <c r="E48" s="31">
        <f t="shared" si="9"/>
        <v>199.29999999999998</v>
      </c>
      <c r="F48" s="31">
        <f t="shared" si="10"/>
        <v>66.433333333333323</v>
      </c>
      <c r="G48" s="45" t="s">
        <v>23</v>
      </c>
      <c r="H48" s="31">
        <f>((B39-1)*(B37*B38-1))</f>
        <v>34</v>
      </c>
      <c r="I48" s="31">
        <f>D63</f>
        <v>245.83740740737994</v>
      </c>
      <c r="J48" s="31">
        <f t="shared" si="11"/>
        <v>7.2305119825699986</v>
      </c>
      <c r="O48" s="33">
        <v>4</v>
      </c>
      <c r="P48" s="31">
        <f t="shared" si="13"/>
        <v>61.116666666666667</v>
      </c>
      <c r="Q48" s="49">
        <f t="shared" si="14"/>
        <v>7</v>
      </c>
      <c r="R48" s="52">
        <v>7</v>
      </c>
    </row>
    <row r="49" spans="1:18" x14ac:dyDescent="0.25">
      <c r="A49" s="32" t="s">
        <v>94</v>
      </c>
      <c r="B49" s="121">
        <v>59.900000000000006</v>
      </c>
      <c r="C49" s="121">
        <v>61.599999999999994</v>
      </c>
      <c r="D49" s="121">
        <v>58.8</v>
      </c>
      <c r="E49" s="31">
        <f t="shared" si="9"/>
        <v>180.3</v>
      </c>
      <c r="F49" s="31">
        <f t="shared" si="10"/>
        <v>60.1</v>
      </c>
      <c r="G49" s="44" t="s">
        <v>4</v>
      </c>
      <c r="H49" s="31">
        <f>SUM(H43:H48)-H44</f>
        <v>53</v>
      </c>
      <c r="I49" s="31">
        <f>B62</f>
        <v>5119.7103703702742</v>
      </c>
      <c r="K49" s="31" t="s">
        <v>111</v>
      </c>
      <c r="L49" s="41">
        <f>TINV(0.05,34)</f>
        <v>2.0322445093177191</v>
      </c>
      <c r="O49" s="33">
        <v>5</v>
      </c>
      <c r="P49" s="31">
        <f t="shared" si="13"/>
        <v>67.25</v>
      </c>
      <c r="Q49" s="49">
        <f t="shared" si="14"/>
        <v>3</v>
      </c>
      <c r="R49" s="51">
        <v>3</v>
      </c>
    </row>
    <row r="50" spans="1:18" x14ac:dyDescent="0.25">
      <c r="A50" s="32" t="s">
        <v>95</v>
      </c>
      <c r="B50" s="115">
        <v>35.700000000000003</v>
      </c>
      <c r="C50" s="115">
        <v>33.200000000000003</v>
      </c>
      <c r="D50" s="115">
        <v>39.4</v>
      </c>
      <c r="E50" s="31">
        <f t="shared" si="9"/>
        <v>108.30000000000001</v>
      </c>
      <c r="F50" s="31">
        <f t="shared" si="10"/>
        <v>36.1</v>
      </c>
      <c r="G50" s="34" t="s">
        <v>14</v>
      </c>
      <c r="H50" s="31">
        <f>SQRT(J48/3)</f>
        <v>1.5524724348137928</v>
      </c>
      <c r="O50" s="33">
        <v>6</v>
      </c>
      <c r="P50" s="31">
        <f t="shared" si="13"/>
        <v>71.2</v>
      </c>
      <c r="Q50" s="49">
        <f t="shared" si="14"/>
        <v>1</v>
      </c>
      <c r="R50" s="52">
        <v>1</v>
      </c>
    </row>
    <row r="51" spans="1:18" x14ac:dyDescent="0.25">
      <c r="A51" s="32" t="s">
        <v>96</v>
      </c>
      <c r="B51" s="121">
        <v>60.5</v>
      </c>
      <c r="C51" s="121">
        <v>64.2</v>
      </c>
      <c r="D51" s="121">
        <v>63.8</v>
      </c>
      <c r="E51" s="31">
        <f t="shared" si="9"/>
        <v>188.5</v>
      </c>
      <c r="F51" s="31">
        <f t="shared" si="10"/>
        <v>62.833333333333336</v>
      </c>
      <c r="G51" s="34" t="s">
        <v>16</v>
      </c>
      <c r="H51" s="31">
        <f>(SQRT((2*J48)/3))*L49</f>
        <v>4.4618488543176538</v>
      </c>
      <c r="O51" s="33">
        <v>7</v>
      </c>
      <c r="P51" s="31">
        <f t="shared" si="13"/>
        <v>62.18333333333333</v>
      </c>
      <c r="Q51" s="49">
        <f t="shared" si="14"/>
        <v>6</v>
      </c>
      <c r="R51" s="52">
        <v>6</v>
      </c>
    </row>
    <row r="52" spans="1:18" x14ac:dyDescent="0.25">
      <c r="A52" s="32" t="s">
        <v>97</v>
      </c>
      <c r="B52" s="121">
        <v>69.8</v>
      </c>
      <c r="C52" s="121">
        <v>64.599999999999994</v>
      </c>
      <c r="D52" s="121">
        <v>70.8</v>
      </c>
      <c r="E52" s="31">
        <f t="shared" si="9"/>
        <v>205.2</v>
      </c>
      <c r="F52" s="31">
        <f t="shared" si="10"/>
        <v>68.399999999999991</v>
      </c>
      <c r="G52" s="34" t="s">
        <v>29</v>
      </c>
      <c r="H52" s="31">
        <f>((SQRT(J48))/F59)*100</f>
        <v>4.3482033077850275</v>
      </c>
      <c r="L52" s="41">
        <f>P41-P42</f>
        <v>1.7481481481481538</v>
      </c>
      <c r="O52" s="33">
        <v>8</v>
      </c>
      <c r="P52" s="31">
        <f t="shared" si="13"/>
        <v>65.55</v>
      </c>
      <c r="Q52" s="49">
        <f t="shared" si="14"/>
        <v>4</v>
      </c>
      <c r="R52" s="51">
        <v>4</v>
      </c>
    </row>
    <row r="53" spans="1:18" x14ac:dyDescent="0.25">
      <c r="A53" s="32" t="s">
        <v>98</v>
      </c>
      <c r="B53" s="121">
        <v>58.900000000000006</v>
      </c>
      <c r="C53" s="121">
        <v>59.1</v>
      </c>
      <c r="D53" s="121">
        <v>63.1</v>
      </c>
      <c r="E53" s="31">
        <f t="shared" si="9"/>
        <v>181.1</v>
      </c>
      <c r="F53" s="31">
        <f t="shared" si="10"/>
        <v>60.366666666666667</v>
      </c>
      <c r="K53" s="41">
        <f>P41-P42</f>
        <v>1.7481481481481538</v>
      </c>
      <c r="O53" s="33">
        <v>9</v>
      </c>
      <c r="P53" s="31">
        <f t="shared" si="13"/>
        <v>59.05</v>
      </c>
      <c r="Q53" s="49">
        <f t="shared" si="14"/>
        <v>8</v>
      </c>
      <c r="R53" s="52">
        <v>8</v>
      </c>
    </row>
    <row r="54" spans="1:18" x14ac:dyDescent="0.25">
      <c r="A54" s="32" t="s">
        <v>99</v>
      </c>
      <c r="B54" s="121">
        <v>63.5</v>
      </c>
      <c r="C54" s="121">
        <v>69.2</v>
      </c>
      <c r="D54" s="121">
        <v>66.8</v>
      </c>
      <c r="E54" s="31">
        <f t="shared" si="9"/>
        <v>199.5</v>
      </c>
      <c r="F54" s="31">
        <f t="shared" si="10"/>
        <v>66.5</v>
      </c>
      <c r="H54" s="41" t="s">
        <v>114</v>
      </c>
      <c r="O54" s="30" t="s">
        <v>14</v>
      </c>
      <c r="P54" s="42">
        <f>SQRT(J48/(3*2))</f>
        <v>1.0977637862620233</v>
      </c>
      <c r="Q54" s="49"/>
    </row>
    <row r="55" spans="1:18" x14ac:dyDescent="0.25">
      <c r="A55" s="32" t="s">
        <v>100</v>
      </c>
      <c r="B55" s="121">
        <v>71.599999999999994</v>
      </c>
      <c r="C55" s="121">
        <v>73.2</v>
      </c>
      <c r="D55" s="121">
        <v>66.5</v>
      </c>
      <c r="E55" s="31">
        <f t="shared" si="9"/>
        <v>211.3</v>
      </c>
      <c r="F55" s="31">
        <f t="shared" si="10"/>
        <v>70.433333333333337</v>
      </c>
      <c r="G55" s="59">
        <v>1</v>
      </c>
      <c r="H55" s="41">
        <f>F41-F50</f>
        <v>2.2333333333333272</v>
      </c>
      <c r="N55" s="30" t="s">
        <v>109</v>
      </c>
      <c r="O55" s="30" t="s">
        <v>16</v>
      </c>
      <c r="P55" s="42">
        <f>SQRT((2*J48)/(3*2))*L49</f>
        <v>3.1550035815174411</v>
      </c>
      <c r="Q55" s="49"/>
    </row>
    <row r="56" spans="1:18" x14ac:dyDescent="0.25">
      <c r="A56" s="32" t="s">
        <v>101</v>
      </c>
      <c r="B56" s="121">
        <v>61.8</v>
      </c>
      <c r="C56" s="121">
        <v>63.599999999999994</v>
      </c>
      <c r="D56" s="121">
        <v>58.8</v>
      </c>
      <c r="E56" s="31">
        <f t="shared" si="9"/>
        <v>184.2</v>
      </c>
      <c r="F56" s="31">
        <f>E56/3</f>
        <v>61.4</v>
      </c>
      <c r="G56" s="59">
        <v>2</v>
      </c>
      <c r="H56" s="41">
        <f t="shared" ref="H56:H63" si="16">F42-F51</f>
        <v>1.7000000000000099</v>
      </c>
      <c r="I56" s="41">
        <f>B42-10</f>
        <v>51.2</v>
      </c>
      <c r="J56" s="41">
        <f t="shared" ref="J56:K63" si="17">C42-10</f>
        <v>56.2</v>
      </c>
      <c r="K56" s="41">
        <f t="shared" si="17"/>
        <v>56.2</v>
      </c>
      <c r="Q56" s="49"/>
    </row>
    <row r="57" spans="1:18" x14ac:dyDescent="0.25">
      <c r="A57" s="32" t="s">
        <v>102</v>
      </c>
      <c r="B57" s="121">
        <v>62.2</v>
      </c>
      <c r="C57" s="121">
        <v>65.599999999999994</v>
      </c>
      <c r="D57" s="121">
        <v>66.2</v>
      </c>
      <c r="E57" s="31">
        <f t="shared" si="9"/>
        <v>194</v>
      </c>
      <c r="F57" s="31">
        <f t="shared" ref="F57:F58" si="18">E57/3</f>
        <v>64.666666666666671</v>
      </c>
      <c r="G57" s="59">
        <v>3</v>
      </c>
      <c r="H57" s="41">
        <f t="shared" si="16"/>
        <v>1.8333333333333428</v>
      </c>
      <c r="I57" s="41">
        <f t="shared" ref="I57:I63" si="19">B43-10</f>
        <v>58.900000000000006</v>
      </c>
      <c r="J57" s="41">
        <f t="shared" si="17"/>
        <v>60.2</v>
      </c>
      <c r="K57" s="41">
        <f t="shared" si="17"/>
        <v>61.599999999999994</v>
      </c>
    </row>
    <row r="58" spans="1:18" x14ac:dyDescent="0.25">
      <c r="A58" s="32" t="s">
        <v>103</v>
      </c>
      <c r="B58" s="121">
        <v>59.8</v>
      </c>
      <c r="C58" s="121">
        <v>58.5</v>
      </c>
      <c r="D58" s="121">
        <v>55.7</v>
      </c>
      <c r="E58" s="31">
        <f t="shared" si="9"/>
        <v>174</v>
      </c>
      <c r="F58" s="31">
        <f t="shared" si="18"/>
        <v>58</v>
      </c>
      <c r="G58" s="59">
        <v>4</v>
      </c>
      <c r="H58" s="41">
        <f t="shared" si="16"/>
        <v>1.5</v>
      </c>
      <c r="I58" s="41">
        <f t="shared" si="19"/>
        <v>51.6</v>
      </c>
      <c r="J58" s="41">
        <f t="shared" si="17"/>
        <v>49.5</v>
      </c>
      <c r="K58" s="41">
        <f t="shared" si="17"/>
        <v>54.5</v>
      </c>
    </row>
    <row r="59" spans="1:18" x14ac:dyDescent="0.25">
      <c r="A59" s="30" t="s">
        <v>4</v>
      </c>
      <c r="B59" s="31">
        <f>SUM(B41:B58)</f>
        <v>1106.6999999999998</v>
      </c>
      <c r="C59" s="31">
        <f t="shared" ref="C59:D59" si="20">SUM(C41:C58)</f>
        <v>1114.8000000000002</v>
      </c>
      <c r="D59" s="31">
        <f t="shared" si="20"/>
        <v>1117.8999999999999</v>
      </c>
      <c r="E59" s="31">
        <f>SUM(E41:E58)</f>
        <v>3339.4</v>
      </c>
      <c r="F59" s="31">
        <f>AVERAGE(B41:D58)</f>
        <v>61.840740740740728</v>
      </c>
      <c r="G59" s="59">
        <v>5</v>
      </c>
      <c r="H59" s="41">
        <f t="shared" si="16"/>
        <v>1.5</v>
      </c>
      <c r="I59" s="41">
        <f t="shared" si="19"/>
        <v>60.400000000000006</v>
      </c>
      <c r="J59" s="41">
        <f t="shared" si="17"/>
        <v>56.8</v>
      </c>
      <c r="K59" s="41">
        <f t="shared" si="17"/>
        <v>56.8</v>
      </c>
    </row>
    <row r="60" spans="1:18" x14ac:dyDescent="0.25">
      <c r="A60" s="30" t="s">
        <v>5</v>
      </c>
      <c r="B60" s="31">
        <f>B59/18</f>
        <v>61.48333333333332</v>
      </c>
      <c r="C60" s="31">
        <f>C59/18</f>
        <v>61.933333333333344</v>
      </c>
      <c r="D60" s="31">
        <f>D59/18</f>
        <v>62.105555555555547</v>
      </c>
      <c r="G60" s="59">
        <v>6</v>
      </c>
      <c r="H60" s="41">
        <f t="shared" si="16"/>
        <v>1.5333333333333314</v>
      </c>
      <c r="I60" s="41">
        <f t="shared" si="19"/>
        <v>61.2</v>
      </c>
      <c r="J60" s="41">
        <f t="shared" si="17"/>
        <v>67.099999999999994</v>
      </c>
      <c r="K60" s="41">
        <f t="shared" si="17"/>
        <v>57.599999999999994</v>
      </c>
    </row>
    <row r="61" spans="1:18" x14ac:dyDescent="0.25">
      <c r="A61" s="30" t="s">
        <v>26</v>
      </c>
      <c r="B61" s="31">
        <f>(E59*E59)/54</f>
        <v>206510.96962962966</v>
      </c>
      <c r="C61" s="31"/>
      <c r="D61" s="31"/>
      <c r="G61" s="59">
        <v>7</v>
      </c>
      <c r="H61" s="41">
        <f t="shared" si="16"/>
        <v>1.5666666666666629</v>
      </c>
      <c r="I61" s="41">
        <f t="shared" si="19"/>
        <v>53.5</v>
      </c>
      <c r="J61" s="41">
        <f t="shared" si="17"/>
        <v>50.8</v>
      </c>
      <c r="K61" s="41">
        <f t="shared" si="17"/>
        <v>54.599999999999994</v>
      </c>
    </row>
    <row r="62" spans="1:18" x14ac:dyDescent="0.25">
      <c r="A62" s="30" t="s">
        <v>27</v>
      </c>
      <c r="B62" s="31">
        <f>SUMSQ(B41:D58)-B61</f>
        <v>5119.7103703702742</v>
      </c>
      <c r="C62" s="30" t="s">
        <v>28</v>
      </c>
      <c r="D62" s="31">
        <f>(SUMSQ(B59:D59)/18)-B61</f>
        <v>3.7159259258769453</v>
      </c>
      <c r="G62" s="59">
        <v>8</v>
      </c>
      <c r="H62" s="41">
        <f t="shared" si="16"/>
        <v>1.7666666666666515</v>
      </c>
      <c r="I62" s="41">
        <f t="shared" si="19"/>
        <v>58.8</v>
      </c>
      <c r="J62" s="41">
        <f t="shared" si="17"/>
        <v>54.599999999999994</v>
      </c>
      <c r="K62" s="41">
        <f t="shared" si="17"/>
        <v>55.900000000000006</v>
      </c>
    </row>
    <row r="63" spans="1:18" x14ac:dyDescent="0.25">
      <c r="A63" s="30" t="s">
        <v>30</v>
      </c>
      <c r="B63" s="31">
        <f>(SUMSQ(E41:E58)/3)-B61</f>
        <v>4870.1570370370173</v>
      </c>
      <c r="C63" s="30" t="s">
        <v>31</v>
      </c>
      <c r="D63" s="31">
        <f>B62-B63-D62</f>
        <v>245.83740740737994</v>
      </c>
      <c r="G63" s="59">
        <v>9</v>
      </c>
      <c r="H63" s="41">
        <f t="shared" si="16"/>
        <v>2.1000000000000014</v>
      </c>
      <c r="I63" s="41">
        <f t="shared" si="19"/>
        <v>49.900000000000006</v>
      </c>
      <c r="J63" s="41">
        <f t="shared" si="17"/>
        <v>51.599999999999994</v>
      </c>
      <c r="K63" s="41">
        <f t="shared" si="17"/>
        <v>48.8</v>
      </c>
    </row>
    <row r="65" spans="1:19" x14ac:dyDescent="0.25">
      <c r="I65" s="41">
        <f>B51-10</f>
        <v>50.5</v>
      </c>
      <c r="J65" s="41">
        <f t="shared" ref="J65:K72" si="21">C51-10</f>
        <v>54.2</v>
      </c>
      <c r="K65" s="41">
        <f t="shared" si="21"/>
        <v>53.8</v>
      </c>
    </row>
    <row r="66" spans="1:19" x14ac:dyDescent="0.25">
      <c r="I66" s="41">
        <f t="shared" ref="I66:I72" si="22">B52-10</f>
        <v>59.8</v>
      </c>
      <c r="J66" s="41">
        <f t="shared" si="21"/>
        <v>54.599999999999994</v>
      </c>
      <c r="K66" s="41">
        <f t="shared" si="21"/>
        <v>60.8</v>
      </c>
    </row>
    <row r="67" spans="1:19" ht="15.75" x14ac:dyDescent="0.25">
      <c r="C67" s="56" t="s">
        <v>128</v>
      </c>
      <c r="I67" s="41">
        <f t="shared" si="22"/>
        <v>48.900000000000006</v>
      </c>
      <c r="J67" s="41">
        <f t="shared" si="21"/>
        <v>49.1</v>
      </c>
      <c r="K67" s="41">
        <f t="shared" si="21"/>
        <v>53.1</v>
      </c>
    </row>
    <row r="68" spans="1:19" x14ac:dyDescent="0.25">
      <c r="I68" s="41">
        <f t="shared" si="22"/>
        <v>53.5</v>
      </c>
      <c r="J68" s="41">
        <f t="shared" si="21"/>
        <v>59.2</v>
      </c>
      <c r="K68" s="41">
        <f t="shared" si="21"/>
        <v>56.8</v>
      </c>
    </row>
    <row r="69" spans="1:19" x14ac:dyDescent="0.25">
      <c r="A69" s="36" t="s">
        <v>104</v>
      </c>
      <c r="B69" s="38">
        <v>2</v>
      </c>
      <c r="C69" s="39"/>
      <c r="D69" s="39"/>
      <c r="E69" s="39"/>
      <c r="F69" s="39"/>
      <c r="G69" s="39"/>
      <c r="H69" s="39"/>
      <c r="I69" s="41">
        <f t="shared" si="22"/>
        <v>61.599999999999994</v>
      </c>
      <c r="J69" s="41">
        <f t="shared" si="21"/>
        <v>63.2</v>
      </c>
      <c r="K69" s="41">
        <f t="shared" si="21"/>
        <v>56.5</v>
      </c>
      <c r="L69" s="39"/>
      <c r="M69" s="35"/>
      <c r="N69" s="35"/>
      <c r="O69" s="39"/>
      <c r="P69" s="39"/>
    </row>
    <row r="70" spans="1:19" x14ac:dyDescent="0.25">
      <c r="A70" s="36" t="s">
        <v>105</v>
      </c>
      <c r="B70" s="38">
        <v>9</v>
      </c>
      <c r="C70" s="39" t="s">
        <v>107</v>
      </c>
      <c r="D70" s="39">
        <v>18</v>
      </c>
      <c r="E70" s="39"/>
      <c r="F70" s="39"/>
      <c r="G70" s="39"/>
      <c r="H70" s="39"/>
      <c r="I70" s="41">
        <f t="shared" si="22"/>
        <v>51.8</v>
      </c>
      <c r="J70" s="41">
        <f t="shared" si="21"/>
        <v>53.599999999999994</v>
      </c>
      <c r="K70" s="41">
        <f t="shared" si="21"/>
        <v>48.8</v>
      </c>
      <c r="L70" s="39"/>
      <c r="M70" s="35"/>
      <c r="N70" s="35"/>
      <c r="O70" s="39"/>
      <c r="P70" s="39"/>
    </row>
    <row r="71" spans="1:19" x14ac:dyDescent="0.25">
      <c r="A71" s="37" t="s">
        <v>106</v>
      </c>
      <c r="B71" s="40">
        <v>3</v>
      </c>
      <c r="I71" s="41">
        <f t="shared" si="22"/>
        <v>52.2</v>
      </c>
      <c r="J71" s="41">
        <f t="shared" si="21"/>
        <v>55.599999999999994</v>
      </c>
      <c r="K71" s="41">
        <f t="shared" si="21"/>
        <v>56.2</v>
      </c>
    </row>
    <row r="72" spans="1:19" x14ac:dyDescent="0.25">
      <c r="A72" s="46" t="s">
        <v>0</v>
      </c>
      <c r="B72" s="30" t="s">
        <v>1</v>
      </c>
      <c r="C72" s="30" t="s">
        <v>2</v>
      </c>
      <c r="D72" s="30" t="s">
        <v>3</v>
      </c>
      <c r="E72" s="30" t="s">
        <v>4</v>
      </c>
      <c r="F72" s="30" t="s">
        <v>5</v>
      </c>
      <c r="I72" s="41">
        <f t="shared" si="22"/>
        <v>49.8</v>
      </c>
      <c r="J72" s="41">
        <f t="shared" si="21"/>
        <v>48.5</v>
      </c>
      <c r="K72" s="41">
        <f t="shared" si="21"/>
        <v>45.7</v>
      </c>
      <c r="O72" s="41" t="s">
        <v>7</v>
      </c>
      <c r="R72" s="41"/>
      <c r="S72" s="41"/>
    </row>
    <row r="73" spans="1:19" x14ac:dyDescent="0.25">
      <c r="A73" s="32" t="s">
        <v>86</v>
      </c>
      <c r="B73" s="57">
        <f t="shared" ref="B73:D88" si="23">(B9+B41)</f>
        <v>63.9</v>
      </c>
      <c r="C73" s="57">
        <f t="shared" si="23"/>
        <v>60.4</v>
      </c>
      <c r="D73" s="57">
        <f t="shared" si="23"/>
        <v>62.36</v>
      </c>
      <c r="E73" s="31">
        <f>SUM(B73:D73)</f>
        <v>186.66</v>
      </c>
      <c r="F73" s="31">
        <f>E73/3</f>
        <v>62.22</v>
      </c>
      <c r="H73" s="47"/>
      <c r="I73" s="47"/>
      <c r="J73" s="47" t="s">
        <v>6</v>
      </c>
      <c r="K73" s="47"/>
      <c r="L73" s="47"/>
      <c r="M73" s="47"/>
      <c r="N73" s="47"/>
      <c r="O73" s="33">
        <v>1</v>
      </c>
      <c r="P73" s="31">
        <f>SUM(F73:F81)/9</f>
        <v>103.14518518518518</v>
      </c>
      <c r="Q73" s="49">
        <f>RANK(P73,P$73:P$74,0)</f>
        <v>1</v>
      </c>
      <c r="R73" s="41"/>
      <c r="S73" s="41"/>
    </row>
    <row r="74" spans="1:19" x14ac:dyDescent="0.25">
      <c r="A74" s="32" t="s">
        <v>87</v>
      </c>
      <c r="B74" s="57">
        <f t="shared" si="23"/>
        <v>100.1</v>
      </c>
      <c r="C74" s="57">
        <f t="shared" si="23"/>
        <v>108.4</v>
      </c>
      <c r="D74" s="57">
        <f t="shared" si="23"/>
        <v>109.7</v>
      </c>
      <c r="E74" s="31">
        <f t="shared" ref="E74:E90" si="24">SUM(B74:D74)</f>
        <v>318.2</v>
      </c>
      <c r="F74" s="31">
        <f t="shared" ref="F74:F87" si="25">E74/3</f>
        <v>106.06666666666666</v>
      </c>
      <c r="G74" s="31"/>
      <c r="H74" s="30" t="s">
        <v>8</v>
      </c>
      <c r="I74" s="30" t="s">
        <v>9</v>
      </c>
      <c r="J74" s="30" t="s">
        <v>10</v>
      </c>
      <c r="K74" s="30" t="s">
        <v>11</v>
      </c>
      <c r="L74" s="30" t="s">
        <v>12</v>
      </c>
      <c r="M74" s="30" t="s">
        <v>112</v>
      </c>
      <c r="N74" s="50"/>
      <c r="O74" s="33">
        <v>2</v>
      </c>
      <c r="P74" s="31">
        <f>SUM(F82:F90)/9</f>
        <v>99.659259259259258</v>
      </c>
      <c r="Q74" s="49">
        <f>RANK(P74,P$73:P$74,0)</f>
        <v>2</v>
      </c>
      <c r="R74" s="41"/>
      <c r="S74" s="41"/>
    </row>
    <row r="75" spans="1:19" x14ac:dyDescent="0.25">
      <c r="A75" s="32" t="s">
        <v>88</v>
      </c>
      <c r="B75" s="57">
        <f t="shared" si="23"/>
        <v>117.5</v>
      </c>
      <c r="C75" s="57">
        <f t="shared" si="23"/>
        <v>117.76</v>
      </c>
      <c r="D75" s="57">
        <f t="shared" si="23"/>
        <v>117.39999999999999</v>
      </c>
      <c r="E75" s="31">
        <f t="shared" si="24"/>
        <v>352.65999999999997</v>
      </c>
      <c r="F75" s="31">
        <f t="shared" si="25"/>
        <v>117.55333333333333</v>
      </c>
      <c r="G75" s="31" t="s">
        <v>13</v>
      </c>
      <c r="H75" s="31">
        <f>B71-1</f>
        <v>2</v>
      </c>
      <c r="I75" s="31">
        <f>D94</f>
        <v>1.434133333270438</v>
      </c>
      <c r="J75" s="31">
        <f>I75/H75</f>
        <v>0.71706666663521901</v>
      </c>
      <c r="K75" s="31">
        <f>J75/$J$16</f>
        <v>0.13596724560197979</v>
      </c>
      <c r="L75" s="31">
        <f>FINV(0.05,H75,$H$16)</f>
        <v>3.275897990672394</v>
      </c>
      <c r="M75" s="31" t="str">
        <f>IF(K75&gt;=L75, "S", "NS")</f>
        <v>NS</v>
      </c>
      <c r="N75" s="39"/>
      <c r="O75" s="30" t="s">
        <v>14</v>
      </c>
      <c r="P75" s="42">
        <f>SQRT(J80/(3*9))</f>
        <v>0.79123924937160639</v>
      </c>
      <c r="R75" s="41"/>
      <c r="S75" s="41"/>
    </row>
    <row r="76" spans="1:19" x14ac:dyDescent="0.25">
      <c r="A76" s="32" t="s">
        <v>89</v>
      </c>
      <c r="B76" s="57">
        <f t="shared" si="23"/>
        <v>100.2</v>
      </c>
      <c r="C76" s="57">
        <f t="shared" si="23"/>
        <v>97.3</v>
      </c>
      <c r="D76" s="57">
        <f t="shared" si="23"/>
        <v>100.7</v>
      </c>
      <c r="E76" s="31">
        <f t="shared" si="24"/>
        <v>298.2</v>
      </c>
      <c r="F76" s="31">
        <f t="shared" si="25"/>
        <v>99.399999999999991</v>
      </c>
      <c r="G76" s="31" t="s">
        <v>15</v>
      </c>
      <c r="H76" s="31">
        <f>D70-1</f>
        <v>17</v>
      </c>
      <c r="I76" s="31">
        <f>B95</f>
        <v>15082.034133333131</v>
      </c>
      <c r="J76" s="31">
        <f t="shared" ref="J76:J80" si="26">I76/H76</f>
        <v>887.17847843136065</v>
      </c>
      <c r="K76" s="31">
        <f>J76/$J$16</f>
        <v>168.22315090408762</v>
      </c>
      <c r="L76" s="31">
        <f>FINV(0.05,H76,$H$16)</f>
        <v>1.9332068318040869</v>
      </c>
      <c r="M76" s="43" t="str">
        <f t="shared" ref="M76" si="27">IF(K76&gt;=L76, "S", "NS")</f>
        <v>S</v>
      </c>
      <c r="N76" s="30" t="s">
        <v>113</v>
      </c>
      <c r="O76" s="30" t="s">
        <v>16</v>
      </c>
      <c r="P76" s="42">
        <f>SQRT((2*J80)/(3*9))*L81</f>
        <v>2.274043557316562</v>
      </c>
      <c r="R76" s="41"/>
      <c r="S76" s="41"/>
    </row>
    <row r="77" spans="1:19" x14ac:dyDescent="0.25">
      <c r="A77" s="32" t="s">
        <v>90</v>
      </c>
      <c r="B77" s="57">
        <f t="shared" si="23"/>
        <v>116.2</v>
      </c>
      <c r="C77" s="57">
        <f t="shared" si="23"/>
        <v>114.4</v>
      </c>
      <c r="D77" s="57">
        <f t="shared" si="23"/>
        <v>111.3</v>
      </c>
      <c r="E77" s="31">
        <f t="shared" si="24"/>
        <v>341.90000000000003</v>
      </c>
      <c r="F77" s="31">
        <f t="shared" si="25"/>
        <v>113.96666666666668</v>
      </c>
      <c r="G77" s="31" t="s">
        <v>108</v>
      </c>
      <c r="H77" s="31">
        <f>B69-1</f>
        <v>1</v>
      </c>
      <c r="I77" s="31">
        <f>(SUM(E73:E81)^2+SUM(E82:E90)^2)/27-B93</f>
        <v>164.04767407395411</v>
      </c>
      <c r="J77" s="31">
        <f t="shared" si="26"/>
        <v>164.04767407395411</v>
      </c>
      <c r="K77" s="31">
        <f>J77/$J$16</f>
        <v>31.106048334267008</v>
      </c>
      <c r="L77" s="31">
        <f>FINV(0.05,H77,$H$16)</f>
        <v>4.1300177456520188</v>
      </c>
      <c r="M77" s="31" t="str">
        <f>IF(K77&gt;=L77, "S", "NS")</f>
        <v>S</v>
      </c>
      <c r="N77" s="39"/>
      <c r="O77" s="33">
        <v>1</v>
      </c>
      <c r="P77" s="31">
        <f>(F73+F82)/2</f>
        <v>59.943333333333328</v>
      </c>
      <c r="Q77" s="49">
        <f>RANK(P77,P$77:P$85,0)</f>
        <v>9</v>
      </c>
      <c r="R77" s="51">
        <v>9</v>
      </c>
      <c r="S77" s="41"/>
    </row>
    <row r="78" spans="1:19" x14ac:dyDescent="0.25">
      <c r="A78" s="32" t="s">
        <v>91</v>
      </c>
      <c r="B78" s="57">
        <f t="shared" si="23"/>
        <v>123</v>
      </c>
      <c r="C78" s="57">
        <f t="shared" si="23"/>
        <v>126.89999999999999</v>
      </c>
      <c r="D78" s="57">
        <f t="shared" si="23"/>
        <v>115.39999999999999</v>
      </c>
      <c r="E78" s="31">
        <f t="shared" si="24"/>
        <v>365.29999999999995</v>
      </c>
      <c r="F78" s="31">
        <f t="shared" si="25"/>
        <v>121.76666666666665</v>
      </c>
      <c r="G78" s="31" t="s">
        <v>109</v>
      </c>
      <c r="H78" s="31">
        <f>B70-1</f>
        <v>8</v>
      </c>
      <c r="I78" s="31">
        <f>((E73+E82)^2+(E74+E83)^2+(E75+E84)^2+(E76+E85)^2+(E77+E86)^2+(E78+E87)^2+(E79+E88)^2+(E80+E89)^2+(E81+E90)^2/6)-B93</f>
        <v>2595871.4585999995</v>
      </c>
      <c r="J78" s="31">
        <f t="shared" si="26"/>
        <v>324483.93232499994</v>
      </c>
      <c r="K78" s="31">
        <f>J78/$J$16</f>
        <v>61527.314785604794</v>
      </c>
      <c r="L78" s="31">
        <f>FINV(0.05,H78,$H$16)</f>
        <v>2.2253399674380931</v>
      </c>
      <c r="M78" s="31" t="str">
        <f>IF(K78&gt;=L78, "S", "NS")</f>
        <v>S</v>
      </c>
      <c r="N78" s="39"/>
      <c r="O78" s="33">
        <v>2</v>
      </c>
      <c r="P78" s="31">
        <f t="shared" ref="P78:P85" si="28">(F74+F83)/2</f>
        <v>103.23333333333332</v>
      </c>
      <c r="Q78" s="49">
        <f t="shared" ref="Q78:Q84" si="29">RANK(P78,P$77:P$85,0)</f>
        <v>5</v>
      </c>
      <c r="R78" s="52">
        <v>5</v>
      </c>
      <c r="S78" s="41"/>
    </row>
    <row r="79" spans="1:19" x14ac:dyDescent="0.25">
      <c r="A79" s="32" t="s">
        <v>92</v>
      </c>
      <c r="B79" s="57">
        <f t="shared" si="23"/>
        <v>103.7</v>
      </c>
      <c r="C79" s="57">
        <f t="shared" si="23"/>
        <v>100.3</v>
      </c>
      <c r="D79" s="57">
        <f t="shared" si="23"/>
        <v>103.5</v>
      </c>
      <c r="E79" s="31">
        <f t="shared" si="24"/>
        <v>307.5</v>
      </c>
      <c r="F79" s="31">
        <f t="shared" si="25"/>
        <v>102.5</v>
      </c>
      <c r="G79" s="26" t="s">
        <v>110</v>
      </c>
      <c r="H79" s="31">
        <f>H77*H78</f>
        <v>8</v>
      </c>
      <c r="I79" s="31">
        <f>I76-(I77+I78)</f>
        <v>-2580953.4721407401</v>
      </c>
      <c r="J79" s="31">
        <f t="shared" si="26"/>
        <v>-322619.18401759252</v>
      </c>
      <c r="K79" s="44">
        <f>J79/$J$16</f>
        <v>-61173.728845975384</v>
      </c>
      <c r="L79" s="31">
        <f>FINV(0.05,H79,$H$16)</f>
        <v>2.2253399674380931</v>
      </c>
      <c r="M79" s="31" t="str">
        <f t="shared" ref="M79" si="30">IF(K79&gt;=L79, "S", "NS")</f>
        <v>NS</v>
      </c>
      <c r="N79" s="39"/>
      <c r="O79" s="33">
        <v>3</v>
      </c>
      <c r="P79" s="31">
        <f t="shared" si="28"/>
        <v>116.21000000000001</v>
      </c>
      <c r="Q79" s="49">
        <f t="shared" si="29"/>
        <v>2</v>
      </c>
      <c r="R79" s="52">
        <v>2</v>
      </c>
      <c r="S79" s="41"/>
    </row>
    <row r="80" spans="1:19" x14ac:dyDescent="0.25">
      <c r="A80" s="32" t="s">
        <v>93</v>
      </c>
      <c r="B80" s="57">
        <f t="shared" si="23"/>
        <v>112.3</v>
      </c>
      <c r="C80" s="57">
        <f t="shared" si="23"/>
        <v>107.1</v>
      </c>
      <c r="D80" s="57">
        <f t="shared" si="23"/>
        <v>107.80000000000001</v>
      </c>
      <c r="E80" s="31">
        <f t="shared" si="24"/>
        <v>327.2</v>
      </c>
      <c r="F80" s="31">
        <f t="shared" si="25"/>
        <v>109.06666666666666</v>
      </c>
      <c r="G80" s="45" t="s">
        <v>23</v>
      </c>
      <c r="H80" s="31">
        <f>((B71-1)*(B69*B70-1))</f>
        <v>34</v>
      </c>
      <c r="I80" s="31">
        <f>D95</f>
        <v>574.72266666695941</v>
      </c>
      <c r="J80" s="31">
        <f t="shared" si="26"/>
        <v>16.903607843145863</v>
      </c>
      <c r="O80" s="33">
        <v>4</v>
      </c>
      <c r="P80" s="31">
        <f t="shared" si="28"/>
        <v>98.633333333333326</v>
      </c>
      <c r="Q80" s="49">
        <f t="shared" si="29"/>
        <v>7</v>
      </c>
      <c r="R80" s="52">
        <v>7</v>
      </c>
      <c r="S80" s="41"/>
    </row>
    <row r="81" spans="1:18" x14ac:dyDescent="0.25">
      <c r="A81" s="32" t="s">
        <v>94</v>
      </c>
      <c r="B81" s="57">
        <f t="shared" si="23"/>
        <v>96.4</v>
      </c>
      <c r="C81" s="57">
        <f t="shared" si="23"/>
        <v>97.3</v>
      </c>
      <c r="D81" s="57">
        <f t="shared" si="23"/>
        <v>93.6</v>
      </c>
      <c r="E81" s="31">
        <f t="shared" si="24"/>
        <v>287.29999999999995</v>
      </c>
      <c r="F81" s="31">
        <f t="shared" si="25"/>
        <v>95.766666666666652</v>
      </c>
      <c r="G81" s="44" t="s">
        <v>4</v>
      </c>
      <c r="H81" s="31">
        <f>SUM(H75:H80)-H76</f>
        <v>53</v>
      </c>
      <c r="I81" s="31">
        <f>B94</f>
        <v>15658.190933333361</v>
      </c>
      <c r="K81" s="31" t="s">
        <v>111</v>
      </c>
      <c r="L81" s="41">
        <f>TINV(0.05,34)</f>
        <v>2.0322445093177191</v>
      </c>
      <c r="O81" s="33">
        <v>5</v>
      </c>
      <c r="P81" s="31">
        <f t="shared" si="28"/>
        <v>111.00000000000001</v>
      </c>
      <c r="Q81" s="49">
        <f t="shared" si="29"/>
        <v>3</v>
      </c>
      <c r="R81" s="51">
        <v>3</v>
      </c>
    </row>
    <row r="82" spans="1:18" x14ac:dyDescent="0.25">
      <c r="A82" s="32" t="s">
        <v>95</v>
      </c>
      <c r="B82" s="57">
        <f t="shared" si="23"/>
        <v>62.2</v>
      </c>
      <c r="C82" s="57">
        <f t="shared" si="23"/>
        <v>48.800000000000004</v>
      </c>
      <c r="D82" s="57">
        <f t="shared" si="23"/>
        <v>62</v>
      </c>
      <c r="E82" s="31">
        <f t="shared" si="24"/>
        <v>173</v>
      </c>
      <c r="F82" s="31">
        <f t="shared" si="25"/>
        <v>57.666666666666664</v>
      </c>
      <c r="G82" s="34" t="s">
        <v>14</v>
      </c>
      <c r="H82" s="31">
        <f>SQRT(J80/3)</f>
        <v>2.3737177481148191</v>
      </c>
      <c r="O82" s="33">
        <v>6</v>
      </c>
      <c r="P82" s="31">
        <f t="shared" si="28"/>
        <v>120.23333333333332</v>
      </c>
      <c r="Q82" s="49">
        <f t="shared" si="29"/>
        <v>1</v>
      </c>
      <c r="R82" s="52">
        <v>1</v>
      </c>
    </row>
    <row r="83" spans="1:18" x14ac:dyDescent="0.25">
      <c r="A83" s="32" t="s">
        <v>96</v>
      </c>
      <c r="B83" s="57">
        <f t="shared" si="23"/>
        <v>99</v>
      </c>
      <c r="C83" s="57">
        <f t="shared" si="23"/>
        <v>100.6</v>
      </c>
      <c r="D83" s="57">
        <f t="shared" si="23"/>
        <v>101.6</v>
      </c>
      <c r="E83" s="31">
        <f t="shared" si="24"/>
        <v>301.2</v>
      </c>
      <c r="F83" s="31">
        <f t="shared" si="25"/>
        <v>100.39999999999999</v>
      </c>
      <c r="G83" s="34" t="s">
        <v>16</v>
      </c>
      <c r="H83" s="31">
        <f>(SQRT((2*J80)/3))*L81</f>
        <v>6.8221306719496875</v>
      </c>
      <c r="O83" s="33">
        <v>7</v>
      </c>
      <c r="P83" s="31">
        <f t="shared" si="28"/>
        <v>100.69999999999999</v>
      </c>
      <c r="Q83" s="49">
        <f t="shared" si="29"/>
        <v>6</v>
      </c>
      <c r="R83" s="52">
        <v>6</v>
      </c>
    </row>
    <row r="84" spans="1:18" x14ac:dyDescent="0.25">
      <c r="A84" s="32" t="s">
        <v>97</v>
      </c>
      <c r="B84" s="57">
        <f t="shared" si="23"/>
        <v>117.6</v>
      </c>
      <c r="C84" s="57">
        <f t="shared" si="23"/>
        <v>111.39999999999999</v>
      </c>
      <c r="D84" s="57">
        <f t="shared" si="23"/>
        <v>115.6</v>
      </c>
      <c r="E84" s="31">
        <f t="shared" si="24"/>
        <v>344.6</v>
      </c>
      <c r="F84" s="31">
        <f t="shared" si="25"/>
        <v>114.86666666666667</v>
      </c>
      <c r="G84" s="34" t="s">
        <v>29</v>
      </c>
      <c r="H84" s="31">
        <f>((SQRT(J80))/F91)*100</f>
        <v>4.0545459975746354</v>
      </c>
      <c r="O84" s="33">
        <v>8</v>
      </c>
      <c r="P84" s="31">
        <f t="shared" si="28"/>
        <v>107.85</v>
      </c>
      <c r="Q84" s="49">
        <f t="shared" si="29"/>
        <v>4</v>
      </c>
      <c r="R84" s="51">
        <v>4</v>
      </c>
    </row>
    <row r="85" spans="1:18" x14ac:dyDescent="0.25">
      <c r="A85" s="32" t="s">
        <v>98</v>
      </c>
      <c r="B85" s="57">
        <f t="shared" si="23"/>
        <v>95.7</v>
      </c>
      <c r="C85" s="57">
        <f t="shared" si="23"/>
        <v>95</v>
      </c>
      <c r="D85" s="57">
        <f t="shared" si="23"/>
        <v>102.9</v>
      </c>
      <c r="E85" s="31">
        <f t="shared" si="24"/>
        <v>293.60000000000002</v>
      </c>
      <c r="F85" s="31">
        <f t="shared" si="25"/>
        <v>97.866666666666674</v>
      </c>
      <c r="O85" s="33">
        <v>9</v>
      </c>
      <c r="P85" s="31">
        <f t="shared" si="28"/>
        <v>94.816666666666663</v>
      </c>
      <c r="Q85" s="49">
        <f>RANK(P85,P$77:P$85,0)</f>
        <v>8</v>
      </c>
      <c r="R85" s="52">
        <v>8</v>
      </c>
    </row>
    <row r="86" spans="1:18" x14ac:dyDescent="0.25">
      <c r="A86" s="32" t="s">
        <v>99</v>
      </c>
      <c r="B86" s="57">
        <f t="shared" si="23"/>
        <v>100</v>
      </c>
      <c r="C86" s="57">
        <f t="shared" si="23"/>
        <v>114.80000000000001</v>
      </c>
      <c r="D86" s="57">
        <f t="shared" si="23"/>
        <v>109.3</v>
      </c>
      <c r="E86" s="31">
        <f t="shared" si="24"/>
        <v>324.10000000000002</v>
      </c>
      <c r="F86" s="31">
        <f t="shared" si="25"/>
        <v>108.03333333333335</v>
      </c>
      <c r="O86" s="30" t="s">
        <v>14</v>
      </c>
      <c r="P86" s="42">
        <f>SQRT(J80/(3*2))</f>
        <v>1.6784719163148498</v>
      </c>
      <c r="Q86" s="49"/>
    </row>
    <row r="87" spans="1:18" x14ac:dyDescent="0.25">
      <c r="A87" s="32" t="s">
        <v>100</v>
      </c>
      <c r="B87" s="57">
        <f t="shared" si="23"/>
        <v>118.39999999999999</v>
      </c>
      <c r="C87" s="57">
        <f t="shared" si="23"/>
        <v>124</v>
      </c>
      <c r="D87" s="57">
        <f t="shared" si="23"/>
        <v>113.7</v>
      </c>
      <c r="E87" s="31">
        <f t="shared" si="24"/>
        <v>356.09999999999997</v>
      </c>
      <c r="F87" s="31">
        <f t="shared" si="25"/>
        <v>118.69999999999999</v>
      </c>
      <c r="N87" s="30" t="s">
        <v>109</v>
      </c>
      <c r="O87" s="30" t="s">
        <v>16</v>
      </c>
      <c r="P87" s="42">
        <f>SQRT((2*J80)/(3*2))*L81</f>
        <v>4.8239748602763619</v>
      </c>
      <c r="Q87" s="49"/>
    </row>
    <row r="88" spans="1:18" x14ac:dyDescent="0.25">
      <c r="A88" s="32" t="s">
        <v>101</v>
      </c>
      <c r="B88" s="57">
        <f t="shared" si="23"/>
        <v>99.699999999999989</v>
      </c>
      <c r="C88" s="57">
        <f t="shared" si="23"/>
        <v>101.39999999999999</v>
      </c>
      <c r="D88" s="57">
        <f t="shared" si="23"/>
        <v>95.6</v>
      </c>
      <c r="E88" s="31">
        <f t="shared" si="24"/>
        <v>296.69999999999993</v>
      </c>
      <c r="F88" s="31">
        <f>E88/3</f>
        <v>98.899999999999977</v>
      </c>
      <c r="Q88" s="49"/>
    </row>
    <row r="89" spans="1:18" x14ac:dyDescent="0.25">
      <c r="A89" s="32" t="s">
        <v>102</v>
      </c>
      <c r="B89" s="57">
        <f t="shared" ref="B89:D90" si="31">(B25+B57)</f>
        <v>103.1</v>
      </c>
      <c r="C89" s="57">
        <f t="shared" si="31"/>
        <v>107.39999999999999</v>
      </c>
      <c r="D89" s="57">
        <f t="shared" si="31"/>
        <v>109.4</v>
      </c>
      <c r="E89" s="31">
        <f t="shared" si="24"/>
        <v>319.89999999999998</v>
      </c>
      <c r="F89" s="31">
        <f t="shared" ref="F89:F90" si="32">E89/3</f>
        <v>106.63333333333333</v>
      </c>
    </row>
    <row r="90" spans="1:18" x14ac:dyDescent="0.25">
      <c r="A90" s="32" t="s">
        <v>103</v>
      </c>
      <c r="B90" s="57">
        <f t="shared" si="31"/>
        <v>94.6</v>
      </c>
      <c r="C90" s="57">
        <f t="shared" si="31"/>
        <v>96.1</v>
      </c>
      <c r="D90" s="57">
        <f t="shared" si="31"/>
        <v>90.9</v>
      </c>
      <c r="E90" s="31">
        <f t="shared" si="24"/>
        <v>281.60000000000002</v>
      </c>
      <c r="F90" s="31">
        <f t="shared" si="32"/>
        <v>93.866666666666674</v>
      </c>
    </row>
    <row r="91" spans="1:18" x14ac:dyDescent="0.25">
      <c r="A91" s="30" t="s">
        <v>4</v>
      </c>
      <c r="B91" s="31">
        <f>SUM(B73:B90)</f>
        <v>1823.6</v>
      </c>
      <c r="C91" s="31">
        <f t="shared" ref="C91:D91" si="33">SUM(C73:C90)</f>
        <v>1829.36</v>
      </c>
      <c r="D91" s="31">
        <f t="shared" si="33"/>
        <v>1822.7600000000002</v>
      </c>
      <c r="E91" s="31">
        <f>SUM(E73:E90)</f>
        <v>5475.72</v>
      </c>
      <c r="F91" s="31">
        <f>AVERAGE(B73:D90)</f>
        <v>101.40222222222222</v>
      </c>
    </row>
    <row r="92" spans="1:18" x14ac:dyDescent="0.25">
      <c r="A92" s="30" t="s">
        <v>5</v>
      </c>
      <c r="B92" s="31">
        <f>B91/18</f>
        <v>101.3111111111111</v>
      </c>
      <c r="C92" s="31">
        <f>C91/18</f>
        <v>101.63111111111111</v>
      </c>
      <c r="D92" s="31">
        <f>D91/18</f>
        <v>101.26444444444445</v>
      </c>
    </row>
    <row r="93" spans="1:18" x14ac:dyDescent="0.25">
      <c r="A93" s="30" t="s">
        <v>26</v>
      </c>
      <c r="B93" s="31">
        <f>(E91*E91)/54</f>
        <v>555250.17626666673</v>
      </c>
      <c r="C93" s="31"/>
      <c r="D93" s="31"/>
    </row>
    <row r="94" spans="1:18" x14ac:dyDescent="0.25">
      <c r="A94" s="30" t="s">
        <v>27</v>
      </c>
      <c r="B94" s="31">
        <f>SUMSQ(B73:D90)-B93</f>
        <v>15658.190933333361</v>
      </c>
      <c r="C94" s="30" t="s">
        <v>28</v>
      </c>
      <c r="D94" s="31">
        <f>(SUMSQ(B91:D91)/18)-B93</f>
        <v>1.434133333270438</v>
      </c>
    </row>
    <row r="95" spans="1:18" x14ac:dyDescent="0.25">
      <c r="A95" s="30" t="s">
        <v>30</v>
      </c>
      <c r="B95" s="31">
        <f>(SUMSQ(E73:E90)/3)-B93</f>
        <v>15082.034133333131</v>
      </c>
      <c r="C95" s="30" t="s">
        <v>31</v>
      </c>
      <c r="D95" s="31">
        <f>B94-B95-D94</f>
        <v>574.72266666695941</v>
      </c>
    </row>
    <row r="99" spans="1:18" ht="15.75" x14ac:dyDescent="0.25">
      <c r="C99" s="56" t="s">
        <v>129</v>
      </c>
    </row>
    <row r="101" spans="1:18" x14ac:dyDescent="0.25">
      <c r="A101" s="36" t="s">
        <v>104</v>
      </c>
      <c r="B101" s="38">
        <v>2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5"/>
      <c r="N101" s="35"/>
      <c r="O101" s="39"/>
      <c r="P101" s="39"/>
    </row>
    <row r="102" spans="1:18" x14ac:dyDescent="0.25">
      <c r="A102" s="36" t="s">
        <v>105</v>
      </c>
      <c r="B102" s="38">
        <v>9</v>
      </c>
      <c r="C102" s="39" t="s">
        <v>107</v>
      </c>
      <c r="D102" s="39">
        <v>18</v>
      </c>
      <c r="E102" s="39"/>
      <c r="F102" s="39"/>
      <c r="G102" s="39"/>
      <c r="H102" s="39"/>
      <c r="I102" s="39"/>
      <c r="J102" s="39"/>
      <c r="K102" s="39"/>
      <c r="L102" s="39"/>
      <c r="M102" s="35"/>
      <c r="N102" s="35"/>
      <c r="O102" s="39"/>
      <c r="P102" s="39"/>
    </row>
    <row r="103" spans="1:18" x14ac:dyDescent="0.25">
      <c r="A103" s="37" t="s">
        <v>106</v>
      </c>
      <c r="B103" s="40">
        <v>3</v>
      </c>
    </row>
    <row r="104" spans="1:18" x14ac:dyDescent="0.25">
      <c r="A104" s="46" t="s">
        <v>0</v>
      </c>
      <c r="B104" s="30" t="s">
        <v>1</v>
      </c>
      <c r="C104" s="30" t="s">
        <v>2</v>
      </c>
      <c r="D104" s="30" t="s">
        <v>3</v>
      </c>
      <c r="E104" s="30" t="s">
        <v>4</v>
      </c>
      <c r="F104" s="30" t="s">
        <v>5</v>
      </c>
      <c r="O104" s="41" t="s">
        <v>7</v>
      </c>
      <c r="R104" s="41"/>
    </row>
    <row r="105" spans="1:18" x14ac:dyDescent="0.25">
      <c r="A105" s="32" t="s">
        <v>86</v>
      </c>
      <c r="B105" s="58">
        <f>(B9/B73)*100</f>
        <v>41.471048513302037</v>
      </c>
      <c r="C105" s="58">
        <f t="shared" ref="C105:D105" si="34">(C9/C73)*100</f>
        <v>39.07284768211921</v>
      </c>
      <c r="D105" s="58">
        <f t="shared" si="34"/>
        <v>34.573444515715202</v>
      </c>
      <c r="E105" s="31">
        <f>SUM(B105:D105)</f>
        <v>115.11734071113645</v>
      </c>
      <c r="F105" s="31">
        <f>E105/3</f>
        <v>38.372446903712152</v>
      </c>
      <c r="H105" s="47"/>
      <c r="I105" s="47"/>
      <c r="J105" s="47" t="s">
        <v>6</v>
      </c>
      <c r="K105" s="47"/>
      <c r="L105" s="47"/>
      <c r="M105" s="47"/>
      <c r="N105" s="47"/>
      <c r="O105" s="33">
        <v>1</v>
      </c>
      <c r="P105" s="42">
        <f>SUM(F105:F113)/9</f>
        <v>39.080680165953559</v>
      </c>
      <c r="Q105" s="49">
        <f>RANK(P105,P$105:P$106,0)</f>
        <v>1</v>
      </c>
      <c r="R105" s="41"/>
    </row>
    <row r="106" spans="1:18" x14ac:dyDescent="0.25">
      <c r="A106" s="32" t="s">
        <v>87</v>
      </c>
      <c r="B106" s="58">
        <f t="shared" ref="B106:D121" si="35">(B10/B74)*100</f>
        <v>38.861138861138862</v>
      </c>
      <c r="C106" s="58">
        <f t="shared" si="35"/>
        <v>38.929889298892988</v>
      </c>
      <c r="D106" s="58">
        <f t="shared" si="35"/>
        <v>39.653600729261626</v>
      </c>
      <c r="E106" s="31">
        <f t="shared" ref="E106:E122" si="36">SUM(B106:D106)</f>
        <v>117.44462888929348</v>
      </c>
      <c r="F106" s="31">
        <f t="shared" ref="F106:F119" si="37">E106/3</f>
        <v>39.148209629764494</v>
      </c>
      <c r="G106" s="31"/>
      <c r="H106" s="30" t="s">
        <v>8</v>
      </c>
      <c r="I106" s="30" t="s">
        <v>9</v>
      </c>
      <c r="J106" s="30" t="s">
        <v>10</v>
      </c>
      <c r="K106" s="30" t="s">
        <v>11</v>
      </c>
      <c r="L106" s="30" t="s">
        <v>12</v>
      </c>
      <c r="M106" s="30" t="s">
        <v>112</v>
      </c>
      <c r="N106" s="50"/>
      <c r="O106" s="33">
        <v>2</v>
      </c>
      <c r="P106" s="42">
        <f>SUM(F114:F122)/9</f>
        <v>38.638721277207438</v>
      </c>
      <c r="Q106" s="49">
        <f>RANK(P106,P$105:P$106,0)</f>
        <v>2</v>
      </c>
      <c r="R106" s="41"/>
    </row>
    <row r="107" spans="1:18" x14ac:dyDescent="0.25">
      <c r="A107" s="32" t="s">
        <v>88</v>
      </c>
      <c r="B107" s="58">
        <f t="shared" si="35"/>
        <v>41.361702127659576</v>
      </c>
      <c r="C107" s="58">
        <f t="shared" si="35"/>
        <v>40.38722826086957</v>
      </c>
      <c r="D107" s="58">
        <f t="shared" si="35"/>
        <v>39.011925042589439</v>
      </c>
      <c r="E107" s="31">
        <f t="shared" si="36"/>
        <v>120.76085543111859</v>
      </c>
      <c r="F107" s="31">
        <f t="shared" si="37"/>
        <v>40.253618477039531</v>
      </c>
      <c r="G107" s="31" t="s">
        <v>13</v>
      </c>
      <c r="H107" s="31">
        <f>B103-1</f>
        <v>2</v>
      </c>
      <c r="I107" s="31">
        <f>D126</f>
        <v>7.1538224760442972</v>
      </c>
      <c r="J107" s="31">
        <f>I107/H107</f>
        <v>3.5769112380221486</v>
      </c>
      <c r="K107" s="31">
        <f>J107/$J$16</f>
        <v>0.67823926480750474</v>
      </c>
      <c r="L107" s="31">
        <f>FINV(0.05,H107,$H$16)</f>
        <v>3.275897990672394</v>
      </c>
      <c r="M107" s="31" t="str">
        <f>IF(K107&gt;=L107, "S", "NS")</f>
        <v>NS</v>
      </c>
      <c r="N107" s="39"/>
      <c r="O107" s="30" t="s">
        <v>14</v>
      </c>
      <c r="P107" s="42">
        <f>SQRT(J112/(3*9))</f>
        <v>0.35237745739643189</v>
      </c>
      <c r="R107" s="41"/>
    </row>
    <row r="108" spans="1:18" x14ac:dyDescent="0.25">
      <c r="A108" s="32" t="s">
        <v>89</v>
      </c>
      <c r="B108" s="58">
        <f t="shared" si="35"/>
        <v>38.522954091816366</v>
      </c>
      <c r="C108" s="58">
        <f t="shared" si="35"/>
        <v>38.848920863309353</v>
      </c>
      <c r="D108" s="58">
        <f t="shared" si="35"/>
        <v>35.948361469712019</v>
      </c>
      <c r="E108" s="31">
        <f t="shared" si="36"/>
        <v>113.32023642483773</v>
      </c>
      <c r="F108" s="31">
        <f t="shared" si="37"/>
        <v>37.773412141612575</v>
      </c>
      <c r="G108" s="31" t="s">
        <v>15</v>
      </c>
      <c r="H108" s="31">
        <f>D102-1</f>
        <v>17</v>
      </c>
      <c r="I108" s="31">
        <f>B127</f>
        <v>78.219617053560796</v>
      </c>
      <c r="J108" s="31">
        <f t="shared" ref="J108:J112" si="38">I108/H108</f>
        <v>4.6011539443271054</v>
      </c>
      <c r="K108" s="31">
        <f>J108/$J$16</f>
        <v>0.87245197344962544</v>
      </c>
      <c r="L108" s="31">
        <f>FINV(0.05,H108,$H$16)</f>
        <v>1.9332068318040869</v>
      </c>
      <c r="M108" s="43" t="str">
        <f t="shared" ref="M108" si="39">IF(K108&gt;=L108, "S", "NS")</f>
        <v>NS</v>
      </c>
      <c r="N108" s="30" t="s">
        <v>113</v>
      </c>
      <c r="O108" s="30" t="s">
        <v>16</v>
      </c>
      <c r="P108" s="42">
        <f>SQRT((2*J112)/(3*9))*L113</f>
        <v>1.0127425900223583</v>
      </c>
      <c r="R108" s="41"/>
    </row>
    <row r="109" spans="1:18" x14ac:dyDescent="0.25">
      <c r="A109" s="32" t="s">
        <v>90</v>
      </c>
      <c r="B109" s="58">
        <f t="shared" si="35"/>
        <v>39.414802065404473</v>
      </c>
      <c r="C109" s="58">
        <f t="shared" si="35"/>
        <v>41.608391608391607</v>
      </c>
      <c r="D109" s="58">
        <f t="shared" si="35"/>
        <v>39.982030548068288</v>
      </c>
      <c r="E109" s="31">
        <f t="shared" si="36"/>
        <v>121.00522422186435</v>
      </c>
      <c r="F109" s="31">
        <f t="shared" si="37"/>
        <v>40.335074740621451</v>
      </c>
      <c r="G109" s="31" t="s">
        <v>108</v>
      </c>
      <c r="H109" s="31">
        <f>B101-1</f>
        <v>1</v>
      </c>
      <c r="I109" s="31">
        <f>(SUM(E105:E113)^2+SUM(E114:E122)^2)/27-B125</f>
        <v>2.6369234011217486</v>
      </c>
      <c r="J109" s="31">
        <f t="shared" si="38"/>
        <v>2.6369234011217486</v>
      </c>
      <c r="K109" s="31">
        <f>J109/$J$16</f>
        <v>0.50000261955604208</v>
      </c>
      <c r="L109" s="31">
        <f>FINV(0.05,H109,$H$16)</f>
        <v>4.1300177456520188</v>
      </c>
      <c r="M109" s="31" t="str">
        <f>IF(K109&gt;=L109, "S", "NS")</f>
        <v>NS</v>
      </c>
      <c r="N109" s="39"/>
      <c r="O109" s="33">
        <v>1</v>
      </c>
      <c r="P109" s="42">
        <f>(F105+F114)/2</f>
        <v>37.690111389472236</v>
      </c>
      <c r="Q109" s="49">
        <f>RANK(P109,P$109:P$117,0)</f>
        <v>9</v>
      </c>
      <c r="R109" s="51">
        <v>9</v>
      </c>
    </row>
    <row r="110" spans="1:18" x14ac:dyDescent="0.25">
      <c r="A110" s="32" t="s">
        <v>91</v>
      </c>
      <c r="B110" s="58">
        <f t="shared" si="35"/>
        <v>42.113821138211385</v>
      </c>
      <c r="C110" s="58">
        <f t="shared" si="35"/>
        <v>39.243498817966902</v>
      </c>
      <c r="D110" s="58">
        <f t="shared" si="35"/>
        <v>41.421143847487002</v>
      </c>
      <c r="E110" s="31">
        <f t="shared" si="36"/>
        <v>122.77846380366529</v>
      </c>
      <c r="F110" s="31">
        <f t="shared" si="37"/>
        <v>40.926154601221761</v>
      </c>
      <c r="G110" s="31" t="s">
        <v>109</v>
      </c>
      <c r="H110" s="31">
        <f>B102-1</f>
        <v>8</v>
      </c>
      <c r="I110" s="31">
        <f>((E105+E114)^2+(E106+E115)^2+(E107+E116)^2+(E108+E117)^2+(E109+E118)^2+(E110+E119)^2+(E111+E120)^2+(E112+E121)^2+(E113+E122)^2/6)-B125</f>
        <v>365392.61448911898</v>
      </c>
      <c r="J110" s="31">
        <f t="shared" si="38"/>
        <v>45674.076811139872</v>
      </c>
      <c r="K110" s="31">
        <f>J110/$J$16</f>
        <v>8660.5314517891838</v>
      </c>
      <c r="L110" s="31">
        <f>FINV(0.05,H110,$H$16)</f>
        <v>2.2253399674380931</v>
      </c>
      <c r="M110" s="31" t="str">
        <f>IF(K110&gt;=L110, "S", "NS")</f>
        <v>S</v>
      </c>
      <c r="N110" s="39"/>
      <c r="O110" s="33">
        <v>2</v>
      </c>
      <c r="P110" s="42">
        <f t="shared" ref="P110:P117" si="40">(F106+F115)/2</f>
        <v>38.286857462020706</v>
      </c>
      <c r="Q110" s="49">
        <f t="shared" ref="Q110:Q117" si="41">RANK(P110,P$109:P$117,0)</f>
        <v>5</v>
      </c>
      <c r="R110" s="52">
        <v>5</v>
      </c>
    </row>
    <row r="111" spans="1:18" x14ac:dyDescent="0.25">
      <c r="A111" s="32" t="s">
        <v>92</v>
      </c>
      <c r="B111" s="58">
        <f t="shared" si="35"/>
        <v>38.765670202507238</v>
      </c>
      <c r="C111" s="58">
        <f t="shared" si="35"/>
        <v>39.381854436689935</v>
      </c>
      <c r="D111" s="58">
        <f t="shared" si="35"/>
        <v>37.584541062801932</v>
      </c>
      <c r="E111" s="31">
        <f t="shared" si="36"/>
        <v>115.7320657019991</v>
      </c>
      <c r="F111" s="31">
        <f t="shared" si="37"/>
        <v>38.577355233999704</v>
      </c>
      <c r="G111" s="26" t="s">
        <v>110</v>
      </c>
      <c r="H111" s="31">
        <f>H109*H110</f>
        <v>8</v>
      </c>
      <c r="I111" s="31">
        <f>I108-(I109+I110)</f>
        <v>-365317.03179546649</v>
      </c>
      <c r="J111" s="31">
        <f t="shared" si="38"/>
        <v>-45664.628974433312</v>
      </c>
      <c r="K111" s="44">
        <f>J111/$J$16</f>
        <v>-8658.7399916730483</v>
      </c>
      <c r="L111" s="31">
        <f>FINV(0.05,H111,$H$16)</f>
        <v>2.2253399674380931</v>
      </c>
      <c r="M111" s="31" t="str">
        <f t="shared" ref="M111" si="42">IF(K111&gt;=L111, "S", "NS")</f>
        <v>NS</v>
      </c>
      <c r="N111" s="39"/>
      <c r="O111" s="33">
        <v>3</v>
      </c>
      <c r="P111" s="42">
        <f t="shared" si="40"/>
        <v>40.362035197809035</v>
      </c>
      <c r="Q111" s="49">
        <f t="shared" si="41"/>
        <v>2</v>
      </c>
      <c r="R111" s="52">
        <v>2</v>
      </c>
    </row>
    <row r="112" spans="1:18" x14ac:dyDescent="0.25">
      <c r="A112" s="32" t="s">
        <v>93</v>
      </c>
      <c r="B112" s="58">
        <f t="shared" si="35"/>
        <v>38.735529830810329</v>
      </c>
      <c r="C112" s="58">
        <f t="shared" si="35"/>
        <v>39.682539682539684</v>
      </c>
      <c r="D112" s="58">
        <f t="shared" si="35"/>
        <v>38.868274582560289</v>
      </c>
      <c r="E112" s="31">
        <f t="shared" si="36"/>
        <v>117.28634409591031</v>
      </c>
      <c r="F112" s="31">
        <f t="shared" si="37"/>
        <v>39.095448031970101</v>
      </c>
      <c r="G112" s="45" t="s">
        <v>23</v>
      </c>
      <c r="H112" s="31">
        <f>((B103-1)*(B101*B102-1))</f>
        <v>34</v>
      </c>
      <c r="I112" s="31">
        <f>D127</f>
        <v>113.98794293771789</v>
      </c>
      <c r="J112" s="31">
        <f t="shared" si="38"/>
        <v>3.3525865569917026</v>
      </c>
      <c r="O112" s="33">
        <v>4</v>
      </c>
      <c r="P112" s="42">
        <f t="shared" si="40"/>
        <v>38.040256517626851</v>
      </c>
      <c r="Q112" s="49">
        <f t="shared" si="41"/>
        <v>7</v>
      </c>
      <c r="R112" s="52">
        <v>7</v>
      </c>
    </row>
    <row r="113" spans="1:18" x14ac:dyDescent="0.25">
      <c r="A113" s="32" t="s">
        <v>94</v>
      </c>
      <c r="B113" s="58">
        <f t="shared" si="35"/>
        <v>37.863070539419084</v>
      </c>
      <c r="C113" s="58">
        <f t="shared" si="35"/>
        <v>36.690647482014391</v>
      </c>
      <c r="D113" s="58">
        <f t="shared" si="35"/>
        <v>37.179487179487182</v>
      </c>
      <c r="E113" s="31">
        <f t="shared" si="36"/>
        <v>111.73320520092065</v>
      </c>
      <c r="F113" s="31">
        <f t="shared" si="37"/>
        <v>37.244401733640217</v>
      </c>
      <c r="G113" s="44" t="s">
        <v>4</v>
      </c>
      <c r="H113" s="31">
        <f>SUM(H107:H112)-H108</f>
        <v>53</v>
      </c>
      <c r="I113" s="31">
        <f>B126</f>
        <v>199.36138246732298</v>
      </c>
      <c r="K113" s="31" t="s">
        <v>111</v>
      </c>
      <c r="L113" s="41">
        <f>TINV(0.05,34)</f>
        <v>2.0322445093177191</v>
      </c>
      <c r="O113" s="33">
        <v>5</v>
      </c>
      <c r="P113" s="42">
        <f t="shared" si="40"/>
        <v>39.351714102615233</v>
      </c>
      <c r="Q113" s="49">
        <f t="shared" si="41"/>
        <v>3</v>
      </c>
      <c r="R113" s="51">
        <v>3</v>
      </c>
    </row>
    <row r="114" spans="1:18" x14ac:dyDescent="0.25">
      <c r="A114" s="32" t="s">
        <v>95</v>
      </c>
      <c r="B114" s="58">
        <f t="shared" si="35"/>
        <v>42.60450160771704</v>
      </c>
      <c r="C114" s="58">
        <f t="shared" si="35"/>
        <v>31.967213114754095</v>
      </c>
      <c r="D114" s="58">
        <f t="shared" si="35"/>
        <v>36.451612903225808</v>
      </c>
      <c r="E114" s="31">
        <f t="shared" si="36"/>
        <v>111.02332762569695</v>
      </c>
      <c r="F114" s="31">
        <f t="shared" si="37"/>
        <v>37.007775875232319</v>
      </c>
      <c r="G114" s="34" t="s">
        <v>14</v>
      </c>
      <c r="H114" s="31">
        <f>SQRT(J112/3)</f>
        <v>1.0571323721892956</v>
      </c>
      <c r="O114" s="33">
        <v>6</v>
      </c>
      <c r="P114" s="42">
        <f t="shared" si="40"/>
        <v>40.797664270762581</v>
      </c>
      <c r="Q114" s="49">
        <f t="shared" si="41"/>
        <v>1</v>
      </c>
      <c r="R114" s="52">
        <v>1</v>
      </c>
    </row>
    <row r="115" spans="1:18" x14ac:dyDescent="0.25">
      <c r="A115" s="32" t="s">
        <v>96</v>
      </c>
      <c r="B115" s="58">
        <f t="shared" si="35"/>
        <v>38.888888888888893</v>
      </c>
      <c r="C115" s="58">
        <f t="shared" si="35"/>
        <v>36.182902584493043</v>
      </c>
      <c r="D115" s="58">
        <f t="shared" si="35"/>
        <v>37.204724409448822</v>
      </c>
      <c r="E115" s="31">
        <f t="shared" si="36"/>
        <v>112.27651588283075</v>
      </c>
      <c r="F115" s="31">
        <f t="shared" si="37"/>
        <v>37.425505294276917</v>
      </c>
      <c r="G115" s="34" t="s">
        <v>16</v>
      </c>
      <c r="H115" s="31">
        <f>(SQRT((2*J112)/3))*L113</f>
        <v>3.038227770067075</v>
      </c>
      <c r="O115" s="33">
        <v>7</v>
      </c>
      <c r="P115" s="42">
        <f t="shared" si="40"/>
        <v>38.252989697771064</v>
      </c>
      <c r="Q115" s="49">
        <f t="shared" si="41"/>
        <v>6</v>
      </c>
      <c r="R115" s="52">
        <v>6</v>
      </c>
    </row>
    <row r="116" spans="1:18" x14ac:dyDescent="0.25">
      <c r="A116" s="32" t="s">
        <v>97</v>
      </c>
      <c r="B116" s="58">
        <f t="shared" si="35"/>
        <v>40.646258503401363</v>
      </c>
      <c r="C116" s="58">
        <f t="shared" si="35"/>
        <v>42.010771992818675</v>
      </c>
      <c r="D116" s="58">
        <f t="shared" si="35"/>
        <v>38.754325259515568</v>
      </c>
      <c r="E116" s="31">
        <f t="shared" si="36"/>
        <v>121.41135575573561</v>
      </c>
      <c r="F116" s="31">
        <f t="shared" si="37"/>
        <v>40.47045191857854</v>
      </c>
      <c r="G116" s="34" t="s">
        <v>29</v>
      </c>
      <c r="H116" s="31">
        <f>((SQRT(J112))/F123)*100</f>
        <v>4.7118401453381074</v>
      </c>
      <c r="O116" s="33">
        <v>8</v>
      </c>
      <c r="P116" s="42">
        <f t="shared" si="40"/>
        <v>39.227434949037807</v>
      </c>
      <c r="Q116" s="49">
        <f t="shared" si="41"/>
        <v>4</v>
      </c>
      <c r="R116" s="51">
        <v>4</v>
      </c>
    </row>
    <row r="117" spans="1:18" x14ac:dyDescent="0.25">
      <c r="A117" s="32" t="s">
        <v>98</v>
      </c>
      <c r="B117" s="58">
        <f t="shared" si="35"/>
        <v>38.45350052246603</v>
      </c>
      <c r="C117" s="58">
        <f t="shared" si="35"/>
        <v>37.78947368421052</v>
      </c>
      <c r="D117" s="58">
        <f t="shared" si="35"/>
        <v>38.67832847424684</v>
      </c>
      <c r="E117" s="31">
        <f t="shared" si="36"/>
        <v>114.92130268092339</v>
      </c>
      <c r="F117" s="31">
        <f t="shared" si="37"/>
        <v>38.307100893641127</v>
      </c>
      <c r="O117" s="33">
        <v>9</v>
      </c>
      <c r="P117" s="42">
        <f t="shared" si="40"/>
        <v>37.728242907108964</v>
      </c>
      <c r="Q117" s="49">
        <f t="shared" si="41"/>
        <v>8</v>
      </c>
      <c r="R117" s="52">
        <v>8</v>
      </c>
    </row>
    <row r="118" spans="1:18" x14ac:dyDescent="0.25">
      <c r="A118" s="32" t="s">
        <v>99</v>
      </c>
      <c r="B118" s="58">
        <f t="shared" si="35"/>
        <v>36.5</v>
      </c>
      <c r="C118" s="58">
        <f t="shared" si="35"/>
        <v>39.721254355400696</v>
      </c>
      <c r="D118" s="58">
        <f t="shared" si="35"/>
        <v>38.88380603842635</v>
      </c>
      <c r="E118" s="31">
        <f t="shared" si="36"/>
        <v>115.10506039382705</v>
      </c>
      <c r="F118" s="31">
        <f t="shared" si="37"/>
        <v>38.368353464609015</v>
      </c>
      <c r="O118" s="30" t="s">
        <v>14</v>
      </c>
      <c r="P118" s="42">
        <f>SQRT(J112/(3*2))</f>
        <v>0.7475054689868722</v>
      </c>
      <c r="Q118" s="49"/>
    </row>
    <row r="119" spans="1:18" x14ac:dyDescent="0.25">
      <c r="A119" s="32" t="s">
        <v>100</v>
      </c>
      <c r="B119" s="58">
        <f t="shared" si="35"/>
        <v>39.527027027027032</v>
      </c>
      <c r="C119" s="58">
        <f t="shared" si="35"/>
        <v>40.967741935483872</v>
      </c>
      <c r="D119" s="58">
        <f t="shared" si="35"/>
        <v>41.512752858399296</v>
      </c>
      <c r="E119" s="31">
        <f t="shared" si="36"/>
        <v>122.0075218209102</v>
      </c>
      <c r="F119" s="31">
        <f t="shared" si="37"/>
        <v>40.669173940303402</v>
      </c>
      <c r="N119" s="30" t="s">
        <v>109</v>
      </c>
      <c r="O119" s="30" t="s">
        <v>16</v>
      </c>
      <c r="P119" s="42">
        <f>SQRT((2*J112)/(3*2))*L113</f>
        <v>2.1483514590037114</v>
      </c>
      <c r="Q119" s="49"/>
    </row>
    <row r="120" spans="1:18" x14ac:dyDescent="0.25">
      <c r="A120" s="32" t="s">
        <v>101</v>
      </c>
      <c r="B120" s="58">
        <f t="shared" si="35"/>
        <v>38.014042126379138</v>
      </c>
      <c r="C120" s="58">
        <f t="shared" si="35"/>
        <v>37.278106508875744</v>
      </c>
      <c r="D120" s="58">
        <f t="shared" si="35"/>
        <v>38.493723849372387</v>
      </c>
      <c r="E120" s="31">
        <f t="shared" si="36"/>
        <v>113.78587248462726</v>
      </c>
      <c r="F120" s="31">
        <f>E120/3</f>
        <v>37.928624161542423</v>
      </c>
      <c r="Q120" s="49"/>
    </row>
    <row r="121" spans="1:18" x14ac:dyDescent="0.25">
      <c r="A121" s="32" t="s">
        <v>102</v>
      </c>
      <c r="B121" s="58">
        <f t="shared" si="35"/>
        <v>39.670223084384091</v>
      </c>
      <c r="C121" s="58">
        <f t="shared" si="35"/>
        <v>38.919925512104278</v>
      </c>
      <c r="D121" s="58">
        <f t="shared" si="35"/>
        <v>39.488117001828158</v>
      </c>
      <c r="E121" s="31">
        <f t="shared" si="36"/>
        <v>118.07826559831653</v>
      </c>
      <c r="F121" s="31">
        <f t="shared" ref="F121:F122" si="43">E121/3</f>
        <v>39.359421866105514</v>
      </c>
    </row>
    <row r="122" spans="1:18" x14ac:dyDescent="0.25">
      <c r="A122" s="32" t="s">
        <v>103</v>
      </c>
      <c r="B122" s="58">
        <f t="shared" ref="B122:D122" si="44">(B26/B90)*100</f>
        <v>36.786469344608882</v>
      </c>
      <c r="C122" s="58">
        <f t="shared" si="44"/>
        <v>39.125910509885543</v>
      </c>
      <c r="D122" s="58">
        <f t="shared" si="44"/>
        <v>38.723872387238721</v>
      </c>
      <c r="E122" s="31">
        <f t="shared" si="36"/>
        <v>114.63625224173313</v>
      </c>
      <c r="F122" s="31">
        <f t="shared" si="43"/>
        <v>38.212084080577711</v>
      </c>
    </row>
    <row r="123" spans="1:18" x14ac:dyDescent="0.25">
      <c r="A123" s="30" t="s">
        <v>4</v>
      </c>
      <c r="B123" s="31">
        <f>SUM(B105:B122)</f>
        <v>708.20064847514197</v>
      </c>
      <c r="C123" s="31">
        <f t="shared" ref="C123:D123" si="45">SUM(C105:C122)</f>
        <v>697.80911833082018</v>
      </c>
      <c r="D123" s="31">
        <f t="shared" si="45"/>
        <v>692.41407215938489</v>
      </c>
      <c r="E123" s="31">
        <f>SUM(E105:E122)</f>
        <v>2098.4238389653469</v>
      </c>
      <c r="F123" s="31">
        <f>AVERAGE(B105:D122)</f>
        <v>38.859700721580509</v>
      </c>
    </row>
    <row r="124" spans="1:18" x14ac:dyDescent="0.25">
      <c r="A124" s="30" t="s">
        <v>5</v>
      </c>
      <c r="B124" s="31">
        <f>B123/18</f>
        <v>39.344480470841219</v>
      </c>
      <c r="C124" s="31">
        <f>C123/18</f>
        <v>38.767173240601124</v>
      </c>
      <c r="D124" s="31">
        <f>D123/18</f>
        <v>38.467448453299163</v>
      </c>
    </row>
    <row r="125" spans="1:18" x14ac:dyDescent="0.25">
      <c r="A125" s="30" t="s">
        <v>26</v>
      </c>
      <c r="B125" s="31">
        <f>(E123*E123)/54</f>
        <v>81544.122369223405</v>
      </c>
      <c r="C125" s="31"/>
      <c r="D125" s="31"/>
    </row>
    <row r="126" spans="1:18" x14ac:dyDescent="0.25">
      <c r="A126" s="30" t="s">
        <v>27</v>
      </c>
      <c r="B126" s="31">
        <f>SUMSQ(B105:D122)-B125</f>
        <v>199.36138246732298</v>
      </c>
      <c r="C126" s="30" t="s">
        <v>28</v>
      </c>
      <c r="D126" s="31">
        <f>(SUMSQ(B123:D123)/18)-B125</f>
        <v>7.1538224760442972</v>
      </c>
    </row>
    <row r="127" spans="1:18" x14ac:dyDescent="0.25">
      <c r="A127" s="30" t="s">
        <v>30</v>
      </c>
      <c r="B127" s="31">
        <f>(SUMSQ(E105:E122)/3)-B125</f>
        <v>78.219617053560796</v>
      </c>
      <c r="C127" s="30" t="s">
        <v>31</v>
      </c>
      <c r="D127" s="31">
        <f>B126-B127-D126</f>
        <v>113.98794293771789</v>
      </c>
    </row>
    <row r="131" spans="1:18" x14ac:dyDescent="0.25">
      <c r="C131" s="66">
        <v>2020</v>
      </c>
    </row>
    <row r="132" spans="1:18" ht="15.75" x14ac:dyDescent="0.25">
      <c r="C132" s="56" t="s">
        <v>126</v>
      </c>
    </row>
    <row r="134" spans="1:18" x14ac:dyDescent="0.25">
      <c r="A134" s="36" t="s">
        <v>104</v>
      </c>
      <c r="B134" s="38">
        <v>2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5"/>
      <c r="N134" s="35"/>
      <c r="O134" s="39"/>
      <c r="P134" s="39"/>
    </row>
    <row r="135" spans="1:18" x14ac:dyDescent="0.25">
      <c r="A135" s="36" t="s">
        <v>105</v>
      </c>
      <c r="B135" s="38">
        <v>9</v>
      </c>
      <c r="C135" s="39" t="s">
        <v>107</v>
      </c>
      <c r="D135" s="39">
        <v>18</v>
      </c>
      <c r="E135" s="39"/>
      <c r="F135" s="39"/>
      <c r="G135" s="39"/>
      <c r="H135" s="39"/>
      <c r="I135" s="39"/>
      <c r="J135" s="39"/>
      <c r="K135" s="39"/>
      <c r="L135" s="39"/>
      <c r="M135" s="35"/>
      <c r="N135" s="35"/>
      <c r="O135" s="39"/>
      <c r="P135" s="39"/>
    </row>
    <row r="136" spans="1:18" x14ac:dyDescent="0.25">
      <c r="A136" s="37" t="s">
        <v>106</v>
      </c>
      <c r="B136" s="40">
        <v>3</v>
      </c>
    </row>
    <row r="137" spans="1:18" x14ac:dyDescent="0.25">
      <c r="A137" s="46" t="s">
        <v>0</v>
      </c>
      <c r="B137" s="30" t="s">
        <v>1</v>
      </c>
      <c r="C137" s="30" t="s">
        <v>2</v>
      </c>
      <c r="D137" s="30" t="s">
        <v>3</v>
      </c>
      <c r="E137" s="30" t="s">
        <v>4</v>
      </c>
      <c r="F137" s="30" t="s">
        <v>5</v>
      </c>
      <c r="O137" s="41" t="s">
        <v>7</v>
      </c>
    </row>
    <row r="138" spans="1:18" x14ac:dyDescent="0.25">
      <c r="A138" s="32" t="s">
        <v>86</v>
      </c>
      <c r="B138" s="55">
        <v>26.5</v>
      </c>
      <c r="C138" s="55">
        <v>21.8</v>
      </c>
      <c r="D138" s="55">
        <v>23.56</v>
      </c>
      <c r="E138" s="31">
        <f t="shared" ref="E138:E155" si="46">SUM(B138:D138)</f>
        <v>71.86</v>
      </c>
      <c r="F138" s="31">
        <f>E138/3</f>
        <v>23.953333333333333</v>
      </c>
      <c r="H138" s="47"/>
      <c r="I138" s="47"/>
      <c r="J138" s="47" t="s">
        <v>6</v>
      </c>
      <c r="K138" s="47"/>
      <c r="L138" s="47"/>
      <c r="M138" s="47"/>
      <c r="N138" s="47"/>
      <c r="O138" s="33">
        <v>1</v>
      </c>
      <c r="P138" s="31">
        <f>SUM(F138:F146)/9</f>
        <v>41.285925925925923</v>
      </c>
      <c r="Q138" s="49">
        <f>RANK(P138,P$138:P$139,0)</f>
        <v>1</v>
      </c>
      <c r="R138" s="66">
        <v>1</v>
      </c>
    </row>
    <row r="139" spans="1:18" x14ac:dyDescent="0.25">
      <c r="A139" s="32" t="s">
        <v>87</v>
      </c>
      <c r="B139" s="55">
        <v>39.56</v>
      </c>
      <c r="C139" s="55">
        <v>43.6</v>
      </c>
      <c r="D139" s="55">
        <v>44.5</v>
      </c>
      <c r="E139" s="31">
        <f t="shared" si="46"/>
        <v>127.66</v>
      </c>
      <c r="F139" s="31">
        <f t="shared" ref="F139:F152" si="47">E139/3</f>
        <v>42.553333333333335</v>
      </c>
      <c r="G139" s="31"/>
      <c r="H139" s="30" t="s">
        <v>8</v>
      </c>
      <c r="I139" s="30" t="s">
        <v>9</v>
      </c>
      <c r="J139" s="30" t="s">
        <v>10</v>
      </c>
      <c r="K139" s="30" t="s">
        <v>11</v>
      </c>
      <c r="L139" s="30" t="s">
        <v>12</v>
      </c>
      <c r="M139" s="30" t="s">
        <v>112</v>
      </c>
      <c r="N139" s="50"/>
      <c r="O139" s="33">
        <v>2</v>
      </c>
      <c r="P139" s="31">
        <f>SUM(F147:F155)/9</f>
        <v>39.68333333333333</v>
      </c>
      <c r="Q139" s="49">
        <f>RANK(P139,P$138:P$139,0)</f>
        <v>2</v>
      </c>
      <c r="R139" s="66">
        <v>2</v>
      </c>
    </row>
    <row r="140" spans="1:18" x14ac:dyDescent="0.25">
      <c r="A140" s="32" t="s">
        <v>88</v>
      </c>
      <c r="B140" s="55">
        <v>49.5</v>
      </c>
      <c r="C140" s="55">
        <v>48.6</v>
      </c>
      <c r="D140" s="55">
        <v>46.5</v>
      </c>
      <c r="E140" s="31">
        <f t="shared" si="46"/>
        <v>144.6</v>
      </c>
      <c r="F140" s="31">
        <f t="shared" si="47"/>
        <v>48.199999999999996</v>
      </c>
      <c r="G140" s="31" t="s">
        <v>13</v>
      </c>
      <c r="H140" s="31">
        <f>B136-1</f>
        <v>2</v>
      </c>
      <c r="I140" s="31">
        <f>D159</f>
        <v>4.7657814814738231</v>
      </c>
      <c r="J140" s="31">
        <f>I140/H140</f>
        <v>2.3828907407369115</v>
      </c>
      <c r="K140" s="31">
        <f>J140/$J$16</f>
        <v>0.45183398652287321</v>
      </c>
      <c r="L140" s="31">
        <f>FINV(0.05,H140,$H$16)</f>
        <v>3.275897990672394</v>
      </c>
      <c r="M140" s="31" t="str">
        <f>IF(K140&gt;=L140, "S", "NS")</f>
        <v>NS</v>
      </c>
      <c r="N140" s="39"/>
      <c r="O140" s="30" t="s">
        <v>14</v>
      </c>
      <c r="P140" s="42">
        <f>SQRT(J145/(3*9))</f>
        <v>0.49075477844025528</v>
      </c>
    </row>
    <row r="141" spans="1:18" x14ac:dyDescent="0.25">
      <c r="A141" s="32" t="s">
        <v>89</v>
      </c>
      <c r="B141" s="55">
        <v>39.6</v>
      </c>
      <c r="C141" s="55">
        <v>38.9</v>
      </c>
      <c r="D141" s="55">
        <v>36.799999999999997</v>
      </c>
      <c r="E141" s="31">
        <f t="shared" si="46"/>
        <v>115.3</v>
      </c>
      <c r="F141" s="31">
        <f t="shared" si="47"/>
        <v>38.43333333333333</v>
      </c>
      <c r="G141" s="31" t="s">
        <v>15</v>
      </c>
      <c r="H141" s="31">
        <f>D135-1</f>
        <v>17</v>
      </c>
      <c r="I141" s="31">
        <f>B160</f>
        <v>2997.0398092592368</v>
      </c>
      <c r="J141" s="31">
        <f t="shared" ref="J141:J145" si="48">I141/H141</f>
        <v>176.2964593681904</v>
      </c>
      <c r="K141" s="31">
        <f>J141/$J$16</f>
        <v>33.42861285430287</v>
      </c>
      <c r="L141" s="31">
        <f>FINV(0.05,H141,$H$16)</f>
        <v>1.9332068318040869</v>
      </c>
      <c r="M141" s="43" t="str">
        <f t="shared" ref="M141" si="49">IF(K141&gt;=L141, "S", "NS")</f>
        <v>S</v>
      </c>
      <c r="N141" s="30" t="s">
        <v>113</v>
      </c>
      <c r="O141" s="30" t="s">
        <v>16</v>
      </c>
      <c r="P141" s="42">
        <f>SQRT((2*J145)/(3*9))*L146</f>
        <v>1.4104428502765662</v>
      </c>
    </row>
    <row r="142" spans="1:18" x14ac:dyDescent="0.25">
      <c r="A142" s="32" t="s">
        <v>90</v>
      </c>
      <c r="B142" s="55">
        <v>46.5</v>
      </c>
      <c r="C142" s="55">
        <v>48.9</v>
      </c>
      <c r="D142" s="55">
        <v>45.6</v>
      </c>
      <c r="E142" s="31">
        <f t="shared" si="46"/>
        <v>141</v>
      </c>
      <c r="F142" s="31">
        <f t="shared" si="47"/>
        <v>47</v>
      </c>
      <c r="G142" s="31" t="s">
        <v>108</v>
      </c>
      <c r="H142" s="31">
        <f>B134-1</f>
        <v>1</v>
      </c>
      <c r="I142" s="31">
        <f>(SUM(E138:E146)^2+SUM(E147:E155)^2)/27-B158</f>
        <v>34.672090740728891</v>
      </c>
      <c r="J142" s="31">
        <f t="shared" si="48"/>
        <v>34.672090740728891</v>
      </c>
      <c r="K142" s="31">
        <f>J142/$J$16</f>
        <v>6.5743798960843662</v>
      </c>
      <c r="L142" s="31">
        <f>FINV(0.05,H142,$H$16)</f>
        <v>4.1300177456520188</v>
      </c>
      <c r="M142" s="31" t="str">
        <f>IF(K142&gt;=L142, "S", "NS")</f>
        <v>S</v>
      </c>
      <c r="N142" s="39"/>
      <c r="O142" s="33">
        <v>1</v>
      </c>
      <c r="P142" s="31">
        <f>(F138+F147)/2</f>
        <v>23.509999999999998</v>
      </c>
      <c r="Q142" s="49">
        <f>RANK(P142,P$142:P$150,0)</f>
        <v>9</v>
      </c>
      <c r="R142" s="51">
        <v>9</v>
      </c>
    </row>
    <row r="143" spans="1:18" x14ac:dyDescent="0.25">
      <c r="A143" s="32" t="s">
        <v>91</v>
      </c>
      <c r="B143" s="55">
        <v>52.6</v>
      </c>
      <c r="C143" s="55">
        <v>50.8</v>
      </c>
      <c r="D143" s="55">
        <v>48.9</v>
      </c>
      <c r="E143" s="31">
        <f t="shared" si="46"/>
        <v>152.30000000000001</v>
      </c>
      <c r="F143" s="31">
        <f t="shared" si="47"/>
        <v>50.766666666666673</v>
      </c>
      <c r="G143" s="31" t="s">
        <v>109</v>
      </c>
      <c r="H143" s="31">
        <f>B135-1</f>
        <v>8</v>
      </c>
      <c r="I143" s="31">
        <f>((E138+E147)^2+(E139+E148)^2+(E140+E149)^2+(E141+E150)^2+(E142+E151)^2+(E143+E152)^2+(E144+E153)^2+(E145+E154)^2+(E146+E155)^2/6)-B158</f>
        <v>419983.56860925927</v>
      </c>
      <c r="J143" s="31">
        <f t="shared" si="48"/>
        <v>52497.946076157408</v>
      </c>
      <c r="K143" s="31">
        <f>J143/$J$16</f>
        <v>9954.4456043828031</v>
      </c>
      <c r="L143" s="31">
        <f>FINV(0.05,H143,$H$16)</f>
        <v>2.2253399674380931</v>
      </c>
      <c r="M143" s="31" t="str">
        <f>IF(K143&gt;=L143, "S", "NS")</f>
        <v>S</v>
      </c>
      <c r="N143" s="39"/>
      <c r="O143" s="33">
        <v>2</v>
      </c>
      <c r="P143" s="31">
        <f t="shared" ref="P143:P150" si="50">(F139+F148)/2</f>
        <v>40.343333333333334</v>
      </c>
      <c r="Q143" s="49">
        <f t="shared" ref="Q143:Q150" si="51">RANK(P143,P$142:P$150,0)</f>
        <v>5</v>
      </c>
      <c r="R143" s="52">
        <v>5</v>
      </c>
    </row>
    <row r="144" spans="1:18" x14ac:dyDescent="0.25">
      <c r="A144" s="32" t="s">
        <v>92</v>
      </c>
      <c r="B144" s="55">
        <v>39.799999999999997</v>
      </c>
      <c r="C144" s="55">
        <v>39.4</v>
      </c>
      <c r="D144" s="55">
        <v>40.799999999999997</v>
      </c>
      <c r="E144" s="31">
        <f t="shared" si="46"/>
        <v>119.99999999999999</v>
      </c>
      <c r="F144" s="31">
        <f t="shared" si="47"/>
        <v>39.999999999999993</v>
      </c>
      <c r="G144" s="26" t="s">
        <v>110</v>
      </c>
      <c r="H144" s="31">
        <f>H142*H143</f>
        <v>8</v>
      </c>
      <c r="I144" s="31">
        <f>I141-(I142+I143)</f>
        <v>-417021.20089074073</v>
      </c>
      <c r="J144" s="31">
        <f t="shared" si="48"/>
        <v>-52127.650111342591</v>
      </c>
      <c r="K144" s="44">
        <f>J144/$J$16</f>
        <v>-9884.2315995544195</v>
      </c>
      <c r="L144" s="31">
        <f>FINV(0.05,H144,$H$16)</f>
        <v>2.2253399674380931</v>
      </c>
      <c r="M144" s="31" t="str">
        <f t="shared" ref="M144" si="52">IF(K144&gt;=L144, "S", "NS")</f>
        <v>NS</v>
      </c>
      <c r="N144" s="39"/>
      <c r="O144" s="33">
        <v>3</v>
      </c>
      <c r="P144" s="31">
        <f t="shared" si="50"/>
        <v>47.924999999999997</v>
      </c>
      <c r="Q144" s="49">
        <f t="shared" si="51"/>
        <v>2</v>
      </c>
      <c r="R144" s="52">
        <v>2</v>
      </c>
    </row>
    <row r="145" spans="1:18" x14ac:dyDescent="0.25">
      <c r="A145" s="32" t="s">
        <v>93</v>
      </c>
      <c r="B145" s="55">
        <v>44.6</v>
      </c>
      <c r="C145" s="55">
        <v>43.8</v>
      </c>
      <c r="D145" s="55">
        <v>42.8</v>
      </c>
      <c r="E145" s="31">
        <f t="shared" si="46"/>
        <v>131.19999999999999</v>
      </c>
      <c r="F145" s="31">
        <f t="shared" si="47"/>
        <v>43.733333333333327</v>
      </c>
      <c r="G145" s="45" t="s">
        <v>23</v>
      </c>
      <c r="H145" s="31">
        <f>((B136-1)*(B134*B135-1))</f>
        <v>34</v>
      </c>
      <c r="I145" s="31">
        <f>D160</f>
        <v>221.0913518518646</v>
      </c>
      <c r="J145" s="31">
        <f t="shared" si="48"/>
        <v>6.5026868191724887</v>
      </c>
      <c r="O145" s="33">
        <v>4</v>
      </c>
      <c r="P145" s="31">
        <f t="shared" si="50"/>
        <v>37.816666666666663</v>
      </c>
      <c r="Q145" s="49">
        <f t="shared" si="51"/>
        <v>7</v>
      </c>
      <c r="R145" s="52">
        <v>7</v>
      </c>
    </row>
    <row r="146" spans="1:18" x14ac:dyDescent="0.25">
      <c r="A146" s="32" t="s">
        <v>94</v>
      </c>
      <c r="B146" s="55">
        <v>39.5</v>
      </c>
      <c r="C146" s="55">
        <v>36.799999999999997</v>
      </c>
      <c r="D146" s="55">
        <v>34.5</v>
      </c>
      <c r="E146" s="31">
        <f t="shared" si="46"/>
        <v>110.8</v>
      </c>
      <c r="F146" s="31">
        <f t="shared" si="47"/>
        <v>36.93333333333333</v>
      </c>
      <c r="G146" s="44" t="s">
        <v>4</v>
      </c>
      <c r="H146" s="31">
        <f>SUM(H140:H145)-H141</f>
        <v>53</v>
      </c>
      <c r="I146" s="31">
        <f>B159</f>
        <v>3222.8969425925752</v>
      </c>
      <c r="K146" s="31" t="s">
        <v>111</v>
      </c>
      <c r="L146" s="41">
        <f>TINV(0.05,34)</f>
        <v>2.0322445093177191</v>
      </c>
      <c r="O146" s="33">
        <v>5</v>
      </c>
      <c r="P146" s="31">
        <f t="shared" si="50"/>
        <v>44.916666666666671</v>
      </c>
      <c r="Q146" s="49">
        <f t="shared" si="51"/>
        <v>3</v>
      </c>
      <c r="R146" s="51">
        <v>3</v>
      </c>
    </row>
    <row r="147" spans="1:18" x14ac:dyDescent="0.25">
      <c r="A147" s="32" t="s">
        <v>95</v>
      </c>
      <c r="B147" s="55">
        <v>20.100000000000001</v>
      </c>
      <c r="C147" s="55">
        <v>22.6</v>
      </c>
      <c r="D147" s="55">
        <v>26.5</v>
      </c>
      <c r="E147" s="31">
        <f t="shared" si="46"/>
        <v>69.2</v>
      </c>
      <c r="F147" s="31">
        <f t="shared" si="47"/>
        <v>23.066666666666666</v>
      </c>
      <c r="G147" s="34" t="s">
        <v>14</v>
      </c>
      <c r="H147" s="31">
        <f>SQRT(J145/3)</f>
        <v>1.4722643353207658</v>
      </c>
      <c r="O147" s="33">
        <v>6</v>
      </c>
      <c r="P147" s="31">
        <f t="shared" si="50"/>
        <v>50.183333333333337</v>
      </c>
      <c r="Q147" s="49">
        <f t="shared" si="51"/>
        <v>1</v>
      </c>
      <c r="R147" s="52">
        <v>1</v>
      </c>
    </row>
    <row r="148" spans="1:18" x14ac:dyDescent="0.25">
      <c r="A148" s="32" t="s">
        <v>96</v>
      </c>
      <c r="B148" s="55">
        <v>39.799999999999997</v>
      </c>
      <c r="C148" s="55">
        <v>35.1</v>
      </c>
      <c r="D148" s="55">
        <v>39.5</v>
      </c>
      <c r="E148" s="31">
        <f t="shared" si="46"/>
        <v>114.4</v>
      </c>
      <c r="F148" s="31">
        <f t="shared" si="47"/>
        <v>38.133333333333333</v>
      </c>
      <c r="G148" s="34" t="s">
        <v>16</v>
      </c>
      <c r="H148" s="31">
        <f>(SQRT((2*J145)/3))*L146</f>
        <v>4.2313285508296996</v>
      </c>
      <c r="O148" s="33">
        <v>7</v>
      </c>
      <c r="P148" s="31">
        <f t="shared" si="50"/>
        <v>39.65</v>
      </c>
      <c r="Q148" s="49">
        <f t="shared" si="51"/>
        <v>6</v>
      </c>
      <c r="R148" s="52">
        <v>6</v>
      </c>
    </row>
    <row r="149" spans="1:18" x14ac:dyDescent="0.25">
      <c r="A149" s="32" t="s">
        <v>97</v>
      </c>
      <c r="B149" s="55">
        <v>48.95</v>
      </c>
      <c r="C149" s="55">
        <v>49.5</v>
      </c>
      <c r="D149" s="55">
        <v>44.5</v>
      </c>
      <c r="E149" s="31">
        <f t="shared" si="46"/>
        <v>142.94999999999999</v>
      </c>
      <c r="F149" s="31">
        <f t="shared" si="47"/>
        <v>47.65</v>
      </c>
      <c r="G149" s="34" t="s">
        <v>29</v>
      </c>
      <c r="H149" s="31">
        <f>((SQRT(J145))/F156)*100</f>
        <v>6.2987772255198928</v>
      </c>
      <c r="O149" s="33">
        <v>8</v>
      </c>
      <c r="P149" s="31">
        <f t="shared" si="50"/>
        <v>43.433333333333323</v>
      </c>
      <c r="Q149" s="49">
        <f t="shared" si="51"/>
        <v>4</v>
      </c>
      <c r="R149" s="51">
        <v>4</v>
      </c>
    </row>
    <row r="150" spans="1:18" x14ac:dyDescent="0.25">
      <c r="A150" s="32" t="s">
        <v>98</v>
      </c>
      <c r="B150" s="55">
        <v>38.4</v>
      </c>
      <c r="C150" s="55">
        <v>37.799999999999997</v>
      </c>
      <c r="D150" s="55">
        <v>35.4</v>
      </c>
      <c r="E150" s="31">
        <f t="shared" si="46"/>
        <v>111.6</v>
      </c>
      <c r="F150" s="31">
        <f t="shared" si="47"/>
        <v>37.199999999999996</v>
      </c>
      <c r="O150" s="33">
        <v>9</v>
      </c>
      <c r="P150" s="31">
        <f t="shared" si="50"/>
        <v>36.583333333333329</v>
      </c>
      <c r="Q150" s="49">
        <f t="shared" si="51"/>
        <v>8</v>
      </c>
      <c r="R150" s="52">
        <v>8</v>
      </c>
    </row>
    <row r="151" spans="1:18" x14ac:dyDescent="0.25">
      <c r="A151" s="32" t="s">
        <v>99</v>
      </c>
      <c r="B151" s="55">
        <v>37.5</v>
      </c>
      <c r="C151" s="55">
        <v>47.5</v>
      </c>
      <c r="D151" s="55">
        <v>43.5</v>
      </c>
      <c r="E151" s="31">
        <f t="shared" si="46"/>
        <v>128.5</v>
      </c>
      <c r="F151" s="31">
        <f t="shared" si="47"/>
        <v>42.833333333333336</v>
      </c>
      <c r="O151" s="30" t="s">
        <v>14</v>
      </c>
      <c r="P151" s="42">
        <f>SQRT(J145/(3*2))</f>
        <v>1.0410480952044185</v>
      </c>
      <c r="Q151" s="49"/>
    </row>
    <row r="152" spans="1:18" x14ac:dyDescent="0.25">
      <c r="A152" s="32" t="s">
        <v>100</v>
      </c>
      <c r="B152" s="55">
        <v>47.5</v>
      </c>
      <c r="C152" s="55">
        <v>53.5</v>
      </c>
      <c r="D152" s="55">
        <v>47.8</v>
      </c>
      <c r="E152" s="31">
        <f t="shared" si="46"/>
        <v>148.80000000000001</v>
      </c>
      <c r="F152" s="31">
        <f t="shared" si="47"/>
        <v>49.6</v>
      </c>
      <c r="N152" s="30" t="s">
        <v>109</v>
      </c>
      <c r="O152" s="30" t="s">
        <v>16</v>
      </c>
      <c r="P152" s="42">
        <f>SQRT((2*J145)/(3*2))*L146</f>
        <v>2.9920011117199277</v>
      </c>
      <c r="Q152" s="49"/>
    </row>
    <row r="153" spans="1:18" x14ac:dyDescent="0.25">
      <c r="A153" s="32" t="s">
        <v>101</v>
      </c>
      <c r="B153" s="55">
        <v>40.5</v>
      </c>
      <c r="C153" s="55">
        <v>35.799999999999997</v>
      </c>
      <c r="D153" s="55">
        <v>41.6</v>
      </c>
      <c r="E153" s="31">
        <f t="shared" si="46"/>
        <v>117.9</v>
      </c>
      <c r="F153" s="31">
        <f>E153/3</f>
        <v>39.300000000000004</v>
      </c>
      <c r="Q153" s="49"/>
    </row>
    <row r="154" spans="1:18" x14ac:dyDescent="0.25">
      <c r="A154" s="32" t="s">
        <v>102</v>
      </c>
      <c r="B154" s="55">
        <v>41.5</v>
      </c>
      <c r="C154" s="55">
        <v>42.6</v>
      </c>
      <c r="D154" s="55">
        <v>45.3</v>
      </c>
      <c r="E154" s="31">
        <f t="shared" si="46"/>
        <v>129.39999999999998</v>
      </c>
      <c r="F154" s="31">
        <f t="shared" ref="F154:F155" si="53">E154/3</f>
        <v>43.133333333333326</v>
      </c>
    </row>
    <row r="155" spans="1:18" x14ac:dyDescent="0.25">
      <c r="A155" s="32" t="s">
        <v>103</v>
      </c>
      <c r="B155" s="55">
        <v>35.6</v>
      </c>
      <c r="C155" s="55">
        <v>38.6</v>
      </c>
      <c r="D155" s="55">
        <v>34.5</v>
      </c>
      <c r="E155" s="31">
        <f t="shared" si="46"/>
        <v>108.7</v>
      </c>
      <c r="F155" s="31">
        <f t="shared" si="53"/>
        <v>36.233333333333334</v>
      </c>
    </row>
    <row r="156" spans="1:18" x14ac:dyDescent="0.25">
      <c r="A156" s="30" t="s">
        <v>4</v>
      </c>
      <c r="B156" s="31">
        <f>SUM(B138:B155)</f>
        <v>728.0100000000001</v>
      </c>
      <c r="C156" s="31">
        <f>SUM(C138:C155)</f>
        <v>735.6</v>
      </c>
      <c r="D156" s="31">
        <f>SUM(D138:D155)</f>
        <v>722.56</v>
      </c>
      <c r="E156" s="31">
        <f>SUM(E138:E155)</f>
        <v>2186.17</v>
      </c>
      <c r="F156" s="31">
        <f>AVERAGE(B138:D155)</f>
        <v>40.484629629629616</v>
      </c>
    </row>
    <row r="157" spans="1:18" x14ac:dyDescent="0.25">
      <c r="A157" s="30" t="s">
        <v>5</v>
      </c>
      <c r="B157" s="31">
        <f>B156/18</f>
        <v>40.445000000000007</v>
      </c>
      <c r="C157" s="31">
        <f>C156/18</f>
        <v>40.866666666666667</v>
      </c>
      <c r="D157" s="31">
        <f>D156/18</f>
        <v>40.142222222222216</v>
      </c>
    </row>
    <row r="158" spans="1:18" x14ac:dyDescent="0.25">
      <c r="A158" s="30" t="s">
        <v>26</v>
      </c>
      <c r="B158" s="31">
        <f>(E156*E156)/54</f>
        <v>88506.282757407418</v>
      </c>
      <c r="C158" s="31"/>
      <c r="D158" s="31"/>
    </row>
    <row r="159" spans="1:18" x14ac:dyDescent="0.25">
      <c r="A159" s="30" t="s">
        <v>27</v>
      </c>
      <c r="B159" s="31">
        <f>SUMSQ(B138:D155)-B158</f>
        <v>3222.8969425925752</v>
      </c>
      <c r="C159" s="30" t="s">
        <v>28</v>
      </c>
      <c r="D159" s="31">
        <f>(SUMSQ(B156:D156)/18)-B158</f>
        <v>4.7657814814738231</v>
      </c>
    </row>
    <row r="160" spans="1:18" x14ac:dyDescent="0.25">
      <c r="A160" s="30" t="s">
        <v>30</v>
      </c>
      <c r="B160" s="31">
        <f>(SUMSQ(E138:E155)/3)-B158</f>
        <v>2997.0398092592368</v>
      </c>
      <c r="C160" s="30" t="s">
        <v>31</v>
      </c>
      <c r="D160" s="31">
        <f>B159-B160-D159</f>
        <v>221.0913518518646</v>
      </c>
    </row>
    <row r="164" spans="1:18" ht="15.75" x14ac:dyDescent="0.25">
      <c r="C164" s="56" t="s">
        <v>127</v>
      </c>
    </row>
    <row r="166" spans="1:18" x14ac:dyDescent="0.25">
      <c r="A166" s="36" t="s">
        <v>104</v>
      </c>
      <c r="B166" s="38">
        <v>2</v>
      </c>
      <c r="C166" s="39"/>
      <c r="D166" s="39"/>
      <c r="E166" s="39"/>
      <c r="F166" s="39"/>
      <c r="G166" s="39"/>
      <c r="H166" s="39"/>
      <c r="I166" s="39"/>
      <c r="M166" s="35"/>
      <c r="N166" s="35"/>
      <c r="O166" s="39"/>
      <c r="P166" s="39"/>
    </row>
    <row r="167" spans="1:18" x14ac:dyDescent="0.25">
      <c r="A167" s="36" t="s">
        <v>105</v>
      </c>
      <c r="B167" s="38">
        <v>9</v>
      </c>
      <c r="C167" s="39" t="s">
        <v>107</v>
      </c>
      <c r="D167" s="39">
        <v>18</v>
      </c>
      <c r="E167" s="39"/>
      <c r="F167" s="39"/>
      <c r="G167" s="39"/>
      <c r="H167" s="39"/>
      <c r="I167" s="39"/>
      <c r="M167" s="35"/>
      <c r="N167" s="35"/>
      <c r="O167" s="39"/>
      <c r="P167" s="39"/>
    </row>
    <row r="168" spans="1:18" x14ac:dyDescent="0.25">
      <c r="A168" s="37" t="s">
        <v>106</v>
      </c>
      <c r="B168" s="40">
        <v>3</v>
      </c>
    </row>
    <row r="169" spans="1:18" x14ac:dyDescent="0.25">
      <c r="A169" s="46" t="s">
        <v>0</v>
      </c>
      <c r="B169" s="30" t="s">
        <v>1</v>
      </c>
      <c r="C169" s="30" t="s">
        <v>2</v>
      </c>
      <c r="D169" s="30" t="s">
        <v>3</v>
      </c>
      <c r="E169" s="30" t="s">
        <v>4</v>
      </c>
      <c r="F169" s="30" t="s">
        <v>5</v>
      </c>
      <c r="O169" s="41" t="s">
        <v>7</v>
      </c>
      <c r="R169" s="41"/>
    </row>
    <row r="170" spans="1:18" x14ac:dyDescent="0.25">
      <c r="A170" s="32" t="s">
        <v>86</v>
      </c>
      <c r="B170" s="115">
        <v>39.200000000000003</v>
      </c>
      <c r="C170" s="115">
        <v>38.5</v>
      </c>
      <c r="D170" s="115">
        <v>42.2</v>
      </c>
      <c r="E170" s="31">
        <f>SUM(B170:D170)</f>
        <v>119.9</v>
      </c>
      <c r="F170" s="31">
        <f>E170/3</f>
        <v>39.966666666666669</v>
      </c>
      <c r="H170" s="47"/>
      <c r="I170" s="47"/>
      <c r="J170" s="47" t="s">
        <v>6</v>
      </c>
      <c r="K170" s="47"/>
      <c r="L170" s="47"/>
      <c r="M170" s="47"/>
      <c r="N170" s="47"/>
      <c r="O170" s="33">
        <v>1</v>
      </c>
      <c r="P170" s="31">
        <f>SUM(F170:F178)/9</f>
        <v>63.792592592592605</v>
      </c>
      <c r="Q170" s="49">
        <f>RANK(P170,P$170:P$171,0)</f>
        <v>1</v>
      </c>
      <c r="R170" s="66">
        <v>1</v>
      </c>
    </row>
    <row r="171" spans="1:18" x14ac:dyDescent="0.25">
      <c r="A171" s="32" t="s">
        <v>87</v>
      </c>
      <c r="B171" s="121">
        <v>65.5</v>
      </c>
      <c r="C171" s="121">
        <v>64.099999999999994</v>
      </c>
      <c r="D171" s="121">
        <v>66.5</v>
      </c>
      <c r="E171" s="31">
        <f t="shared" ref="E171:E187" si="54">SUM(B171:D171)</f>
        <v>196.1</v>
      </c>
      <c r="F171" s="31">
        <f t="shared" ref="F171:F184" si="55">E171/3</f>
        <v>65.36666666666666</v>
      </c>
      <c r="G171" s="31"/>
      <c r="H171" s="30" t="s">
        <v>8</v>
      </c>
      <c r="I171" s="30" t="s">
        <v>9</v>
      </c>
      <c r="J171" s="30" t="s">
        <v>10</v>
      </c>
      <c r="K171" s="30" t="s">
        <v>11</v>
      </c>
      <c r="L171" s="30" t="s">
        <v>12</v>
      </c>
      <c r="M171" s="30" t="s">
        <v>112</v>
      </c>
      <c r="N171" s="50"/>
      <c r="O171" s="33">
        <v>2</v>
      </c>
      <c r="P171" s="31">
        <f>SUM(F179:F187)/9</f>
        <v>62.096296296296295</v>
      </c>
      <c r="Q171" s="49">
        <f>RANK(P171,P$170:P$171,0)</f>
        <v>2</v>
      </c>
      <c r="R171" s="66">
        <v>2</v>
      </c>
    </row>
    <row r="172" spans="1:18" x14ac:dyDescent="0.25">
      <c r="A172" s="32" t="s">
        <v>88</v>
      </c>
      <c r="B172" s="121">
        <v>69.2</v>
      </c>
      <c r="C172" s="121">
        <v>71.8</v>
      </c>
      <c r="D172" s="121">
        <v>73.8</v>
      </c>
      <c r="E172" s="31">
        <f t="shared" si="54"/>
        <v>214.8</v>
      </c>
      <c r="F172" s="31">
        <f t="shared" si="55"/>
        <v>71.600000000000009</v>
      </c>
      <c r="G172" s="31" t="s">
        <v>13</v>
      </c>
      <c r="H172" s="31">
        <f>B168-1</f>
        <v>2</v>
      </c>
      <c r="I172" s="31">
        <f>D191</f>
        <v>1.7733333333453629</v>
      </c>
      <c r="J172" s="31">
        <f>I172/H172</f>
        <v>0.88666666667268146</v>
      </c>
      <c r="K172" s="31">
        <f>J172/$J$16</f>
        <v>0.16812610325380309</v>
      </c>
      <c r="L172" s="31">
        <f>FINV(0.05,H172,$H$16)</f>
        <v>3.275897990672394</v>
      </c>
      <c r="M172" s="31" t="str">
        <f>IF(K172&gt;=L172, "S", "NS")</f>
        <v>NS</v>
      </c>
      <c r="N172" s="39"/>
      <c r="O172" s="30" t="s">
        <v>14</v>
      </c>
      <c r="P172" s="42">
        <f>SQRT(J177/(3*9))</f>
        <v>0.64631798878635127</v>
      </c>
      <c r="R172" s="41"/>
    </row>
    <row r="173" spans="1:18" x14ac:dyDescent="0.25">
      <c r="A173" s="32" t="s">
        <v>89</v>
      </c>
      <c r="B173" s="121">
        <v>61.900000000000006</v>
      </c>
      <c r="C173" s="121">
        <v>60.900000000000006</v>
      </c>
      <c r="D173" s="121">
        <v>63.900000000000006</v>
      </c>
      <c r="E173" s="31">
        <f t="shared" si="54"/>
        <v>186.70000000000002</v>
      </c>
      <c r="F173" s="31">
        <f t="shared" si="55"/>
        <v>62.233333333333341</v>
      </c>
      <c r="G173" s="31" t="s">
        <v>15</v>
      </c>
      <c r="H173" s="31">
        <f>D167-1</f>
        <v>17</v>
      </c>
      <c r="I173" s="31">
        <f>B192</f>
        <v>4759.5266666667012</v>
      </c>
      <c r="J173" s="31">
        <f t="shared" ref="J173:J177" si="56">I173/H173</f>
        <v>279.97215686274711</v>
      </c>
      <c r="K173" s="31">
        <f>J173/$J$16</f>
        <v>53.087174157041574</v>
      </c>
      <c r="L173" s="31">
        <f>FINV(0.05,H173,$H$16)</f>
        <v>1.9332068318040869</v>
      </c>
      <c r="M173" s="43" t="str">
        <f t="shared" ref="M173" si="57">IF(K173&gt;=L173, "S", "NS")</f>
        <v>S</v>
      </c>
      <c r="N173" s="30" t="s">
        <v>113</v>
      </c>
      <c r="O173" s="30" t="s">
        <v>16</v>
      </c>
      <c r="P173" s="42">
        <f>SQRT((2*J177)/(3*9))*L178</f>
        <v>1.8575358332447029</v>
      </c>
      <c r="R173" s="41"/>
    </row>
    <row r="174" spans="1:18" x14ac:dyDescent="0.25">
      <c r="A174" s="32" t="s">
        <v>90</v>
      </c>
      <c r="B174" s="121">
        <v>70.2</v>
      </c>
      <c r="C174" s="121">
        <v>68.900000000000006</v>
      </c>
      <c r="D174" s="121">
        <v>67.8</v>
      </c>
      <c r="E174" s="31">
        <f t="shared" si="54"/>
        <v>206.90000000000003</v>
      </c>
      <c r="F174" s="31">
        <f t="shared" si="55"/>
        <v>68.966666666666683</v>
      </c>
      <c r="G174" s="31" t="s">
        <v>108</v>
      </c>
      <c r="H174" s="31">
        <f>B166-1</f>
        <v>1</v>
      </c>
      <c r="I174" s="31">
        <f>(SUM(E170:E178)^2+SUM(E179:E187)^2)/27-B190</f>
        <v>38.845185185200535</v>
      </c>
      <c r="J174" s="31">
        <f t="shared" si="56"/>
        <v>38.845185185200535</v>
      </c>
      <c r="K174" s="31">
        <f>J174/$J$16</f>
        <v>7.3656649796795008</v>
      </c>
      <c r="L174" s="31">
        <f>FINV(0.05,H174,$H$16)</f>
        <v>4.1300177456520188</v>
      </c>
      <c r="M174" s="31" t="str">
        <f>IF(K174&gt;=L174, "S", "NS")</f>
        <v>S</v>
      </c>
      <c r="N174" s="39"/>
      <c r="O174" s="33">
        <v>1</v>
      </c>
      <c r="P174" s="31">
        <f>(F170+F179)/2</f>
        <v>38.716666666666669</v>
      </c>
      <c r="Q174" s="49">
        <f>RANK(P174,P$174:P$182,0)</f>
        <v>9</v>
      </c>
      <c r="R174" s="51">
        <v>9</v>
      </c>
    </row>
    <row r="175" spans="1:18" x14ac:dyDescent="0.25">
      <c r="A175" s="32" t="s">
        <v>91</v>
      </c>
      <c r="B175" s="121">
        <v>72.5</v>
      </c>
      <c r="C175" s="121">
        <v>76.5</v>
      </c>
      <c r="D175" s="121">
        <v>69.8</v>
      </c>
      <c r="E175" s="31">
        <f t="shared" si="54"/>
        <v>218.8</v>
      </c>
      <c r="F175" s="31">
        <f t="shared" si="55"/>
        <v>72.933333333333337</v>
      </c>
      <c r="G175" s="31" t="s">
        <v>109</v>
      </c>
      <c r="H175" s="31">
        <f>B167-1</f>
        <v>8</v>
      </c>
      <c r="I175" s="31">
        <f>((E170+E179)^2+(E171+E180)^2+(E172+E181)^2+(E173+E182)^2+(E174+E183)^2+(E175+E184)^2+(E176+E185)^2+(E177+E186)^2+(E178+E187)^2/6)-B190</f>
        <v>989095.97833333339</v>
      </c>
      <c r="J175" s="31">
        <f t="shared" si="56"/>
        <v>123636.99729166667</v>
      </c>
      <c r="K175" s="31">
        <f>J175/$J$16</f>
        <v>23443.541247189376</v>
      </c>
      <c r="L175" s="31">
        <f>FINV(0.05,H175,$H$16)</f>
        <v>2.2253399674380931</v>
      </c>
      <c r="M175" s="31" t="str">
        <f>IF(K175&gt;=L175, "S", "NS")</f>
        <v>S</v>
      </c>
      <c r="N175" s="39"/>
      <c r="O175" s="33">
        <v>2</v>
      </c>
      <c r="P175" s="31">
        <f t="shared" ref="P175:P182" si="58">(F171+F180)/2</f>
        <v>64.383333333333326</v>
      </c>
      <c r="Q175" s="49">
        <f t="shared" ref="Q175:Q182" si="59">RANK(P175,P$174:P$182,0)</f>
        <v>5</v>
      </c>
      <c r="R175" s="52">
        <v>5</v>
      </c>
    </row>
    <row r="176" spans="1:18" x14ac:dyDescent="0.25">
      <c r="A176" s="32" t="s">
        <v>92</v>
      </c>
      <c r="B176" s="121">
        <v>65.2</v>
      </c>
      <c r="C176" s="121">
        <v>62.5</v>
      </c>
      <c r="D176" s="121">
        <v>65.2</v>
      </c>
      <c r="E176" s="31">
        <f t="shared" si="54"/>
        <v>192.9</v>
      </c>
      <c r="F176" s="31">
        <f t="shared" si="55"/>
        <v>64.3</v>
      </c>
      <c r="G176" s="26" t="s">
        <v>110</v>
      </c>
      <c r="H176" s="31">
        <f>H174*H175</f>
        <v>8</v>
      </c>
      <c r="I176" s="31">
        <f>I173-(I174+I175)</f>
        <v>-984375.29685185186</v>
      </c>
      <c r="J176" s="31">
        <f t="shared" si="56"/>
        <v>-123046.91210648148</v>
      </c>
      <c r="K176" s="44">
        <f>J176/$J$16</f>
        <v>-23331.651710228121</v>
      </c>
      <c r="L176" s="31">
        <f>FINV(0.05,H176,$H$16)</f>
        <v>2.2253399674380931</v>
      </c>
      <c r="M176" s="31" t="str">
        <f t="shared" ref="M176" si="60">IF(K176&gt;=L176, "S", "NS")</f>
        <v>NS</v>
      </c>
      <c r="N176" s="39"/>
      <c r="O176" s="33">
        <v>3</v>
      </c>
      <c r="P176" s="31">
        <f t="shared" si="58"/>
        <v>69.76666666666668</v>
      </c>
      <c r="Q176" s="49">
        <f t="shared" si="59"/>
        <v>2</v>
      </c>
      <c r="R176" s="52">
        <v>2</v>
      </c>
    </row>
    <row r="177" spans="1:18" x14ac:dyDescent="0.25">
      <c r="A177" s="32" t="s">
        <v>93</v>
      </c>
      <c r="B177" s="121">
        <v>70.8</v>
      </c>
      <c r="C177" s="121">
        <v>62.9</v>
      </c>
      <c r="D177" s="121">
        <v>68.8</v>
      </c>
      <c r="E177" s="31">
        <f t="shared" si="54"/>
        <v>202.5</v>
      </c>
      <c r="F177" s="31">
        <f t="shared" si="55"/>
        <v>67.5</v>
      </c>
      <c r="G177" s="45" t="s">
        <v>23</v>
      </c>
      <c r="H177" s="31">
        <f>((B168-1)*(B166*B167-1))</f>
        <v>34</v>
      </c>
      <c r="I177" s="31">
        <f>D192</f>
        <v>383.47333333326969</v>
      </c>
      <c r="J177" s="31">
        <f t="shared" si="56"/>
        <v>11.27862745097852</v>
      </c>
      <c r="O177" s="33">
        <v>4</v>
      </c>
      <c r="P177" s="31">
        <f t="shared" si="58"/>
        <v>61.533333333333339</v>
      </c>
      <c r="Q177" s="49">
        <f t="shared" si="59"/>
        <v>7</v>
      </c>
      <c r="R177" s="52">
        <v>7</v>
      </c>
    </row>
    <row r="178" spans="1:18" x14ac:dyDescent="0.25">
      <c r="A178" s="32" t="s">
        <v>94</v>
      </c>
      <c r="B178" s="121">
        <v>60.1</v>
      </c>
      <c r="C178" s="121">
        <v>64.2</v>
      </c>
      <c r="D178" s="121">
        <v>59.5</v>
      </c>
      <c r="E178" s="31">
        <f t="shared" si="54"/>
        <v>183.8</v>
      </c>
      <c r="F178" s="31">
        <f t="shared" si="55"/>
        <v>61.266666666666673</v>
      </c>
      <c r="G178" s="44" t="s">
        <v>4</v>
      </c>
      <c r="H178" s="31">
        <f>SUM(H172:H177)-H173</f>
        <v>53</v>
      </c>
      <c r="I178" s="31">
        <f>B191</f>
        <v>5144.7733333333163</v>
      </c>
      <c r="K178" s="31" t="s">
        <v>111</v>
      </c>
      <c r="L178" s="41">
        <f>TINV(0.05,34)</f>
        <v>2.0322445093177191</v>
      </c>
      <c r="O178" s="33">
        <v>5</v>
      </c>
      <c r="P178" s="31">
        <f t="shared" si="58"/>
        <v>68.350000000000009</v>
      </c>
      <c r="Q178" s="49">
        <f t="shared" si="59"/>
        <v>3</v>
      </c>
      <c r="R178" s="51">
        <v>3</v>
      </c>
    </row>
    <row r="179" spans="1:18" x14ac:dyDescent="0.25">
      <c r="A179" s="32" t="s">
        <v>95</v>
      </c>
      <c r="B179" s="115">
        <v>36.5</v>
      </c>
      <c r="C179" s="115">
        <v>35.5</v>
      </c>
      <c r="D179" s="115">
        <v>40.4</v>
      </c>
      <c r="E179" s="31">
        <f t="shared" si="54"/>
        <v>112.4</v>
      </c>
      <c r="F179" s="31">
        <f t="shared" si="55"/>
        <v>37.466666666666669</v>
      </c>
      <c r="G179" s="34" t="s">
        <v>14</v>
      </c>
      <c r="H179" s="31">
        <f>SQRT(J177/3)</f>
        <v>1.9389539663590538</v>
      </c>
      <c r="O179" s="33">
        <v>6</v>
      </c>
      <c r="P179" s="31">
        <f t="shared" si="58"/>
        <v>72.533333333333331</v>
      </c>
      <c r="Q179" s="49">
        <f t="shared" si="59"/>
        <v>1</v>
      </c>
      <c r="R179" s="52">
        <v>1</v>
      </c>
    </row>
    <row r="180" spans="1:18" x14ac:dyDescent="0.25">
      <c r="A180" s="32" t="s">
        <v>96</v>
      </c>
      <c r="B180" s="121">
        <v>63.6</v>
      </c>
      <c r="C180" s="121">
        <v>64.099999999999994</v>
      </c>
      <c r="D180" s="121">
        <v>62.5</v>
      </c>
      <c r="E180" s="31">
        <f t="shared" si="54"/>
        <v>190.2</v>
      </c>
      <c r="F180" s="31">
        <f t="shared" si="55"/>
        <v>63.4</v>
      </c>
      <c r="G180" s="34" t="s">
        <v>16</v>
      </c>
      <c r="H180" s="31">
        <f>(SQRT((2*J177)/3))*L178</f>
        <v>5.5726074997341088</v>
      </c>
      <c r="O180" s="33">
        <v>7</v>
      </c>
      <c r="P180" s="31">
        <f t="shared" si="58"/>
        <v>63.75</v>
      </c>
      <c r="Q180" s="49">
        <f t="shared" si="59"/>
        <v>6</v>
      </c>
      <c r="R180" s="52">
        <v>6</v>
      </c>
    </row>
    <row r="181" spans="1:18" x14ac:dyDescent="0.25">
      <c r="A181" s="32" t="s">
        <v>97</v>
      </c>
      <c r="B181" s="121">
        <v>71.5</v>
      </c>
      <c r="C181" s="121">
        <v>62.5</v>
      </c>
      <c r="D181" s="121">
        <v>69.8</v>
      </c>
      <c r="E181" s="31">
        <f t="shared" si="54"/>
        <v>203.8</v>
      </c>
      <c r="F181" s="31">
        <f t="shared" si="55"/>
        <v>67.933333333333337</v>
      </c>
      <c r="G181" s="34" t="s">
        <v>29</v>
      </c>
      <c r="H181" s="31">
        <f>((SQRT(J177))/F188)*100</f>
        <v>5.3354459045789397</v>
      </c>
      <c r="O181" s="33">
        <v>8</v>
      </c>
      <c r="P181" s="31">
        <f t="shared" si="58"/>
        <v>67.216666666666669</v>
      </c>
      <c r="Q181" s="49">
        <f t="shared" si="59"/>
        <v>4</v>
      </c>
      <c r="R181" s="51">
        <v>4</v>
      </c>
    </row>
    <row r="182" spans="1:18" x14ac:dyDescent="0.25">
      <c r="A182" s="32" t="s">
        <v>98</v>
      </c>
      <c r="B182" s="121">
        <v>61.5</v>
      </c>
      <c r="C182" s="121">
        <v>58.5</v>
      </c>
      <c r="D182" s="121">
        <v>62.5</v>
      </c>
      <c r="E182" s="31">
        <f t="shared" si="54"/>
        <v>182.5</v>
      </c>
      <c r="F182" s="31">
        <f t="shared" si="55"/>
        <v>60.833333333333336</v>
      </c>
      <c r="I182" s="32" t="s">
        <v>86</v>
      </c>
      <c r="O182" s="33">
        <v>9</v>
      </c>
      <c r="P182" s="31">
        <f t="shared" si="58"/>
        <v>60.25</v>
      </c>
      <c r="Q182" s="49">
        <f t="shared" si="59"/>
        <v>8</v>
      </c>
      <c r="R182" s="52">
        <v>8</v>
      </c>
    </row>
    <row r="183" spans="1:18" x14ac:dyDescent="0.25">
      <c r="A183" s="32" t="s">
        <v>99</v>
      </c>
      <c r="B183" s="121">
        <v>63.6</v>
      </c>
      <c r="C183" s="121">
        <v>71.7</v>
      </c>
      <c r="D183" s="121">
        <v>67.900000000000006</v>
      </c>
      <c r="E183" s="31">
        <f t="shared" si="54"/>
        <v>203.20000000000002</v>
      </c>
      <c r="F183" s="31">
        <f t="shared" si="55"/>
        <v>67.733333333333334</v>
      </c>
      <c r="I183" s="32" t="s">
        <v>87</v>
      </c>
      <c r="J183" s="41">
        <f>B171-10</f>
        <v>55.5</v>
      </c>
      <c r="K183" s="41">
        <f t="shared" ref="K183:L190" si="61">C171-10</f>
        <v>54.099999999999994</v>
      </c>
      <c r="L183" s="41">
        <f t="shared" si="61"/>
        <v>56.5</v>
      </c>
      <c r="O183" s="30" t="s">
        <v>14</v>
      </c>
      <c r="P183" s="42">
        <f>SQRT(J177/(3*2))</f>
        <v>1.3710474980210399</v>
      </c>
      <c r="Q183" s="49"/>
    </row>
    <row r="184" spans="1:18" x14ac:dyDescent="0.25">
      <c r="A184" s="32" t="s">
        <v>100</v>
      </c>
      <c r="B184" s="121">
        <v>72.599999999999994</v>
      </c>
      <c r="C184" s="121">
        <v>75.2</v>
      </c>
      <c r="D184" s="121">
        <v>68.599999999999994</v>
      </c>
      <c r="E184" s="31">
        <f t="shared" si="54"/>
        <v>216.4</v>
      </c>
      <c r="F184" s="31">
        <f t="shared" si="55"/>
        <v>72.13333333333334</v>
      </c>
      <c r="I184" s="32" t="s">
        <v>88</v>
      </c>
      <c r="J184" s="41">
        <f t="shared" ref="J184:J190" si="62">B172-10</f>
        <v>59.2</v>
      </c>
      <c r="K184" s="41">
        <f t="shared" si="61"/>
        <v>61.8</v>
      </c>
      <c r="L184" s="41">
        <f t="shared" si="61"/>
        <v>63.8</v>
      </c>
      <c r="N184" s="30" t="s">
        <v>109</v>
      </c>
      <c r="O184" s="30" t="s">
        <v>16</v>
      </c>
      <c r="P184" s="42">
        <f>SQRT((2*J177)/(3*2))*L178</f>
        <v>3.9404285519530005</v>
      </c>
      <c r="Q184" s="49"/>
    </row>
    <row r="185" spans="1:18" x14ac:dyDescent="0.25">
      <c r="A185" s="32" t="s">
        <v>101</v>
      </c>
      <c r="B185" s="121">
        <v>63.2</v>
      </c>
      <c r="C185" s="121">
        <v>65.5</v>
      </c>
      <c r="D185" s="121">
        <v>60.900000000000006</v>
      </c>
      <c r="E185" s="31">
        <f t="shared" si="54"/>
        <v>189.6</v>
      </c>
      <c r="F185" s="31">
        <f>E185/3</f>
        <v>63.199999999999996</v>
      </c>
      <c r="I185" s="32" t="s">
        <v>89</v>
      </c>
      <c r="J185" s="41">
        <f t="shared" si="62"/>
        <v>51.900000000000006</v>
      </c>
      <c r="K185" s="41">
        <f t="shared" si="61"/>
        <v>50.900000000000006</v>
      </c>
      <c r="L185" s="41">
        <f t="shared" si="61"/>
        <v>53.900000000000006</v>
      </c>
      <c r="Q185" s="49"/>
    </row>
    <row r="186" spans="1:18" x14ac:dyDescent="0.25">
      <c r="A186" s="32" t="s">
        <v>102</v>
      </c>
      <c r="B186" s="121">
        <v>62.8</v>
      </c>
      <c r="C186" s="121">
        <v>70.900000000000006</v>
      </c>
      <c r="D186" s="121">
        <v>67.099999999999994</v>
      </c>
      <c r="E186" s="31">
        <f t="shared" si="54"/>
        <v>200.79999999999998</v>
      </c>
      <c r="F186" s="31">
        <f t="shared" ref="F186:F187" si="63">E186/3</f>
        <v>66.933333333333323</v>
      </c>
      <c r="I186" s="32" t="s">
        <v>90</v>
      </c>
      <c r="J186" s="41">
        <f t="shared" si="62"/>
        <v>60.2</v>
      </c>
      <c r="K186" s="41">
        <f t="shared" si="61"/>
        <v>58.900000000000006</v>
      </c>
      <c r="L186" s="41">
        <f t="shared" si="61"/>
        <v>57.8</v>
      </c>
    </row>
    <row r="187" spans="1:18" x14ac:dyDescent="0.25">
      <c r="A187" s="32" t="s">
        <v>103</v>
      </c>
      <c r="B187" s="121">
        <v>66.5</v>
      </c>
      <c r="C187" s="121">
        <v>59.8</v>
      </c>
      <c r="D187" s="121">
        <v>51.4</v>
      </c>
      <c r="E187" s="31">
        <f t="shared" si="54"/>
        <v>177.7</v>
      </c>
      <c r="F187" s="31">
        <f t="shared" si="63"/>
        <v>59.233333333333327</v>
      </c>
      <c r="I187" s="32" t="s">
        <v>91</v>
      </c>
      <c r="J187" s="41">
        <f t="shared" si="62"/>
        <v>62.5</v>
      </c>
      <c r="K187" s="41">
        <f t="shared" si="61"/>
        <v>66.5</v>
      </c>
      <c r="L187" s="41">
        <f t="shared" si="61"/>
        <v>59.8</v>
      </c>
    </row>
    <row r="188" spans="1:18" x14ac:dyDescent="0.25">
      <c r="A188" s="30" t="s">
        <v>4</v>
      </c>
      <c r="B188" s="31">
        <f>SUM(B170:B187)</f>
        <v>1136.4000000000001</v>
      </c>
      <c r="C188" s="31">
        <f t="shared" ref="C188:D188" si="64">SUM(C170:C187)</f>
        <v>1134</v>
      </c>
      <c r="D188" s="31">
        <f t="shared" si="64"/>
        <v>1128.5999999999999</v>
      </c>
      <c r="E188" s="31">
        <f>SUM(E170:E187)</f>
        <v>3399</v>
      </c>
      <c r="F188" s="31">
        <f>AVERAGE(B170:D187)</f>
        <v>62.944444444444443</v>
      </c>
      <c r="I188" s="32" t="s">
        <v>92</v>
      </c>
      <c r="J188" s="41">
        <f t="shared" si="62"/>
        <v>55.2</v>
      </c>
      <c r="K188" s="41">
        <f t="shared" si="61"/>
        <v>52.5</v>
      </c>
      <c r="L188" s="41">
        <f t="shared" si="61"/>
        <v>55.2</v>
      </c>
    </row>
    <row r="189" spans="1:18" x14ac:dyDescent="0.25">
      <c r="A189" s="30" t="s">
        <v>5</v>
      </c>
      <c r="B189" s="31">
        <f>B188/18</f>
        <v>63.13333333333334</v>
      </c>
      <c r="C189" s="31">
        <f>C188/18</f>
        <v>63</v>
      </c>
      <c r="D189" s="31">
        <f>D188/18</f>
        <v>62.699999999999996</v>
      </c>
      <c r="I189" s="32" t="s">
        <v>93</v>
      </c>
      <c r="J189" s="41">
        <f t="shared" si="62"/>
        <v>60.8</v>
      </c>
      <c r="K189" s="41">
        <f t="shared" si="61"/>
        <v>52.9</v>
      </c>
      <c r="L189" s="41">
        <f t="shared" si="61"/>
        <v>58.8</v>
      </c>
    </row>
    <row r="190" spans="1:18" x14ac:dyDescent="0.25">
      <c r="A190" s="30" t="s">
        <v>26</v>
      </c>
      <c r="B190" s="31">
        <f>(E188*E188)/54</f>
        <v>213948.16666666666</v>
      </c>
      <c r="C190" s="31"/>
      <c r="D190" s="31"/>
      <c r="I190" s="32" t="s">
        <v>94</v>
      </c>
      <c r="J190" s="41">
        <f t="shared" si="62"/>
        <v>50.1</v>
      </c>
      <c r="K190" s="41">
        <f t="shared" si="61"/>
        <v>54.2</v>
      </c>
      <c r="L190" s="41">
        <f t="shared" si="61"/>
        <v>49.5</v>
      </c>
    </row>
    <row r="191" spans="1:18" x14ac:dyDescent="0.25">
      <c r="A191" s="30" t="s">
        <v>27</v>
      </c>
      <c r="B191" s="31">
        <f>SUMSQ(B170:D187)-B190</f>
        <v>5144.7733333333163</v>
      </c>
      <c r="C191" s="30" t="s">
        <v>28</v>
      </c>
      <c r="D191" s="31">
        <f>(SUMSQ(B188:D188)/18)-B190</f>
        <v>1.7733333333453629</v>
      </c>
      <c r="I191" s="32" t="s">
        <v>95</v>
      </c>
    </row>
    <row r="192" spans="1:18" x14ac:dyDescent="0.25">
      <c r="A192" s="30" t="s">
        <v>30</v>
      </c>
      <c r="B192" s="31">
        <f>(SUMSQ(E170:E187)/3)-B190</f>
        <v>4759.5266666667012</v>
      </c>
      <c r="C192" s="30" t="s">
        <v>31</v>
      </c>
      <c r="D192" s="31">
        <f>B191-B192-D191</f>
        <v>383.47333333326969</v>
      </c>
      <c r="I192" s="32" t="s">
        <v>96</v>
      </c>
      <c r="J192" s="41">
        <f>B180-10</f>
        <v>53.6</v>
      </c>
      <c r="K192" s="41">
        <f t="shared" ref="K192:L199" si="65">C180-10</f>
        <v>54.099999999999994</v>
      </c>
      <c r="L192" s="41">
        <f t="shared" si="65"/>
        <v>52.5</v>
      </c>
    </row>
    <row r="193" spans="1:18" x14ac:dyDescent="0.25">
      <c r="I193" s="32" t="s">
        <v>97</v>
      </c>
      <c r="J193" s="41">
        <f t="shared" ref="J193:J199" si="66">B181-10</f>
        <v>61.5</v>
      </c>
      <c r="K193" s="41">
        <f t="shared" si="65"/>
        <v>52.5</v>
      </c>
      <c r="L193" s="41">
        <f t="shared" si="65"/>
        <v>59.8</v>
      </c>
    </row>
    <row r="194" spans="1:18" x14ac:dyDescent="0.25">
      <c r="I194" s="32" t="s">
        <v>98</v>
      </c>
      <c r="J194" s="41">
        <f t="shared" si="66"/>
        <v>51.5</v>
      </c>
      <c r="K194" s="41">
        <f t="shared" si="65"/>
        <v>48.5</v>
      </c>
      <c r="L194" s="41">
        <f t="shared" si="65"/>
        <v>52.5</v>
      </c>
    </row>
    <row r="195" spans="1:18" x14ac:dyDescent="0.25">
      <c r="I195" s="32" t="s">
        <v>99</v>
      </c>
      <c r="J195" s="41">
        <f t="shared" si="66"/>
        <v>53.6</v>
      </c>
      <c r="K195" s="41">
        <f t="shared" si="65"/>
        <v>61.7</v>
      </c>
      <c r="L195" s="41">
        <f t="shared" si="65"/>
        <v>57.900000000000006</v>
      </c>
    </row>
    <row r="196" spans="1:18" ht="15.75" x14ac:dyDescent="0.25">
      <c r="C196" s="56" t="s">
        <v>128</v>
      </c>
      <c r="I196" s="32" t="s">
        <v>100</v>
      </c>
      <c r="J196" s="41">
        <f t="shared" si="66"/>
        <v>62.599999999999994</v>
      </c>
      <c r="K196" s="41">
        <f t="shared" si="65"/>
        <v>65.2</v>
      </c>
      <c r="L196" s="41">
        <f t="shared" si="65"/>
        <v>58.599999999999994</v>
      </c>
    </row>
    <row r="197" spans="1:18" x14ac:dyDescent="0.25">
      <c r="I197" s="32" t="s">
        <v>101</v>
      </c>
      <c r="J197" s="41">
        <f t="shared" si="66"/>
        <v>53.2</v>
      </c>
      <c r="K197" s="41">
        <f t="shared" si="65"/>
        <v>55.5</v>
      </c>
      <c r="L197" s="41">
        <f t="shared" si="65"/>
        <v>50.900000000000006</v>
      </c>
    </row>
    <row r="198" spans="1:18" x14ac:dyDescent="0.25">
      <c r="A198" s="36" t="s">
        <v>104</v>
      </c>
      <c r="B198" s="38">
        <v>2</v>
      </c>
      <c r="C198" s="39"/>
      <c r="D198" s="39"/>
      <c r="E198" s="39"/>
      <c r="F198" s="39"/>
      <c r="G198" s="39"/>
      <c r="H198" s="39"/>
      <c r="I198" s="32" t="s">
        <v>102</v>
      </c>
      <c r="J198" s="41">
        <f t="shared" si="66"/>
        <v>52.8</v>
      </c>
      <c r="K198" s="41">
        <f t="shared" si="65"/>
        <v>60.900000000000006</v>
      </c>
      <c r="L198" s="41">
        <f t="shared" si="65"/>
        <v>57.099999999999994</v>
      </c>
      <c r="M198" s="35"/>
      <c r="N198" s="35"/>
      <c r="O198" s="39"/>
      <c r="P198" s="39"/>
    </row>
    <row r="199" spans="1:18" x14ac:dyDescent="0.25">
      <c r="A199" s="36" t="s">
        <v>105</v>
      </c>
      <c r="B199" s="38">
        <v>9</v>
      </c>
      <c r="C199" s="39" t="s">
        <v>107</v>
      </c>
      <c r="D199" s="39">
        <v>18</v>
      </c>
      <c r="E199" s="39"/>
      <c r="F199" s="39"/>
      <c r="G199" s="39"/>
      <c r="H199" s="39"/>
      <c r="I199" s="32" t="s">
        <v>103</v>
      </c>
      <c r="J199" s="41">
        <f t="shared" si="66"/>
        <v>56.5</v>
      </c>
      <c r="K199" s="41">
        <f t="shared" si="65"/>
        <v>49.8</v>
      </c>
      <c r="L199" s="41">
        <f t="shared" si="65"/>
        <v>41.4</v>
      </c>
      <c r="M199" s="35"/>
      <c r="N199" s="35"/>
      <c r="O199" s="39"/>
      <c r="P199" s="39"/>
    </row>
    <row r="200" spans="1:18" x14ac:dyDescent="0.25">
      <c r="A200" s="37" t="s">
        <v>106</v>
      </c>
      <c r="B200" s="40">
        <v>3</v>
      </c>
    </row>
    <row r="201" spans="1:18" x14ac:dyDescent="0.25">
      <c r="A201" s="46" t="s">
        <v>0</v>
      </c>
      <c r="B201" s="30" t="s">
        <v>1</v>
      </c>
      <c r="C201" s="30" t="s">
        <v>2</v>
      </c>
      <c r="D201" s="30" t="s">
        <v>3</v>
      </c>
      <c r="E201" s="30" t="s">
        <v>4</v>
      </c>
      <c r="F201" s="30" t="s">
        <v>5</v>
      </c>
      <c r="O201" s="41" t="s">
        <v>7</v>
      </c>
      <c r="R201" s="41"/>
    </row>
    <row r="202" spans="1:18" x14ac:dyDescent="0.25">
      <c r="A202" s="32" t="s">
        <v>86</v>
      </c>
      <c r="B202" s="57">
        <f>(B138+B170)</f>
        <v>65.7</v>
      </c>
      <c r="C202" s="57">
        <f t="shared" ref="C202:D202" si="67">(C138+C170)</f>
        <v>60.3</v>
      </c>
      <c r="D202" s="57">
        <f t="shared" si="67"/>
        <v>65.760000000000005</v>
      </c>
      <c r="E202" s="31">
        <f>SUM(B202:D202)</f>
        <v>191.76</v>
      </c>
      <c r="F202" s="31">
        <f>E202/3</f>
        <v>63.919999999999995</v>
      </c>
      <c r="H202" s="47"/>
      <c r="I202" s="47"/>
      <c r="J202" s="47" t="s">
        <v>6</v>
      </c>
      <c r="K202" s="47"/>
      <c r="L202" s="47"/>
      <c r="M202" s="47"/>
      <c r="N202" s="47"/>
      <c r="O202" s="33">
        <v>1</v>
      </c>
      <c r="P202" s="31">
        <f>SUM(F202:F210)/9</f>
        <v>105.07851851851852</v>
      </c>
      <c r="Q202" s="49">
        <f>RANK(P202,P$202:P$203,0)</f>
        <v>1</v>
      </c>
      <c r="R202" s="41"/>
    </row>
    <row r="203" spans="1:18" x14ac:dyDescent="0.25">
      <c r="A203" s="32" t="s">
        <v>87</v>
      </c>
      <c r="B203" s="57">
        <f t="shared" ref="B203:D218" si="68">(B139+B171)</f>
        <v>105.06</v>
      </c>
      <c r="C203" s="57">
        <f t="shared" si="68"/>
        <v>107.69999999999999</v>
      </c>
      <c r="D203" s="57">
        <f t="shared" si="68"/>
        <v>111</v>
      </c>
      <c r="E203" s="31">
        <f t="shared" ref="E203:E219" si="69">SUM(B203:D203)</f>
        <v>323.76</v>
      </c>
      <c r="F203" s="31">
        <f t="shared" ref="F203:F216" si="70">E203/3</f>
        <v>107.92</v>
      </c>
      <c r="G203" s="31"/>
      <c r="H203" s="30" t="s">
        <v>8</v>
      </c>
      <c r="I203" s="30" t="s">
        <v>9</v>
      </c>
      <c r="J203" s="30" t="s">
        <v>10</v>
      </c>
      <c r="K203" s="30" t="s">
        <v>11</v>
      </c>
      <c r="L203" s="30" t="s">
        <v>12</v>
      </c>
      <c r="M203" s="30" t="s">
        <v>112</v>
      </c>
      <c r="N203" s="50"/>
      <c r="O203" s="33">
        <v>2</v>
      </c>
      <c r="P203" s="31">
        <f>SUM(F211:F219)/9</f>
        <v>101.77962962962962</v>
      </c>
      <c r="Q203" s="49">
        <f>RANK(P203,P$202:P$203,0)</f>
        <v>2</v>
      </c>
      <c r="R203" s="41"/>
    </row>
    <row r="204" spans="1:18" x14ac:dyDescent="0.25">
      <c r="A204" s="32" t="s">
        <v>88</v>
      </c>
      <c r="B204" s="57">
        <f t="shared" si="68"/>
        <v>118.7</v>
      </c>
      <c r="C204" s="57">
        <f t="shared" si="68"/>
        <v>120.4</v>
      </c>
      <c r="D204" s="57">
        <f t="shared" si="68"/>
        <v>120.3</v>
      </c>
      <c r="E204" s="31">
        <f t="shared" si="69"/>
        <v>359.40000000000003</v>
      </c>
      <c r="F204" s="31">
        <f t="shared" si="70"/>
        <v>119.80000000000001</v>
      </c>
      <c r="G204" s="31" t="s">
        <v>13</v>
      </c>
      <c r="H204" s="31">
        <f>B200-1</f>
        <v>2</v>
      </c>
      <c r="I204" s="31">
        <f>D223</f>
        <v>10.046892592683434</v>
      </c>
      <c r="J204" s="31">
        <f>I204/H204</f>
        <v>5.0234462963417172</v>
      </c>
      <c r="K204" s="31">
        <f>J204/$J$16</f>
        <v>0.95252532034167625</v>
      </c>
      <c r="L204" s="31">
        <f>FINV(0.05,H204,$H$16)</f>
        <v>3.275897990672394</v>
      </c>
      <c r="M204" s="31" t="str">
        <f>IF(K204&gt;=L204, "S", "NS")</f>
        <v>NS</v>
      </c>
      <c r="N204" s="39"/>
      <c r="O204" s="30" t="s">
        <v>14</v>
      </c>
      <c r="P204" s="42">
        <f>SQRT(J209/(3*9))</f>
        <v>0.88152437831583219</v>
      </c>
      <c r="R204" s="41"/>
    </row>
    <row r="205" spans="1:18" x14ac:dyDescent="0.25">
      <c r="A205" s="32" t="s">
        <v>89</v>
      </c>
      <c r="B205" s="57">
        <f t="shared" si="68"/>
        <v>101.5</v>
      </c>
      <c r="C205" s="57">
        <f t="shared" si="68"/>
        <v>99.800000000000011</v>
      </c>
      <c r="D205" s="57">
        <f t="shared" si="68"/>
        <v>100.7</v>
      </c>
      <c r="E205" s="31">
        <f t="shared" si="69"/>
        <v>302</v>
      </c>
      <c r="F205" s="31">
        <f t="shared" si="70"/>
        <v>100.66666666666667</v>
      </c>
      <c r="G205" s="31" t="s">
        <v>15</v>
      </c>
      <c r="H205" s="31">
        <f>D199-1</f>
        <v>17</v>
      </c>
      <c r="I205" s="31">
        <f>B224</f>
        <v>15086.020920370589</v>
      </c>
      <c r="J205" s="31">
        <f t="shared" ref="J205:J209" si="71">I205/H205</f>
        <v>887.41299531591699</v>
      </c>
      <c r="K205" s="31">
        <f>J205/$J$16</f>
        <v>168.26761903560725</v>
      </c>
      <c r="L205" s="31">
        <f>FINV(0.05,H205,$H$16)</f>
        <v>1.9332068318040869</v>
      </c>
      <c r="M205" s="43" t="str">
        <f t="shared" ref="M205" si="72">IF(K205&gt;=L205, "S", "NS")</f>
        <v>S</v>
      </c>
      <c r="N205" s="30" t="s">
        <v>113</v>
      </c>
      <c r="O205" s="30" t="s">
        <v>16</v>
      </c>
      <c r="P205" s="42">
        <f>SQRT((2*J209)/(3*9))*L210</f>
        <v>2.5335255230559626</v>
      </c>
      <c r="R205" s="41"/>
    </row>
    <row r="206" spans="1:18" x14ac:dyDescent="0.25">
      <c r="A206" s="32" t="s">
        <v>90</v>
      </c>
      <c r="B206" s="57">
        <f t="shared" si="68"/>
        <v>116.7</v>
      </c>
      <c r="C206" s="57">
        <f t="shared" si="68"/>
        <v>117.80000000000001</v>
      </c>
      <c r="D206" s="57">
        <f t="shared" si="68"/>
        <v>113.4</v>
      </c>
      <c r="E206" s="31">
        <f t="shared" si="69"/>
        <v>347.9</v>
      </c>
      <c r="F206" s="31">
        <f t="shared" si="70"/>
        <v>115.96666666666665</v>
      </c>
      <c r="G206" s="31" t="s">
        <v>108</v>
      </c>
      <c r="H206" s="31">
        <f>B198-1</f>
        <v>1</v>
      </c>
      <c r="I206" s="31">
        <f>(SUM(E202:E210)^2+SUM(E211:E219)^2)/27-B222</f>
        <v>146.91601666680072</v>
      </c>
      <c r="J206" s="31">
        <f t="shared" si="71"/>
        <v>146.91601666680072</v>
      </c>
      <c r="K206" s="31">
        <f>J206/$J$16</f>
        <v>27.857613595029061</v>
      </c>
      <c r="L206" s="31">
        <f>FINV(0.05,H206,$H$16)</f>
        <v>4.1300177456520188</v>
      </c>
      <c r="M206" s="31" t="str">
        <f>IF(K206&gt;=L206, "S", "NS")</f>
        <v>S</v>
      </c>
      <c r="N206" s="39"/>
      <c r="O206" s="33">
        <v>1</v>
      </c>
      <c r="P206" s="31">
        <f>(F202+F211)/2</f>
        <v>62.226666666666667</v>
      </c>
      <c r="Q206" s="49">
        <f>RANK(P206,P$206:P$214,0)</f>
        <v>9</v>
      </c>
      <c r="R206" s="51">
        <v>9</v>
      </c>
    </row>
    <row r="207" spans="1:18" x14ac:dyDescent="0.25">
      <c r="A207" s="32" t="s">
        <v>91</v>
      </c>
      <c r="B207" s="57">
        <f t="shared" si="68"/>
        <v>125.1</v>
      </c>
      <c r="C207" s="57">
        <f t="shared" si="68"/>
        <v>127.3</v>
      </c>
      <c r="D207" s="57">
        <f t="shared" si="68"/>
        <v>118.69999999999999</v>
      </c>
      <c r="E207" s="31">
        <f t="shared" si="69"/>
        <v>371.09999999999997</v>
      </c>
      <c r="F207" s="31">
        <f t="shared" si="70"/>
        <v>123.69999999999999</v>
      </c>
      <c r="G207" s="31" t="s">
        <v>109</v>
      </c>
      <c r="H207" s="31">
        <f>B199-1</f>
        <v>8</v>
      </c>
      <c r="I207" s="31">
        <f>((E202+E211)^2+(E203+E212)^2+(E204+E213)^2+(E205+E214)^2+(E206+E215)^2+(E207+E216)^2+(E208+E217)^2+(E209+E218)^2+(E210+E219)^2/6)-B222</f>
        <v>2696461.4367203708</v>
      </c>
      <c r="J207" s="31">
        <f t="shared" si="71"/>
        <v>337057.67959004635</v>
      </c>
      <c r="K207" s="31">
        <f>J207/$J$16</f>
        <v>63911.49726412668</v>
      </c>
      <c r="L207" s="31">
        <f>FINV(0.05,H207,$H$16)</f>
        <v>2.2253399674380931</v>
      </c>
      <c r="M207" s="31" t="str">
        <f>IF(K207&gt;=L207, "S", "NS")</f>
        <v>S</v>
      </c>
      <c r="N207" s="39"/>
      <c r="O207" s="33">
        <v>2</v>
      </c>
      <c r="P207" s="31">
        <f t="shared" ref="P207:P214" si="73">(F203+F212)/2</f>
        <v>104.72666666666667</v>
      </c>
      <c r="Q207" s="49">
        <f t="shared" ref="Q207:Q214" si="74">RANK(P207,P$206:P$214,0)</f>
        <v>5</v>
      </c>
      <c r="R207" s="52">
        <v>5</v>
      </c>
    </row>
    <row r="208" spans="1:18" x14ac:dyDescent="0.25">
      <c r="A208" s="32" t="s">
        <v>92</v>
      </c>
      <c r="B208" s="57">
        <f t="shared" si="68"/>
        <v>105</v>
      </c>
      <c r="C208" s="57">
        <f t="shared" si="68"/>
        <v>101.9</v>
      </c>
      <c r="D208" s="57">
        <f t="shared" si="68"/>
        <v>106</v>
      </c>
      <c r="E208" s="31">
        <f t="shared" si="69"/>
        <v>312.89999999999998</v>
      </c>
      <c r="F208" s="31">
        <f t="shared" si="70"/>
        <v>104.3</v>
      </c>
      <c r="G208" s="26" t="s">
        <v>110</v>
      </c>
      <c r="H208" s="31">
        <f>H206*H207</f>
        <v>8</v>
      </c>
      <c r="I208" s="31">
        <f>I205-(I206+I207)</f>
        <v>-2681522.3318166668</v>
      </c>
      <c r="J208" s="31">
        <f t="shared" si="71"/>
        <v>-335190.29147708334</v>
      </c>
      <c r="K208" s="44">
        <f>J208/$J$16</f>
        <v>-63557.410775375392</v>
      </c>
      <c r="L208" s="31">
        <f>FINV(0.05,H208,$H$16)</f>
        <v>2.2253399674380931</v>
      </c>
      <c r="M208" s="31" t="str">
        <f t="shared" ref="M208" si="75">IF(K208&gt;=L208, "S", "NS")</f>
        <v>NS</v>
      </c>
      <c r="N208" s="39"/>
      <c r="O208" s="33">
        <v>3</v>
      </c>
      <c r="P208" s="31">
        <f t="shared" si="73"/>
        <v>117.69166666666666</v>
      </c>
      <c r="Q208" s="49">
        <f t="shared" si="74"/>
        <v>2</v>
      </c>
      <c r="R208" s="52">
        <v>2</v>
      </c>
    </row>
    <row r="209" spans="1:18" x14ac:dyDescent="0.25">
      <c r="A209" s="32" t="s">
        <v>93</v>
      </c>
      <c r="B209" s="57">
        <f t="shared" si="68"/>
        <v>115.4</v>
      </c>
      <c r="C209" s="57">
        <f t="shared" si="68"/>
        <v>106.69999999999999</v>
      </c>
      <c r="D209" s="57">
        <f t="shared" si="68"/>
        <v>111.6</v>
      </c>
      <c r="E209" s="31">
        <f t="shared" si="69"/>
        <v>333.7</v>
      </c>
      <c r="F209" s="31">
        <f t="shared" si="70"/>
        <v>111.23333333333333</v>
      </c>
      <c r="G209" s="45" t="s">
        <v>23</v>
      </c>
      <c r="H209" s="31">
        <f>((B200-1)*(B198*B199-1))</f>
        <v>34</v>
      </c>
      <c r="I209" s="31">
        <f>D224</f>
        <v>713.36424074077513</v>
      </c>
      <c r="J209" s="31">
        <f t="shared" si="71"/>
        <v>20.981301198258091</v>
      </c>
      <c r="O209" s="33">
        <v>4</v>
      </c>
      <c r="P209" s="31">
        <f t="shared" si="73"/>
        <v>99.350000000000009</v>
      </c>
      <c r="Q209" s="49">
        <f t="shared" si="74"/>
        <v>7</v>
      </c>
      <c r="R209" s="52">
        <v>7</v>
      </c>
    </row>
    <row r="210" spans="1:18" x14ac:dyDescent="0.25">
      <c r="A210" s="32" t="s">
        <v>94</v>
      </c>
      <c r="B210" s="57">
        <f t="shared" si="68"/>
        <v>99.6</v>
      </c>
      <c r="C210" s="57">
        <f t="shared" si="68"/>
        <v>101</v>
      </c>
      <c r="D210" s="57">
        <f t="shared" si="68"/>
        <v>94</v>
      </c>
      <c r="E210" s="31">
        <f t="shared" si="69"/>
        <v>294.60000000000002</v>
      </c>
      <c r="F210" s="31">
        <f t="shared" si="70"/>
        <v>98.2</v>
      </c>
      <c r="G210" s="44" t="s">
        <v>4</v>
      </c>
      <c r="H210" s="31">
        <f>SUM(H204:H209)-H205</f>
        <v>53</v>
      </c>
      <c r="I210" s="31">
        <f>B223</f>
        <v>15809.432053704048</v>
      </c>
      <c r="K210" s="31" t="s">
        <v>111</v>
      </c>
      <c r="L210" s="41">
        <f>TINV(0.05,34)</f>
        <v>2.0322445093177191</v>
      </c>
      <c r="O210" s="33">
        <v>5</v>
      </c>
      <c r="P210" s="31">
        <f t="shared" si="73"/>
        <v>113.26666666666667</v>
      </c>
      <c r="Q210" s="49">
        <f t="shared" si="74"/>
        <v>3</v>
      </c>
      <c r="R210" s="51">
        <v>3</v>
      </c>
    </row>
    <row r="211" spans="1:18" x14ac:dyDescent="0.25">
      <c r="A211" s="32" t="s">
        <v>95</v>
      </c>
      <c r="B211" s="57">
        <f t="shared" si="68"/>
        <v>56.6</v>
      </c>
      <c r="C211" s="57">
        <f t="shared" si="68"/>
        <v>58.1</v>
      </c>
      <c r="D211" s="57">
        <f t="shared" si="68"/>
        <v>66.900000000000006</v>
      </c>
      <c r="E211" s="31">
        <f t="shared" si="69"/>
        <v>181.60000000000002</v>
      </c>
      <c r="F211" s="31">
        <f t="shared" si="70"/>
        <v>60.533333333333339</v>
      </c>
      <c r="G211" s="34" t="s">
        <v>14</v>
      </c>
      <c r="H211" s="31">
        <f>SQRT(J209/3)</f>
        <v>2.6445731349474966</v>
      </c>
      <c r="O211" s="33">
        <v>6</v>
      </c>
      <c r="P211" s="31">
        <f t="shared" si="73"/>
        <v>122.71666666666667</v>
      </c>
      <c r="Q211" s="49">
        <f t="shared" si="74"/>
        <v>1</v>
      </c>
      <c r="R211" s="52">
        <v>1</v>
      </c>
    </row>
    <row r="212" spans="1:18" x14ac:dyDescent="0.25">
      <c r="A212" s="32" t="s">
        <v>96</v>
      </c>
      <c r="B212" s="57">
        <f t="shared" si="68"/>
        <v>103.4</v>
      </c>
      <c r="C212" s="57">
        <f t="shared" si="68"/>
        <v>99.199999999999989</v>
      </c>
      <c r="D212" s="57">
        <f t="shared" si="68"/>
        <v>102</v>
      </c>
      <c r="E212" s="31">
        <f t="shared" si="69"/>
        <v>304.60000000000002</v>
      </c>
      <c r="F212" s="31">
        <f t="shared" si="70"/>
        <v>101.53333333333335</v>
      </c>
      <c r="G212" s="34" t="s">
        <v>16</v>
      </c>
      <c r="H212" s="31">
        <f>(SQRT((2*J209)/3))*L210</f>
        <v>7.6005765691678864</v>
      </c>
      <c r="O212" s="33">
        <v>7</v>
      </c>
      <c r="P212" s="31">
        <f t="shared" si="73"/>
        <v>103.4</v>
      </c>
      <c r="Q212" s="49">
        <f t="shared" si="74"/>
        <v>6</v>
      </c>
      <c r="R212" s="52">
        <v>6</v>
      </c>
    </row>
    <row r="213" spans="1:18" x14ac:dyDescent="0.25">
      <c r="A213" s="32" t="s">
        <v>97</v>
      </c>
      <c r="B213" s="57">
        <f t="shared" si="68"/>
        <v>120.45</v>
      </c>
      <c r="C213" s="57">
        <f t="shared" si="68"/>
        <v>112</v>
      </c>
      <c r="D213" s="57">
        <f t="shared" si="68"/>
        <v>114.3</v>
      </c>
      <c r="E213" s="31">
        <f t="shared" si="69"/>
        <v>346.75</v>
      </c>
      <c r="F213" s="31">
        <f t="shared" si="70"/>
        <v>115.58333333333333</v>
      </c>
      <c r="G213" s="34" t="s">
        <v>29</v>
      </c>
      <c r="H213" s="31">
        <f>((SQRT(J209))/F220)*100</f>
        <v>4.4286725710995647</v>
      </c>
      <c r="O213" s="33">
        <v>8</v>
      </c>
      <c r="P213" s="31">
        <f t="shared" si="73"/>
        <v>110.65</v>
      </c>
      <c r="Q213" s="49">
        <f t="shared" si="74"/>
        <v>4</v>
      </c>
      <c r="R213" s="51">
        <v>4</v>
      </c>
    </row>
    <row r="214" spans="1:18" x14ac:dyDescent="0.25">
      <c r="A214" s="32" t="s">
        <v>98</v>
      </c>
      <c r="B214" s="57">
        <f t="shared" si="68"/>
        <v>99.9</v>
      </c>
      <c r="C214" s="57">
        <f t="shared" si="68"/>
        <v>96.3</v>
      </c>
      <c r="D214" s="57">
        <f t="shared" si="68"/>
        <v>97.9</v>
      </c>
      <c r="E214" s="31">
        <f t="shared" si="69"/>
        <v>294.10000000000002</v>
      </c>
      <c r="F214" s="31">
        <f t="shared" si="70"/>
        <v>98.033333333333346</v>
      </c>
      <c r="O214" s="33">
        <v>9</v>
      </c>
      <c r="P214" s="31">
        <f t="shared" si="73"/>
        <v>96.833333333333329</v>
      </c>
      <c r="Q214" s="49">
        <f t="shared" si="74"/>
        <v>8</v>
      </c>
      <c r="R214" s="52">
        <v>8</v>
      </c>
    </row>
    <row r="215" spans="1:18" x14ac:dyDescent="0.25">
      <c r="A215" s="32" t="s">
        <v>99</v>
      </c>
      <c r="B215" s="57">
        <f t="shared" si="68"/>
        <v>101.1</v>
      </c>
      <c r="C215" s="57">
        <f t="shared" si="68"/>
        <v>119.2</v>
      </c>
      <c r="D215" s="57">
        <f t="shared" si="68"/>
        <v>111.4</v>
      </c>
      <c r="E215" s="31">
        <f t="shared" si="69"/>
        <v>331.70000000000005</v>
      </c>
      <c r="F215" s="31">
        <f t="shared" si="70"/>
        <v>110.56666666666668</v>
      </c>
      <c r="O215" s="30" t="s">
        <v>14</v>
      </c>
      <c r="P215" s="42">
        <f>SQRT(J209/(3*2))</f>
        <v>1.8699955970651414</v>
      </c>
      <c r="Q215" s="49"/>
    </row>
    <row r="216" spans="1:18" x14ac:dyDescent="0.25">
      <c r="A216" s="32" t="s">
        <v>100</v>
      </c>
      <c r="B216" s="57">
        <f t="shared" si="68"/>
        <v>120.1</v>
      </c>
      <c r="C216" s="57">
        <f t="shared" si="68"/>
        <v>128.69999999999999</v>
      </c>
      <c r="D216" s="57">
        <f t="shared" si="68"/>
        <v>116.39999999999999</v>
      </c>
      <c r="E216" s="31">
        <f t="shared" si="69"/>
        <v>365.2</v>
      </c>
      <c r="F216" s="31">
        <f t="shared" si="70"/>
        <v>121.73333333333333</v>
      </c>
      <c r="N216" s="30" t="s">
        <v>109</v>
      </c>
      <c r="O216" s="30" t="s">
        <v>16</v>
      </c>
      <c r="P216" s="42">
        <f>SQRT((2*J209)/(3*2))*L210</f>
        <v>5.3744192329861971</v>
      </c>
      <c r="Q216" s="49"/>
    </row>
    <row r="217" spans="1:18" x14ac:dyDescent="0.25">
      <c r="A217" s="32" t="s">
        <v>101</v>
      </c>
      <c r="B217" s="57">
        <f t="shared" si="68"/>
        <v>103.7</v>
      </c>
      <c r="C217" s="57">
        <f t="shared" si="68"/>
        <v>101.3</v>
      </c>
      <c r="D217" s="57">
        <f t="shared" si="68"/>
        <v>102.5</v>
      </c>
      <c r="E217" s="31">
        <f t="shared" si="69"/>
        <v>307.5</v>
      </c>
      <c r="F217" s="31">
        <f>E217/3</f>
        <v>102.5</v>
      </c>
      <c r="Q217" s="49"/>
    </row>
    <row r="218" spans="1:18" x14ac:dyDescent="0.25">
      <c r="A218" s="32" t="s">
        <v>102</v>
      </c>
      <c r="B218" s="57">
        <f t="shared" si="68"/>
        <v>104.3</v>
      </c>
      <c r="C218" s="57">
        <f t="shared" si="68"/>
        <v>113.5</v>
      </c>
      <c r="D218" s="57">
        <f t="shared" si="68"/>
        <v>112.39999999999999</v>
      </c>
      <c r="E218" s="31">
        <f t="shared" si="69"/>
        <v>330.2</v>
      </c>
      <c r="F218" s="31">
        <f t="shared" ref="F218:F219" si="76">E218/3</f>
        <v>110.06666666666666</v>
      </c>
    </row>
    <row r="219" spans="1:18" x14ac:dyDescent="0.25">
      <c r="A219" s="32" t="s">
        <v>103</v>
      </c>
      <c r="B219" s="57">
        <f t="shared" ref="B219:D219" si="77">(B155+B187)</f>
        <v>102.1</v>
      </c>
      <c r="C219" s="57">
        <f t="shared" si="77"/>
        <v>98.4</v>
      </c>
      <c r="D219" s="57">
        <f t="shared" si="77"/>
        <v>85.9</v>
      </c>
      <c r="E219" s="31">
        <f t="shared" si="69"/>
        <v>286.39999999999998</v>
      </c>
      <c r="F219" s="31">
        <f t="shared" si="76"/>
        <v>95.466666666666654</v>
      </c>
    </row>
    <row r="220" spans="1:18" x14ac:dyDescent="0.25">
      <c r="A220" s="30" t="s">
        <v>4</v>
      </c>
      <c r="B220" s="31">
        <f>SUM(B202:B219)</f>
        <v>1864.4099999999999</v>
      </c>
      <c r="C220" s="31">
        <f t="shared" ref="C220:D220" si="78">SUM(C202:C219)</f>
        <v>1869.6</v>
      </c>
      <c r="D220" s="31">
        <f t="shared" si="78"/>
        <v>1851.1600000000003</v>
      </c>
      <c r="E220" s="31">
        <f>SUM(E202:E219)</f>
        <v>5585.1699999999992</v>
      </c>
      <c r="F220" s="31">
        <f>AVERAGE(B202:D219)</f>
        <v>103.42907407407405</v>
      </c>
    </row>
    <row r="221" spans="1:18" x14ac:dyDescent="0.25">
      <c r="A221" s="30" t="s">
        <v>5</v>
      </c>
      <c r="B221" s="31">
        <f>B220/18</f>
        <v>103.57833333333332</v>
      </c>
      <c r="C221" s="31">
        <f>C220/18</f>
        <v>103.86666666666666</v>
      </c>
      <c r="D221" s="31">
        <f>D220/18</f>
        <v>102.84222222222223</v>
      </c>
    </row>
    <row r="222" spans="1:18" x14ac:dyDescent="0.25">
      <c r="A222" s="30" t="s">
        <v>26</v>
      </c>
      <c r="B222" s="31">
        <f>(E220*E220)/54</f>
        <v>577668.9616462962</v>
      </c>
      <c r="C222" s="31"/>
      <c r="D222" s="31"/>
    </row>
    <row r="223" spans="1:18" x14ac:dyDescent="0.25">
      <c r="A223" s="30" t="s">
        <v>27</v>
      </c>
      <c r="B223" s="31">
        <f>SUMSQ(B202:D219)-B222</f>
        <v>15809.432053704048</v>
      </c>
      <c r="C223" s="30" t="s">
        <v>28</v>
      </c>
      <c r="D223" s="31">
        <f>(SUMSQ(B220:D220)/18)-B222</f>
        <v>10.046892592683434</v>
      </c>
    </row>
    <row r="224" spans="1:18" x14ac:dyDescent="0.25">
      <c r="A224" s="30" t="s">
        <v>30</v>
      </c>
      <c r="B224" s="31">
        <f>(SUMSQ(E202:E219)/3)-B222</f>
        <v>15086.020920370589</v>
      </c>
      <c r="C224" s="30" t="s">
        <v>31</v>
      </c>
      <c r="D224" s="31">
        <f>B223-B224-D223</f>
        <v>713.36424074077513</v>
      </c>
    </row>
    <row r="228" spans="1:18" ht="15.75" x14ac:dyDescent="0.25">
      <c r="C228" s="56" t="s">
        <v>129</v>
      </c>
    </row>
    <row r="230" spans="1:18" x14ac:dyDescent="0.25">
      <c r="A230" s="36" t="s">
        <v>104</v>
      </c>
      <c r="B230" s="38">
        <v>2</v>
      </c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5"/>
      <c r="N230" s="35"/>
      <c r="O230" s="39"/>
      <c r="P230" s="39"/>
    </row>
    <row r="231" spans="1:18" x14ac:dyDescent="0.25">
      <c r="A231" s="36" t="s">
        <v>105</v>
      </c>
      <c r="B231" s="38">
        <v>9</v>
      </c>
      <c r="C231" s="39" t="s">
        <v>107</v>
      </c>
      <c r="D231" s="39">
        <v>18</v>
      </c>
      <c r="E231" s="39"/>
      <c r="F231" s="39"/>
      <c r="G231" s="39"/>
      <c r="H231" s="39"/>
      <c r="I231" s="39"/>
      <c r="J231" s="39"/>
      <c r="K231" s="39"/>
      <c r="L231" s="39"/>
      <c r="M231" s="35"/>
      <c r="N231" s="35"/>
      <c r="O231" s="39"/>
      <c r="P231" s="39"/>
    </row>
    <row r="232" spans="1:18" x14ac:dyDescent="0.25">
      <c r="A232" s="37" t="s">
        <v>106</v>
      </c>
      <c r="B232" s="40">
        <v>3</v>
      </c>
    </row>
    <row r="233" spans="1:18" x14ac:dyDescent="0.25">
      <c r="A233" s="46" t="s">
        <v>0</v>
      </c>
      <c r="B233" s="30" t="s">
        <v>1</v>
      </c>
      <c r="C233" s="30" t="s">
        <v>2</v>
      </c>
      <c r="D233" s="30" t="s">
        <v>3</v>
      </c>
      <c r="E233" s="30" t="s">
        <v>4</v>
      </c>
      <c r="F233" s="30" t="s">
        <v>5</v>
      </c>
      <c r="O233" s="41" t="s">
        <v>7</v>
      </c>
      <c r="R233" s="41"/>
    </row>
    <row r="234" spans="1:18" x14ac:dyDescent="0.25">
      <c r="A234" s="32" t="s">
        <v>86</v>
      </c>
      <c r="B234" s="58">
        <f>(B138/B202)*100</f>
        <v>40.334855403348548</v>
      </c>
      <c r="C234" s="58">
        <f t="shared" ref="C234:D234" si="79">(C138/C202)*100</f>
        <v>36.152570480928695</v>
      </c>
      <c r="D234" s="58">
        <f t="shared" si="79"/>
        <v>35.827250608272507</v>
      </c>
      <c r="E234" s="31">
        <f>SUM(B234:D234)</f>
        <v>112.31467649254975</v>
      </c>
      <c r="F234" s="31">
        <f>E234/3</f>
        <v>37.438225497516584</v>
      </c>
      <c r="H234" s="47"/>
      <c r="I234" s="47"/>
      <c r="J234" s="47" t="s">
        <v>6</v>
      </c>
      <c r="K234" s="47"/>
      <c r="L234" s="47"/>
      <c r="M234" s="47"/>
      <c r="N234" s="47"/>
      <c r="O234" s="33">
        <v>1</v>
      </c>
      <c r="P234" s="42">
        <f>SUM(F234:F242)/9</f>
        <v>39.126770196496807</v>
      </c>
      <c r="Q234" s="49">
        <f>RANK(P234,P$234:P$235,0)</f>
        <v>1</v>
      </c>
      <c r="R234" s="41"/>
    </row>
    <row r="235" spans="1:18" x14ac:dyDescent="0.25">
      <c r="A235" s="32" t="s">
        <v>87</v>
      </c>
      <c r="B235" s="58">
        <f t="shared" ref="B235:D250" si="80">(B139/B203)*100</f>
        <v>37.654673519893393</v>
      </c>
      <c r="C235" s="58">
        <f t="shared" si="80"/>
        <v>40.482822655524608</v>
      </c>
      <c r="D235" s="58">
        <f t="shared" si="80"/>
        <v>40.090090090090094</v>
      </c>
      <c r="E235" s="31">
        <f t="shared" ref="E235:E251" si="81">SUM(B235:D235)</f>
        <v>118.22758626550808</v>
      </c>
      <c r="F235" s="31">
        <f t="shared" ref="F235:F248" si="82">E235/3</f>
        <v>39.409195421836024</v>
      </c>
      <c r="G235" s="31"/>
      <c r="H235" s="30" t="s">
        <v>8</v>
      </c>
      <c r="I235" s="30" t="s">
        <v>9</v>
      </c>
      <c r="J235" s="30" t="s">
        <v>10</v>
      </c>
      <c r="K235" s="30" t="s">
        <v>11</v>
      </c>
      <c r="L235" s="30" t="s">
        <v>12</v>
      </c>
      <c r="M235" s="30" t="s">
        <v>112</v>
      </c>
      <c r="N235" s="50"/>
      <c r="O235" s="33">
        <v>2</v>
      </c>
      <c r="P235" s="42">
        <f>SUM(F243:F251)/9</f>
        <v>38.86218704447878</v>
      </c>
      <c r="Q235" s="49">
        <f>RANK(P235,P$234:P$235,0)</f>
        <v>2</v>
      </c>
      <c r="R235" s="41"/>
    </row>
    <row r="236" spans="1:18" x14ac:dyDescent="0.25">
      <c r="A236" s="32" t="s">
        <v>88</v>
      </c>
      <c r="B236" s="58">
        <f t="shared" si="80"/>
        <v>41.701769165964613</v>
      </c>
      <c r="C236" s="58">
        <f t="shared" si="80"/>
        <v>40.365448504983384</v>
      </c>
      <c r="D236" s="58">
        <f t="shared" si="80"/>
        <v>38.65336658354115</v>
      </c>
      <c r="E236" s="31">
        <f t="shared" si="81"/>
        <v>120.72058425448915</v>
      </c>
      <c r="F236" s="31">
        <f t="shared" si="82"/>
        <v>40.240194751496382</v>
      </c>
      <c r="G236" s="31" t="s">
        <v>13</v>
      </c>
      <c r="H236" s="31">
        <f>B232-1</f>
        <v>2</v>
      </c>
      <c r="I236" s="31">
        <f>D255</f>
        <v>0.7035361759189982</v>
      </c>
      <c r="J236" s="31">
        <f>I236/H236</f>
        <v>0.3517680879594991</v>
      </c>
      <c r="K236" s="31">
        <f>J236/$J$16</f>
        <v>6.6700824673613268E-2</v>
      </c>
      <c r="L236" s="31">
        <f>FINV(0.05,H236,$H$16)</f>
        <v>3.275897990672394</v>
      </c>
      <c r="M236" s="31" t="str">
        <f>IF(K236&gt;=L236, "S", "NS")</f>
        <v>NS</v>
      </c>
      <c r="N236" s="39"/>
      <c r="O236" s="30" t="s">
        <v>14</v>
      </c>
      <c r="P236" s="42">
        <f>SQRT(J241/(3*9))</f>
        <v>0.35772937240216951</v>
      </c>
      <c r="R236" s="41"/>
    </row>
    <row r="237" spans="1:18" x14ac:dyDescent="0.25">
      <c r="A237" s="32" t="s">
        <v>89</v>
      </c>
      <c r="B237" s="58">
        <f t="shared" si="80"/>
        <v>39.014778325123153</v>
      </c>
      <c r="C237" s="58">
        <f t="shared" si="80"/>
        <v>38.977955911823642</v>
      </c>
      <c r="D237" s="58">
        <f t="shared" si="80"/>
        <v>36.544190665342597</v>
      </c>
      <c r="E237" s="31">
        <f t="shared" si="81"/>
        <v>114.5369249022894</v>
      </c>
      <c r="F237" s="31">
        <f t="shared" si="82"/>
        <v>38.178974967429802</v>
      </c>
      <c r="G237" s="31" t="s">
        <v>15</v>
      </c>
      <c r="H237" s="31">
        <f>D231-1</f>
        <v>17</v>
      </c>
      <c r="I237" s="31">
        <f>B256</f>
        <v>82.806817122545908</v>
      </c>
      <c r="J237" s="31">
        <f t="shared" ref="J237:J241" si="83">I237/H237</f>
        <v>4.8709892425027004</v>
      </c>
      <c r="K237" s="31">
        <f>J237/$J$16</f>
        <v>0.9236170379634786</v>
      </c>
      <c r="L237" s="31">
        <f>FINV(0.05,H237,$H$16)</f>
        <v>1.9332068318040869</v>
      </c>
      <c r="M237" s="43" t="str">
        <f t="shared" ref="M237" si="84">IF(K237&gt;=L237, "S", "NS")</f>
        <v>NS</v>
      </c>
      <c r="N237" s="30" t="s">
        <v>113</v>
      </c>
      <c r="O237" s="30" t="s">
        <v>16</v>
      </c>
      <c r="P237" s="42">
        <f>SQRT((2*J241)/(3*9))*L242</f>
        <v>1.0281241422491585</v>
      </c>
      <c r="R237" s="41"/>
    </row>
    <row r="238" spans="1:18" x14ac:dyDescent="0.25">
      <c r="A238" s="32" t="s">
        <v>90</v>
      </c>
      <c r="B238" s="58">
        <f t="shared" si="80"/>
        <v>39.84575835475578</v>
      </c>
      <c r="C238" s="58">
        <f t="shared" si="80"/>
        <v>41.511035653650247</v>
      </c>
      <c r="D238" s="58">
        <f t="shared" si="80"/>
        <v>40.211640211640209</v>
      </c>
      <c r="E238" s="31">
        <f t="shared" si="81"/>
        <v>121.56843422004624</v>
      </c>
      <c r="F238" s="31">
        <f t="shared" si="82"/>
        <v>40.522811406682081</v>
      </c>
      <c r="G238" s="31" t="s">
        <v>108</v>
      </c>
      <c r="H238" s="31">
        <f>B230-1</f>
        <v>1</v>
      </c>
      <c r="I238" s="31">
        <f>(SUM(E234:E242)^2+SUM(E243:E251)^2)/27-B254</f>
        <v>0.94505729847878683</v>
      </c>
      <c r="J238" s="31">
        <f t="shared" si="83"/>
        <v>0.94505729847878683</v>
      </c>
      <c r="K238" s="31">
        <f>J238/$J$16</f>
        <v>0.17919789580119572</v>
      </c>
      <c r="L238" s="31">
        <f>FINV(0.05,H238,$H$16)</f>
        <v>4.1300177456520188</v>
      </c>
      <c r="M238" s="31" t="str">
        <f>IF(K238&gt;=L238, "S", "NS")</f>
        <v>NS</v>
      </c>
      <c r="N238" s="39"/>
      <c r="O238" s="33">
        <v>1</v>
      </c>
      <c r="P238" s="42">
        <f>(F234+F243)/2</f>
        <v>37.722809194920416</v>
      </c>
      <c r="Q238" s="49">
        <f>RANK(P238,P$238:P$246,0)</f>
        <v>9</v>
      </c>
      <c r="R238" s="51">
        <v>9</v>
      </c>
    </row>
    <row r="239" spans="1:18" x14ac:dyDescent="0.25">
      <c r="A239" s="32" t="s">
        <v>91</v>
      </c>
      <c r="B239" s="58">
        <f t="shared" si="80"/>
        <v>42.046362909672261</v>
      </c>
      <c r="C239" s="58">
        <f t="shared" si="80"/>
        <v>39.905734485467399</v>
      </c>
      <c r="D239" s="58">
        <f t="shared" si="80"/>
        <v>41.196293176074136</v>
      </c>
      <c r="E239" s="31">
        <f t="shared" si="81"/>
        <v>123.1483905712138</v>
      </c>
      <c r="F239" s="31">
        <f t="shared" si="82"/>
        <v>41.049463523737934</v>
      </c>
      <c r="G239" s="31" t="s">
        <v>109</v>
      </c>
      <c r="H239" s="31">
        <f>B231-1</f>
        <v>8</v>
      </c>
      <c r="I239" s="31">
        <f>((E234+E243)^2+(E235+E244)^2+(E236+E245)^2+(E237+E246)^2+(E238+E247)^2+(E239+E248)^2+(E240+E249)^2+(E241+E250)^2+(E242+E251)^2/6)-B254</f>
        <v>368010.27435645496</v>
      </c>
      <c r="J239" s="31">
        <f t="shared" si="83"/>
        <v>46001.28429455687</v>
      </c>
      <c r="K239" s="31">
        <f>J239/$J$16</f>
        <v>8722.5751951824295</v>
      </c>
      <c r="L239" s="31">
        <f>FINV(0.05,H239,$H$16)</f>
        <v>2.2253399674380931</v>
      </c>
      <c r="M239" s="31" t="str">
        <f>IF(K239&gt;=L239, "S", "NS")</f>
        <v>S</v>
      </c>
      <c r="N239" s="39"/>
      <c r="O239" s="33">
        <v>2</v>
      </c>
      <c r="P239" s="42">
        <f t="shared" ref="P239:P246" si="85">(F235+F244)/2</f>
        <v>38.471239485969996</v>
      </c>
      <c r="Q239" s="49">
        <f t="shared" ref="Q239:Q246" si="86">RANK(P239,P$238:P$246,0)</f>
        <v>5</v>
      </c>
      <c r="R239" s="52">
        <v>5</v>
      </c>
    </row>
    <row r="240" spans="1:18" x14ac:dyDescent="0.25">
      <c r="A240" s="32" t="s">
        <v>92</v>
      </c>
      <c r="B240" s="58">
        <f t="shared" si="80"/>
        <v>37.904761904761905</v>
      </c>
      <c r="C240" s="58">
        <f t="shared" si="80"/>
        <v>38.665358194308141</v>
      </c>
      <c r="D240" s="58">
        <f t="shared" si="80"/>
        <v>38.490566037735846</v>
      </c>
      <c r="E240" s="31">
        <f t="shared" si="81"/>
        <v>115.06068613680588</v>
      </c>
      <c r="F240" s="31">
        <f t="shared" si="82"/>
        <v>38.353562045601961</v>
      </c>
      <c r="G240" s="26" t="s">
        <v>110</v>
      </c>
      <c r="H240" s="31">
        <f>H238*H239</f>
        <v>8</v>
      </c>
      <c r="I240" s="31">
        <f>I237-(I238+I239)</f>
        <v>-367928.41259663086</v>
      </c>
      <c r="J240" s="31">
        <f t="shared" si="83"/>
        <v>-45991.051574578858</v>
      </c>
      <c r="K240" s="44">
        <f>J240/$J$16</f>
        <v>-8720.6349087137314</v>
      </c>
      <c r="L240" s="31">
        <f>FINV(0.05,H240,$H$16)</f>
        <v>2.2253399674380931</v>
      </c>
      <c r="M240" s="31" t="str">
        <f t="shared" ref="M240" si="87">IF(K240&gt;=L240, "S", "NS")</f>
        <v>NS</v>
      </c>
      <c r="N240" s="39"/>
      <c r="O240" s="33">
        <v>3</v>
      </c>
      <c r="P240" s="42">
        <f t="shared" si="85"/>
        <v>40.74815260885547</v>
      </c>
      <c r="Q240" s="49">
        <f t="shared" si="86"/>
        <v>2</v>
      </c>
      <c r="R240" s="52">
        <v>2</v>
      </c>
    </row>
    <row r="241" spans="1:18" x14ac:dyDescent="0.25">
      <c r="A241" s="32" t="s">
        <v>93</v>
      </c>
      <c r="B241" s="58">
        <f t="shared" si="80"/>
        <v>38.648180242634318</v>
      </c>
      <c r="C241" s="58">
        <f t="shared" si="80"/>
        <v>41.049671977507032</v>
      </c>
      <c r="D241" s="58">
        <f t="shared" si="80"/>
        <v>38.351254480286741</v>
      </c>
      <c r="E241" s="31">
        <f t="shared" si="81"/>
        <v>118.0491067004281</v>
      </c>
      <c r="F241" s="31">
        <f t="shared" si="82"/>
        <v>39.34970223347603</v>
      </c>
      <c r="G241" s="45" t="s">
        <v>23</v>
      </c>
      <c r="H241" s="31">
        <f>((B232-1)*(B230*B231-1))</f>
        <v>34</v>
      </c>
      <c r="I241" s="31">
        <f>D256</f>
        <v>117.47673896115157</v>
      </c>
      <c r="J241" s="31">
        <f t="shared" si="83"/>
        <v>3.455198204739752</v>
      </c>
      <c r="O241" s="33">
        <v>4</v>
      </c>
      <c r="P241" s="42">
        <f t="shared" si="85"/>
        <v>38.06450767683863</v>
      </c>
      <c r="Q241" s="49">
        <f t="shared" si="86"/>
        <v>7</v>
      </c>
      <c r="R241" s="52">
        <v>7</v>
      </c>
    </row>
    <row r="242" spans="1:18" x14ac:dyDescent="0.25">
      <c r="A242" s="32" t="s">
        <v>94</v>
      </c>
      <c r="B242" s="58">
        <f t="shared" si="80"/>
        <v>39.658634538152612</v>
      </c>
      <c r="C242" s="58">
        <f t="shared" si="80"/>
        <v>36.435643564356432</v>
      </c>
      <c r="D242" s="58">
        <f t="shared" si="80"/>
        <v>36.702127659574465</v>
      </c>
      <c r="E242" s="31">
        <f t="shared" si="81"/>
        <v>112.79640576208351</v>
      </c>
      <c r="F242" s="31">
        <f t="shared" si="82"/>
        <v>37.598801920694505</v>
      </c>
      <c r="G242" s="44" t="s">
        <v>4</v>
      </c>
      <c r="H242" s="31">
        <f>SUM(H236:H241)-H237</f>
        <v>53</v>
      </c>
      <c r="I242" s="31">
        <f>B255</f>
        <v>200.98709225961647</v>
      </c>
      <c r="K242" s="31" t="s">
        <v>111</v>
      </c>
      <c r="L242" s="41">
        <f>TINV(0.05,34)</f>
        <v>2.0322445093177191</v>
      </c>
      <c r="O242" s="33">
        <v>5</v>
      </c>
      <c r="P242" s="42">
        <f t="shared" si="85"/>
        <v>39.592981601147443</v>
      </c>
      <c r="Q242" s="49">
        <f t="shared" si="86"/>
        <v>3</v>
      </c>
      <c r="R242" s="51">
        <v>3</v>
      </c>
    </row>
    <row r="243" spans="1:18" x14ac:dyDescent="0.25">
      <c r="A243" s="32" t="s">
        <v>95</v>
      </c>
      <c r="B243" s="58">
        <f t="shared" si="80"/>
        <v>35.512367491166081</v>
      </c>
      <c r="C243" s="58">
        <f t="shared" si="80"/>
        <v>38.89845094664372</v>
      </c>
      <c r="D243" s="58">
        <f t="shared" si="80"/>
        <v>39.611360239162927</v>
      </c>
      <c r="E243" s="31">
        <f t="shared" si="81"/>
        <v>114.02217867697274</v>
      </c>
      <c r="F243" s="31">
        <f t="shared" si="82"/>
        <v>38.007392892324248</v>
      </c>
      <c r="G243" s="34" t="s">
        <v>14</v>
      </c>
      <c r="H243" s="31">
        <f>SQRT(J241/3)</f>
        <v>1.0731881172065085</v>
      </c>
      <c r="O243" s="33">
        <v>6</v>
      </c>
      <c r="P243" s="42">
        <f t="shared" si="85"/>
        <v>40.888933154122583</v>
      </c>
      <c r="Q243" s="49">
        <f t="shared" si="86"/>
        <v>1</v>
      </c>
      <c r="R243" s="52">
        <v>1</v>
      </c>
    </row>
    <row r="244" spans="1:18" x14ac:dyDescent="0.25">
      <c r="A244" s="32" t="s">
        <v>96</v>
      </c>
      <c r="B244" s="58">
        <f t="shared" si="80"/>
        <v>38.491295938104443</v>
      </c>
      <c r="C244" s="58">
        <f t="shared" si="80"/>
        <v>35.383064516129039</v>
      </c>
      <c r="D244" s="58">
        <f t="shared" si="80"/>
        <v>38.725490196078432</v>
      </c>
      <c r="E244" s="31">
        <f t="shared" si="81"/>
        <v>112.59985065031191</v>
      </c>
      <c r="F244" s="31">
        <f t="shared" si="82"/>
        <v>37.533283550103967</v>
      </c>
      <c r="G244" s="34" t="s">
        <v>16</v>
      </c>
      <c r="H244" s="31">
        <f>(SQRT((2*J241)/3))*L242</f>
        <v>3.0843724267474752</v>
      </c>
      <c r="O244" s="33">
        <v>7</v>
      </c>
      <c r="P244" s="42">
        <f t="shared" si="85"/>
        <v>38.340265132670183</v>
      </c>
      <c r="Q244" s="49">
        <f t="shared" si="86"/>
        <v>6</v>
      </c>
      <c r="R244" s="52">
        <v>6</v>
      </c>
    </row>
    <row r="245" spans="1:18" x14ac:dyDescent="0.25">
      <c r="A245" s="32" t="s">
        <v>97</v>
      </c>
      <c r="B245" s="58">
        <f t="shared" si="80"/>
        <v>40.6392694063927</v>
      </c>
      <c r="C245" s="58">
        <f t="shared" si="80"/>
        <v>44.196428571428569</v>
      </c>
      <c r="D245" s="58">
        <f t="shared" si="80"/>
        <v>38.932633420822398</v>
      </c>
      <c r="E245" s="31">
        <f t="shared" si="81"/>
        <v>123.76833139864367</v>
      </c>
      <c r="F245" s="31">
        <f t="shared" si="82"/>
        <v>41.256110466214558</v>
      </c>
      <c r="G245" s="34" t="s">
        <v>29</v>
      </c>
      <c r="H245" s="31">
        <f>((SQRT(J241))/F252)*100</f>
        <v>4.7668706207658573</v>
      </c>
      <c r="O245" s="33">
        <v>8</v>
      </c>
      <c r="P245" s="42">
        <f t="shared" si="85"/>
        <v>39.278951240270047</v>
      </c>
      <c r="Q245" s="49">
        <f t="shared" si="86"/>
        <v>4</v>
      </c>
      <c r="R245" s="51">
        <v>4</v>
      </c>
    </row>
    <row r="246" spans="1:18" x14ac:dyDescent="0.25">
      <c r="A246" s="32" t="s">
        <v>98</v>
      </c>
      <c r="B246" s="58">
        <f t="shared" si="80"/>
        <v>38.438438438438432</v>
      </c>
      <c r="C246" s="58">
        <f t="shared" si="80"/>
        <v>39.252336448598129</v>
      </c>
      <c r="D246" s="58">
        <f t="shared" si="80"/>
        <v>36.159346271705815</v>
      </c>
      <c r="E246" s="31">
        <f t="shared" si="81"/>
        <v>113.85012115874237</v>
      </c>
      <c r="F246" s="31">
        <f t="shared" si="82"/>
        <v>37.950040386247458</v>
      </c>
      <c r="O246" s="33">
        <v>9</v>
      </c>
      <c r="P246" s="42">
        <f t="shared" si="85"/>
        <v>37.842467489595393</v>
      </c>
      <c r="Q246" s="49">
        <f t="shared" si="86"/>
        <v>8</v>
      </c>
      <c r="R246" s="52">
        <v>8</v>
      </c>
    </row>
    <row r="247" spans="1:18" x14ac:dyDescent="0.25">
      <c r="A247" s="32" t="s">
        <v>99</v>
      </c>
      <c r="B247" s="58">
        <f t="shared" si="80"/>
        <v>37.091988130563806</v>
      </c>
      <c r="C247" s="58">
        <f t="shared" si="80"/>
        <v>39.848993288590599</v>
      </c>
      <c r="D247" s="58">
        <f t="shared" si="80"/>
        <v>39.048473967684025</v>
      </c>
      <c r="E247" s="31">
        <f t="shared" si="81"/>
        <v>115.98945538683844</v>
      </c>
      <c r="F247" s="31">
        <f t="shared" si="82"/>
        <v>38.663151795612812</v>
      </c>
      <c r="O247" s="30" t="s">
        <v>14</v>
      </c>
      <c r="P247" s="42">
        <f>SQRT(J241/(3*2))</f>
        <v>0.75885859516554555</v>
      </c>
      <c r="Q247" s="49"/>
    </row>
    <row r="248" spans="1:18" x14ac:dyDescent="0.25">
      <c r="A248" s="32" t="s">
        <v>100</v>
      </c>
      <c r="B248" s="58">
        <f t="shared" si="80"/>
        <v>39.550374687760204</v>
      </c>
      <c r="C248" s="58">
        <f t="shared" si="80"/>
        <v>41.56954156954157</v>
      </c>
      <c r="D248" s="58">
        <f t="shared" si="80"/>
        <v>41.065292096219927</v>
      </c>
      <c r="E248" s="31">
        <f t="shared" si="81"/>
        <v>122.18520835352172</v>
      </c>
      <c r="F248" s="31">
        <f t="shared" si="82"/>
        <v>40.728402784507239</v>
      </c>
      <c r="N248" s="30" t="s">
        <v>109</v>
      </c>
      <c r="O248" s="30" t="s">
        <v>16</v>
      </c>
      <c r="P248" s="42">
        <f>SQRT((2*J241)/(3*2))*L242</f>
        <v>2.1809806586579477</v>
      </c>
      <c r="Q248" s="49"/>
    </row>
    <row r="249" spans="1:18" x14ac:dyDescent="0.25">
      <c r="A249" s="32" t="s">
        <v>101</v>
      </c>
      <c r="B249" s="58">
        <f t="shared" si="80"/>
        <v>39.054966248794599</v>
      </c>
      <c r="C249" s="58">
        <f t="shared" si="80"/>
        <v>35.340572556762091</v>
      </c>
      <c r="D249" s="58">
        <f t="shared" si="80"/>
        <v>40.585365853658537</v>
      </c>
      <c r="E249" s="31">
        <f t="shared" si="81"/>
        <v>114.98090465921524</v>
      </c>
      <c r="F249" s="31">
        <f>E249/3</f>
        <v>38.326968219738411</v>
      </c>
      <c r="Q249" s="49"/>
    </row>
    <row r="250" spans="1:18" x14ac:dyDescent="0.25">
      <c r="A250" s="32" t="s">
        <v>102</v>
      </c>
      <c r="B250" s="58">
        <f t="shared" si="80"/>
        <v>39.789069990412273</v>
      </c>
      <c r="C250" s="58">
        <f t="shared" si="80"/>
        <v>37.533039647577091</v>
      </c>
      <c r="D250" s="58">
        <f t="shared" si="80"/>
        <v>40.302491103202847</v>
      </c>
      <c r="E250" s="31">
        <f t="shared" si="81"/>
        <v>117.62460074119221</v>
      </c>
      <c r="F250" s="31">
        <f t="shared" ref="F250:F251" si="88">E250/3</f>
        <v>39.20820024706407</v>
      </c>
    </row>
    <row r="251" spans="1:18" x14ac:dyDescent="0.25">
      <c r="A251" s="32" t="s">
        <v>103</v>
      </c>
      <c r="B251" s="58">
        <f t="shared" ref="B251:D251" si="89">(B155/B219)*100</f>
        <v>34.867776689520078</v>
      </c>
      <c r="C251" s="58">
        <f t="shared" si="89"/>
        <v>39.227642276422763</v>
      </c>
      <c r="D251" s="58">
        <f t="shared" si="89"/>
        <v>40.162980209545978</v>
      </c>
      <c r="E251" s="31">
        <f t="shared" si="81"/>
        <v>114.25839917548882</v>
      </c>
      <c r="F251" s="31">
        <f t="shared" si="88"/>
        <v>38.086133058496273</v>
      </c>
    </row>
    <row r="252" spans="1:18" x14ac:dyDescent="0.25">
      <c r="A252" s="30" t="s">
        <v>4</v>
      </c>
      <c r="B252" s="31">
        <f>SUM(B234:B251)</f>
        <v>700.24532138545908</v>
      </c>
      <c r="C252" s="31">
        <f t="shared" ref="C252:D252" si="90">SUM(C234:C251)</f>
        <v>704.79631125024321</v>
      </c>
      <c r="D252" s="31">
        <f t="shared" si="90"/>
        <v>700.6602128706387</v>
      </c>
      <c r="E252" s="31">
        <f>SUM(E234:E251)</f>
        <v>2105.7018455063408</v>
      </c>
      <c r="F252" s="31">
        <f>AVERAGE(B234:D251)</f>
        <v>38.994478620487797</v>
      </c>
    </row>
    <row r="253" spans="1:18" x14ac:dyDescent="0.25">
      <c r="A253" s="30" t="s">
        <v>5</v>
      </c>
      <c r="B253" s="31">
        <f>B252/18</f>
        <v>38.902517854747728</v>
      </c>
      <c r="C253" s="31">
        <f>C252/18</f>
        <v>39.155350625013511</v>
      </c>
      <c r="D253" s="31">
        <f>D252/18</f>
        <v>38.925567381702152</v>
      </c>
    </row>
    <row r="254" spans="1:18" x14ac:dyDescent="0.25">
      <c r="A254" s="30" t="s">
        <v>26</v>
      </c>
      <c r="B254" s="31">
        <f>(E252*E252)/54</f>
        <v>82110.745595718705</v>
      </c>
      <c r="C254" s="31"/>
      <c r="D254" s="31"/>
    </row>
    <row r="255" spans="1:18" x14ac:dyDescent="0.25">
      <c r="A255" s="30" t="s">
        <v>27</v>
      </c>
      <c r="B255" s="31">
        <f>SUMSQ(B234:D251)-B254</f>
        <v>200.98709225961647</v>
      </c>
      <c r="C255" s="30" t="s">
        <v>28</v>
      </c>
      <c r="D255" s="31">
        <f>(SUMSQ(B252:D252)/18)-B254</f>
        <v>0.7035361759189982</v>
      </c>
    </row>
    <row r="256" spans="1:18" x14ac:dyDescent="0.25">
      <c r="A256" s="30" t="s">
        <v>30</v>
      </c>
      <c r="B256" s="31">
        <f>(SUMSQ(E234:E251)/3)-B254</f>
        <v>82.806817122545908</v>
      </c>
      <c r="C256" s="30" t="s">
        <v>31</v>
      </c>
      <c r="D256" s="31">
        <f>B255-B256-D255</f>
        <v>117.47673896115157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99"/>
  <sheetViews>
    <sheetView topLeftCell="A39" workbookViewId="0">
      <selection activeCell="W218" sqref="W218"/>
    </sheetView>
  </sheetViews>
  <sheetFormatPr defaultRowHeight="15" x14ac:dyDescent="0.25"/>
  <cols>
    <col min="4" max="4" width="12" bestFit="1" customWidth="1"/>
    <col min="15" max="15" width="9.5703125" bestFit="1" customWidth="1"/>
    <col min="18" max="19" width="9.140625" style="107"/>
    <col min="30" max="31" width="9.140625" style="104"/>
    <col min="42" max="43" width="9.140625" style="107"/>
  </cols>
  <sheetData>
    <row r="1" spans="1:53" x14ac:dyDescent="0.25">
      <c r="A1" s="71"/>
      <c r="B1" s="71"/>
      <c r="C1" s="71"/>
      <c r="D1" s="67"/>
      <c r="E1" s="73"/>
      <c r="G1" s="71"/>
      <c r="H1" s="71"/>
      <c r="I1" s="71"/>
      <c r="K1" s="71"/>
      <c r="L1" s="71"/>
      <c r="M1" s="71"/>
    </row>
    <row r="2" spans="1:53" x14ac:dyDescent="0.25">
      <c r="A2" s="71"/>
      <c r="B2" s="71"/>
      <c r="C2" s="71"/>
      <c r="D2" s="67"/>
      <c r="E2" s="73"/>
      <c r="G2" s="71"/>
      <c r="H2" s="71"/>
      <c r="I2" s="71"/>
      <c r="K2" s="71"/>
      <c r="L2" s="71"/>
      <c r="M2" s="71"/>
    </row>
    <row r="3" spans="1:53" x14ac:dyDescent="0.25">
      <c r="A3" s="71"/>
      <c r="B3" s="71"/>
      <c r="C3" s="71"/>
      <c r="D3" s="67"/>
      <c r="E3" s="73"/>
      <c r="G3" s="71"/>
      <c r="H3" s="71"/>
      <c r="I3" s="71"/>
      <c r="K3" s="71"/>
      <c r="L3" s="71"/>
      <c r="M3" s="71"/>
    </row>
    <row r="4" spans="1:53" x14ac:dyDescent="0.25">
      <c r="A4" s="71"/>
      <c r="B4" s="71"/>
      <c r="D4" s="66">
        <v>2019</v>
      </c>
      <c r="E4" s="73"/>
      <c r="G4" s="71"/>
      <c r="H4" s="71"/>
      <c r="I4" s="71"/>
      <c r="J4" s="66">
        <v>2019</v>
      </c>
      <c r="K4" s="71"/>
      <c r="L4" s="71"/>
      <c r="M4" s="71"/>
      <c r="N4" s="71"/>
      <c r="O4" s="71"/>
      <c r="P4" s="66">
        <v>2019</v>
      </c>
      <c r="Q4" s="71"/>
      <c r="T4" s="71"/>
      <c r="U4" s="71"/>
      <c r="V4" s="66">
        <v>2019</v>
      </c>
      <c r="W4" s="71"/>
      <c r="X4" s="71"/>
      <c r="Y4" s="71"/>
      <c r="Z4" s="71"/>
      <c r="AA4" s="71"/>
      <c r="AB4" s="66">
        <v>2019</v>
      </c>
      <c r="AC4" s="71"/>
      <c r="AF4" s="71"/>
      <c r="AG4" s="71"/>
      <c r="AH4" s="66">
        <v>2019</v>
      </c>
      <c r="AI4" s="71"/>
      <c r="AJ4" s="71"/>
      <c r="AK4" s="71"/>
      <c r="AL4" s="71"/>
      <c r="AM4" s="71"/>
      <c r="AN4" s="66">
        <v>2019</v>
      </c>
      <c r="AO4" s="71"/>
      <c r="AR4" s="71"/>
      <c r="AS4" s="71"/>
      <c r="AT4" s="66">
        <v>2019</v>
      </c>
      <c r="AU4" s="71"/>
      <c r="AV4" s="71"/>
      <c r="AW4" s="71"/>
      <c r="AX4" s="71"/>
      <c r="AY4" s="71"/>
      <c r="AZ4" s="66">
        <v>2019</v>
      </c>
      <c r="BA4" s="71"/>
    </row>
    <row r="5" spans="1:53" s="24" customFormat="1" ht="15.75" x14ac:dyDescent="0.25">
      <c r="A5" s="71"/>
      <c r="B5" s="71"/>
      <c r="D5" s="56" t="s">
        <v>126</v>
      </c>
      <c r="E5" s="73"/>
      <c r="G5" s="71"/>
      <c r="H5" s="71"/>
      <c r="I5" s="71"/>
      <c r="J5" s="56" t="s">
        <v>115</v>
      </c>
      <c r="K5" s="71"/>
      <c r="L5" s="71"/>
      <c r="M5" s="71"/>
      <c r="N5" s="71"/>
      <c r="O5" s="71"/>
      <c r="P5" s="56" t="s">
        <v>130</v>
      </c>
      <c r="Q5" s="71"/>
      <c r="R5" s="107"/>
      <c r="S5" s="107"/>
      <c r="T5" s="71"/>
      <c r="U5" s="71"/>
      <c r="V5" s="56" t="s">
        <v>133</v>
      </c>
      <c r="W5" s="71"/>
      <c r="X5" s="71"/>
      <c r="Y5" s="71"/>
      <c r="Z5" s="71"/>
      <c r="AA5" s="71"/>
      <c r="AB5" s="56" t="s">
        <v>134</v>
      </c>
      <c r="AC5" s="71"/>
      <c r="AD5" s="104"/>
      <c r="AE5" s="104"/>
      <c r="AF5" s="71"/>
      <c r="AG5" s="71"/>
      <c r="AH5" s="56" t="s">
        <v>120</v>
      </c>
      <c r="AL5" s="71"/>
      <c r="AM5" s="71"/>
      <c r="AN5" s="56" t="s">
        <v>136</v>
      </c>
      <c r="AO5" s="71"/>
      <c r="AP5" s="107"/>
      <c r="AQ5" s="107"/>
      <c r="AR5" s="71"/>
      <c r="AS5" s="71"/>
      <c r="AT5" s="56" t="s">
        <v>123</v>
      </c>
      <c r="AX5" s="71"/>
      <c r="AY5" s="71"/>
      <c r="AZ5" s="56" t="s">
        <v>137</v>
      </c>
      <c r="BA5" s="71"/>
    </row>
    <row r="6" spans="1:53" x14ac:dyDescent="0.25">
      <c r="A6" s="71"/>
      <c r="B6" s="71"/>
      <c r="E6" s="73"/>
      <c r="G6" s="71"/>
      <c r="H6" s="71"/>
      <c r="I6" s="71"/>
      <c r="J6" s="48" t="s">
        <v>116</v>
      </c>
      <c r="K6" s="71"/>
      <c r="L6" s="71"/>
      <c r="M6" s="71"/>
      <c r="N6" s="71"/>
      <c r="O6" s="71"/>
      <c r="P6" s="48" t="s">
        <v>116</v>
      </c>
      <c r="Q6" s="71"/>
      <c r="T6" s="71"/>
      <c r="U6" s="71"/>
      <c r="V6" s="48" t="s">
        <v>116</v>
      </c>
      <c r="W6" s="71"/>
      <c r="X6" s="71"/>
      <c r="Y6" s="71"/>
      <c r="Z6" s="71"/>
      <c r="AA6" s="71"/>
      <c r="AB6" s="48" t="s">
        <v>116</v>
      </c>
      <c r="AC6" s="71"/>
      <c r="AF6" s="71"/>
      <c r="AG6" s="71"/>
      <c r="AH6" s="48" t="s">
        <v>116</v>
      </c>
      <c r="AI6" s="71"/>
      <c r="AJ6" s="71"/>
      <c r="AK6" s="71"/>
      <c r="AL6" s="71"/>
      <c r="AM6" s="71"/>
      <c r="AN6" s="48" t="s">
        <v>116</v>
      </c>
      <c r="AO6" s="71"/>
      <c r="AR6" s="71"/>
      <c r="AS6" s="71"/>
      <c r="AT6" s="48" t="s">
        <v>116</v>
      </c>
      <c r="AU6" s="71"/>
      <c r="AV6" s="71"/>
      <c r="AW6" s="71"/>
      <c r="AX6" s="71"/>
      <c r="AY6" s="71"/>
      <c r="AZ6" s="48" t="s">
        <v>116</v>
      </c>
      <c r="BA6" s="71"/>
    </row>
    <row r="7" spans="1:53" x14ac:dyDescent="0.25">
      <c r="A7" s="71"/>
      <c r="B7" s="46" t="s">
        <v>0</v>
      </c>
      <c r="C7" s="30" t="s">
        <v>1</v>
      </c>
      <c r="D7" s="30" t="s">
        <v>2</v>
      </c>
      <c r="E7" s="30" t="s">
        <v>3</v>
      </c>
      <c r="G7" s="71"/>
      <c r="H7" s="46" t="s">
        <v>0</v>
      </c>
      <c r="I7" s="30" t="s">
        <v>1</v>
      </c>
      <c r="J7" s="30" t="s">
        <v>2</v>
      </c>
      <c r="K7" s="30" t="s">
        <v>3</v>
      </c>
      <c r="L7" s="71"/>
      <c r="M7" s="71"/>
      <c r="N7" s="46" t="s">
        <v>0</v>
      </c>
      <c r="O7" s="30" t="s">
        <v>1</v>
      </c>
      <c r="P7" s="30" t="s">
        <v>2</v>
      </c>
      <c r="Q7" s="30" t="s">
        <v>3</v>
      </c>
      <c r="T7" s="46" t="s">
        <v>0</v>
      </c>
      <c r="U7" s="30" t="s">
        <v>1</v>
      </c>
      <c r="V7" s="30" t="s">
        <v>2</v>
      </c>
      <c r="W7" s="30" t="s">
        <v>3</v>
      </c>
      <c r="X7" s="71"/>
      <c r="Y7" s="71"/>
      <c r="Z7" s="46" t="s">
        <v>0</v>
      </c>
      <c r="AA7" s="30" t="s">
        <v>1</v>
      </c>
      <c r="AB7" s="30" t="s">
        <v>2</v>
      </c>
      <c r="AC7" s="30" t="s">
        <v>3</v>
      </c>
      <c r="AF7" s="46" t="s">
        <v>0</v>
      </c>
      <c r="AG7" s="30" t="s">
        <v>1</v>
      </c>
      <c r="AH7" s="30" t="s">
        <v>2</v>
      </c>
      <c r="AI7" s="30" t="s">
        <v>3</v>
      </c>
      <c r="AJ7" s="71"/>
      <c r="AK7" s="71"/>
      <c r="AL7" s="46" t="s">
        <v>0</v>
      </c>
      <c r="AM7" s="30" t="s">
        <v>1</v>
      </c>
      <c r="AN7" s="30" t="s">
        <v>2</v>
      </c>
      <c r="AO7" s="30" t="s">
        <v>3</v>
      </c>
      <c r="AR7" s="46" t="s">
        <v>0</v>
      </c>
      <c r="AS7" s="30" t="s">
        <v>1</v>
      </c>
      <c r="AT7" s="30" t="s">
        <v>2</v>
      </c>
      <c r="AU7" s="30" t="s">
        <v>3</v>
      </c>
      <c r="AV7" s="71"/>
      <c r="AW7" s="71"/>
      <c r="AX7" s="46" t="s">
        <v>0</v>
      </c>
      <c r="AY7" s="30" t="s">
        <v>1</v>
      </c>
      <c r="AZ7" s="30" t="s">
        <v>2</v>
      </c>
      <c r="BA7" s="30" t="s">
        <v>3</v>
      </c>
    </row>
    <row r="8" spans="1:53" x14ac:dyDescent="0.25">
      <c r="A8" s="70"/>
      <c r="B8" s="32" t="s">
        <v>86</v>
      </c>
      <c r="C8" s="81">
        <v>26.5</v>
      </c>
      <c r="D8" s="81">
        <v>23.6</v>
      </c>
      <c r="E8" s="81">
        <v>21.56</v>
      </c>
      <c r="G8" s="71"/>
      <c r="H8" s="32" t="s">
        <v>86</v>
      </c>
      <c r="I8" s="81">
        <v>1.17</v>
      </c>
      <c r="J8" s="81">
        <v>1.1399999999999999</v>
      </c>
      <c r="K8" s="81">
        <v>1.1599999999999999</v>
      </c>
      <c r="L8" s="71"/>
      <c r="M8" s="71"/>
      <c r="N8" s="32" t="s">
        <v>86</v>
      </c>
      <c r="O8" s="81">
        <f>C8*I8</f>
        <v>31.004999999999999</v>
      </c>
      <c r="P8" s="81">
        <f t="shared" ref="P8:Q8" si="0">((D8*J8)/100)*100</f>
        <v>26.904</v>
      </c>
      <c r="Q8" s="81">
        <f t="shared" si="0"/>
        <v>25.009599999999992</v>
      </c>
      <c r="T8" s="32" t="s">
        <v>86</v>
      </c>
      <c r="U8" s="81">
        <f>I8*5.75</f>
        <v>6.7274999999999991</v>
      </c>
      <c r="V8" s="81">
        <f t="shared" ref="V8:W8" si="1">J8*5.75</f>
        <v>6.5549999999999997</v>
      </c>
      <c r="W8" s="81">
        <f t="shared" si="1"/>
        <v>6.67</v>
      </c>
      <c r="X8" s="71"/>
      <c r="Y8" s="71"/>
      <c r="Z8" s="32" t="s">
        <v>86</v>
      </c>
      <c r="AA8" s="81">
        <f xml:space="preserve"> ((U8*C8)/100)*100</f>
        <v>178.27874999999997</v>
      </c>
      <c r="AB8" s="81">
        <f t="shared" ref="AB8:AC8" si="2" xml:space="preserve"> ((V8*D8)/100)*100</f>
        <v>154.69800000000001</v>
      </c>
      <c r="AC8" s="81">
        <f t="shared" si="2"/>
        <v>143.80519999999999</v>
      </c>
      <c r="AF8" s="32" t="s">
        <v>86</v>
      </c>
      <c r="AG8" s="81">
        <v>0.28999999999999998</v>
      </c>
      <c r="AH8" s="81">
        <v>0.27</v>
      </c>
      <c r="AI8" s="81">
        <v>0.28999999999999998</v>
      </c>
      <c r="AJ8" s="71"/>
      <c r="AK8" s="71"/>
      <c r="AL8" s="32" t="s">
        <v>86</v>
      </c>
      <c r="AM8" s="81">
        <f>(C8*AG8)</f>
        <v>7.6849999999999996</v>
      </c>
      <c r="AN8" s="81">
        <f t="shared" ref="AN8:AO8" si="3">(D8*AH8)</f>
        <v>6.3720000000000008</v>
      </c>
      <c r="AO8" s="81">
        <f t="shared" si="3"/>
        <v>6.2523999999999988</v>
      </c>
      <c r="AR8" s="32" t="s">
        <v>86</v>
      </c>
      <c r="AS8" s="81">
        <v>0.36</v>
      </c>
      <c r="AT8" s="81">
        <v>0.38</v>
      </c>
      <c r="AU8" s="81">
        <v>0.34</v>
      </c>
      <c r="AV8" s="71"/>
      <c r="AW8" s="71"/>
      <c r="AX8" s="32" t="s">
        <v>86</v>
      </c>
      <c r="AY8" s="108">
        <f>AS8*C8</f>
        <v>9.5399999999999991</v>
      </c>
      <c r="AZ8" s="108">
        <f t="shared" ref="AZ8:BA8" si="4">AT8*D8</f>
        <v>8.968</v>
      </c>
      <c r="BA8" s="108">
        <f t="shared" si="4"/>
        <v>7.3304</v>
      </c>
    </row>
    <row r="9" spans="1:53" x14ac:dyDescent="0.25">
      <c r="A9" s="70"/>
      <c r="B9" s="32" t="s">
        <v>87</v>
      </c>
      <c r="C9" s="81">
        <v>38.9</v>
      </c>
      <c r="D9" s="81">
        <v>42.2</v>
      </c>
      <c r="E9" s="81">
        <v>43.5</v>
      </c>
      <c r="G9" s="71"/>
      <c r="H9" s="32" t="s">
        <v>87</v>
      </c>
      <c r="I9" s="81">
        <v>1.26</v>
      </c>
      <c r="J9" s="81">
        <v>1.26</v>
      </c>
      <c r="K9" s="81">
        <v>1.25</v>
      </c>
      <c r="L9" s="71"/>
      <c r="M9" s="71"/>
      <c r="N9" s="32" t="s">
        <v>87</v>
      </c>
      <c r="O9" s="81">
        <f t="shared" ref="O9:O25" si="5">((C9*I9)/100)*100</f>
        <v>49.013999999999996</v>
      </c>
      <c r="P9" s="81">
        <f t="shared" ref="P9:P25" si="6">((D9*J9)/100)*100</f>
        <v>53.172000000000011</v>
      </c>
      <c r="Q9" s="81">
        <f t="shared" ref="Q9:Q25" si="7">((E9*K9)/100)*100</f>
        <v>54.374999999999993</v>
      </c>
      <c r="T9" s="32" t="s">
        <v>87</v>
      </c>
      <c r="U9" s="81">
        <f t="shared" ref="U9:U25" si="8">I9*5.75</f>
        <v>7.2450000000000001</v>
      </c>
      <c r="V9" s="81">
        <f t="shared" ref="V9:V25" si="9">J9*5.75</f>
        <v>7.2450000000000001</v>
      </c>
      <c r="W9" s="81">
        <f t="shared" ref="W9:W25" si="10">K9*5.75</f>
        <v>7.1875</v>
      </c>
      <c r="X9" s="71"/>
      <c r="Y9" s="71"/>
      <c r="Z9" s="32" t="s">
        <v>87</v>
      </c>
      <c r="AA9" s="81">
        <f t="shared" ref="AA9:AA24" si="11" xml:space="preserve"> ((U9*C9)/100)*100</f>
        <v>281.83049999999997</v>
      </c>
      <c r="AB9" s="81">
        <f t="shared" ref="AB9:AB25" si="12" xml:space="preserve"> ((V9*D9)/100)*100</f>
        <v>305.73900000000003</v>
      </c>
      <c r="AC9" s="81">
        <f t="shared" ref="AC9:AC25" si="13" xml:space="preserve"> ((W9*E9)/100)*100</f>
        <v>312.65625</v>
      </c>
      <c r="AF9" s="32" t="s">
        <v>87</v>
      </c>
      <c r="AG9" s="81">
        <v>0.35714799999999991</v>
      </c>
      <c r="AH9" s="81">
        <v>0.36</v>
      </c>
      <c r="AI9" s="81">
        <v>0.38</v>
      </c>
      <c r="AJ9" s="71"/>
      <c r="AK9" s="71"/>
      <c r="AL9" s="32" t="s">
        <v>87</v>
      </c>
      <c r="AM9" s="81">
        <f t="shared" ref="AM9:AM25" si="14">(C9*AG9)</f>
        <v>13.893057199999996</v>
      </c>
      <c r="AN9" s="81">
        <f t="shared" ref="AN9:AN25" si="15">(D9*AH9)</f>
        <v>15.192</v>
      </c>
      <c r="AO9" s="81">
        <f t="shared" ref="AO9:AO25" si="16">(E9*AI9)</f>
        <v>16.53</v>
      </c>
      <c r="AR9" s="32" t="s">
        <v>87</v>
      </c>
      <c r="AS9" s="81">
        <v>0.44714799999999988</v>
      </c>
      <c r="AT9" s="81">
        <v>0.45999999999999996</v>
      </c>
      <c r="AU9" s="81">
        <v>0.47</v>
      </c>
      <c r="AV9" s="71"/>
      <c r="AW9" s="71"/>
      <c r="AX9" s="32" t="s">
        <v>87</v>
      </c>
      <c r="AY9" s="108">
        <f t="shared" ref="AY9:AY25" si="17">AS9*C9</f>
        <v>17.394057199999995</v>
      </c>
      <c r="AZ9" s="108">
        <f t="shared" ref="AZ9:AZ25" si="18">AT9*D9</f>
        <v>19.411999999999999</v>
      </c>
      <c r="BA9" s="108">
        <f t="shared" ref="BA9:BA25" si="19">AU9*E9</f>
        <v>20.445</v>
      </c>
    </row>
    <row r="10" spans="1:53" x14ac:dyDescent="0.25">
      <c r="A10" s="70"/>
      <c r="B10" s="32" t="s">
        <v>88</v>
      </c>
      <c r="C10" s="81">
        <v>48.6</v>
      </c>
      <c r="D10" s="81">
        <v>47.56</v>
      </c>
      <c r="E10" s="81">
        <v>45.8</v>
      </c>
      <c r="G10" s="71"/>
      <c r="H10" s="32" t="s">
        <v>88</v>
      </c>
      <c r="I10" s="81">
        <v>1.32</v>
      </c>
      <c r="J10" s="81">
        <v>1.34</v>
      </c>
      <c r="K10" s="81">
        <v>1.3199999999999998</v>
      </c>
      <c r="L10" s="71"/>
      <c r="M10" s="71"/>
      <c r="N10" s="32" t="s">
        <v>88</v>
      </c>
      <c r="O10" s="81">
        <f t="shared" si="5"/>
        <v>64.152000000000001</v>
      </c>
      <c r="P10" s="81">
        <f t="shared" si="6"/>
        <v>63.73040000000001</v>
      </c>
      <c r="Q10" s="81">
        <f t="shared" si="7"/>
        <v>60.455999999999989</v>
      </c>
      <c r="T10" s="32" t="s">
        <v>88</v>
      </c>
      <c r="U10" s="81">
        <f t="shared" si="8"/>
        <v>7.5900000000000007</v>
      </c>
      <c r="V10" s="81">
        <f t="shared" si="9"/>
        <v>7.7050000000000001</v>
      </c>
      <c r="W10" s="81">
        <f t="shared" si="10"/>
        <v>7.589999999999999</v>
      </c>
      <c r="X10" s="71"/>
      <c r="Y10" s="71"/>
      <c r="Z10" s="32" t="s">
        <v>88</v>
      </c>
      <c r="AA10" s="81">
        <f t="shared" si="11"/>
        <v>368.87400000000002</v>
      </c>
      <c r="AB10" s="81">
        <f t="shared" si="12"/>
        <v>366.44980000000004</v>
      </c>
      <c r="AC10" s="81">
        <f t="shared" si="13"/>
        <v>347.62199999999996</v>
      </c>
      <c r="AF10" s="32" t="s">
        <v>88</v>
      </c>
      <c r="AG10" s="81">
        <v>0.36</v>
      </c>
      <c r="AH10" s="81">
        <v>0.33</v>
      </c>
      <c r="AI10" s="81">
        <v>0.35</v>
      </c>
      <c r="AJ10" s="71"/>
      <c r="AK10" s="71"/>
      <c r="AL10" s="32" t="s">
        <v>88</v>
      </c>
      <c r="AM10" s="81">
        <f t="shared" si="14"/>
        <v>17.495999999999999</v>
      </c>
      <c r="AN10" s="81">
        <f t="shared" si="15"/>
        <v>15.694800000000001</v>
      </c>
      <c r="AO10" s="81">
        <f t="shared" si="16"/>
        <v>16.029999999999998</v>
      </c>
      <c r="AR10" s="32" t="s">
        <v>88</v>
      </c>
      <c r="AS10" s="81">
        <v>0.44999999999999996</v>
      </c>
      <c r="AT10" s="81">
        <v>0.42000000000000004</v>
      </c>
      <c r="AU10" s="81">
        <v>0.47</v>
      </c>
      <c r="AV10" s="71"/>
      <c r="AW10" s="71"/>
      <c r="AX10" s="32" t="s">
        <v>88</v>
      </c>
      <c r="AY10" s="108">
        <f t="shared" si="17"/>
        <v>21.869999999999997</v>
      </c>
      <c r="AZ10" s="108">
        <f t="shared" si="18"/>
        <v>19.975200000000005</v>
      </c>
      <c r="BA10" s="108">
        <f t="shared" si="19"/>
        <v>21.525999999999996</v>
      </c>
    </row>
    <row r="11" spans="1:53" x14ac:dyDescent="0.25">
      <c r="A11" s="70"/>
      <c r="B11" s="32" t="s">
        <v>89</v>
      </c>
      <c r="C11" s="81">
        <v>38.6</v>
      </c>
      <c r="D11" s="81">
        <v>37.799999999999997</v>
      </c>
      <c r="E11" s="81">
        <v>36.200000000000003</v>
      </c>
      <c r="G11" s="71"/>
      <c r="H11" s="32" t="s">
        <v>89</v>
      </c>
      <c r="I11" s="81">
        <v>1.25</v>
      </c>
      <c r="J11" s="81">
        <v>1.23</v>
      </c>
      <c r="K11" s="81">
        <v>1.28</v>
      </c>
      <c r="L11" s="71"/>
      <c r="M11" s="71"/>
      <c r="N11" s="32" t="s">
        <v>89</v>
      </c>
      <c r="O11" s="81">
        <f t="shared" si="5"/>
        <v>48.25</v>
      </c>
      <c r="P11" s="81">
        <f t="shared" si="6"/>
        <v>46.493999999999993</v>
      </c>
      <c r="Q11" s="81">
        <f t="shared" si="7"/>
        <v>46.336000000000006</v>
      </c>
      <c r="T11" s="32" t="s">
        <v>89</v>
      </c>
      <c r="U11" s="81">
        <f t="shared" si="8"/>
        <v>7.1875</v>
      </c>
      <c r="V11" s="81">
        <f t="shared" si="9"/>
        <v>7.0724999999999998</v>
      </c>
      <c r="W11" s="81">
        <f t="shared" si="10"/>
        <v>7.36</v>
      </c>
      <c r="X11" s="71"/>
      <c r="Y11" s="71"/>
      <c r="Z11" s="32" t="s">
        <v>89</v>
      </c>
      <c r="AA11" s="81">
        <f t="shared" si="11"/>
        <v>277.4375</v>
      </c>
      <c r="AB11" s="81">
        <f t="shared" si="12"/>
        <v>267.34049999999996</v>
      </c>
      <c r="AC11" s="81">
        <f t="shared" si="13"/>
        <v>266.43200000000002</v>
      </c>
      <c r="AF11" s="32" t="s">
        <v>89</v>
      </c>
      <c r="AG11" s="81">
        <v>0.33</v>
      </c>
      <c r="AH11" s="81">
        <v>0.32</v>
      </c>
      <c r="AI11" s="81">
        <v>0.35</v>
      </c>
      <c r="AJ11" s="71"/>
      <c r="AK11" s="71"/>
      <c r="AL11" s="32" t="s">
        <v>89</v>
      </c>
      <c r="AM11" s="81">
        <f t="shared" si="14"/>
        <v>12.738000000000001</v>
      </c>
      <c r="AN11" s="81">
        <f t="shared" si="15"/>
        <v>12.096</v>
      </c>
      <c r="AO11" s="81">
        <f t="shared" si="16"/>
        <v>12.67</v>
      </c>
      <c r="AR11" s="32" t="s">
        <v>89</v>
      </c>
      <c r="AS11" s="81">
        <v>0.42000000000000004</v>
      </c>
      <c r="AT11" s="81">
        <v>0.41000000000000003</v>
      </c>
      <c r="AU11" s="81">
        <v>0.41</v>
      </c>
      <c r="AV11" s="71"/>
      <c r="AW11" s="71"/>
      <c r="AX11" s="32" t="s">
        <v>89</v>
      </c>
      <c r="AY11" s="108">
        <f t="shared" si="17"/>
        <v>16.212000000000003</v>
      </c>
      <c r="AZ11" s="108">
        <f t="shared" si="18"/>
        <v>15.497999999999999</v>
      </c>
      <c r="BA11" s="108">
        <f t="shared" si="19"/>
        <v>14.842000000000001</v>
      </c>
    </row>
    <row r="12" spans="1:53" x14ac:dyDescent="0.25">
      <c r="A12" s="70"/>
      <c r="B12" s="32" t="s">
        <v>90</v>
      </c>
      <c r="C12" s="81">
        <v>45.8</v>
      </c>
      <c r="D12" s="81">
        <v>47.6</v>
      </c>
      <c r="E12" s="81">
        <v>44.5</v>
      </c>
      <c r="G12" s="71"/>
      <c r="H12" s="32" t="s">
        <v>90</v>
      </c>
      <c r="I12" s="81">
        <v>1.25</v>
      </c>
      <c r="J12" s="81">
        <v>1.3199999999999998</v>
      </c>
      <c r="K12" s="81">
        <v>1.3399999999999999</v>
      </c>
      <c r="L12" s="71"/>
      <c r="M12" s="71"/>
      <c r="N12" s="32" t="s">
        <v>90</v>
      </c>
      <c r="O12" s="81">
        <f t="shared" si="5"/>
        <v>57.25</v>
      </c>
      <c r="P12" s="81">
        <f t="shared" si="6"/>
        <v>62.832000000000001</v>
      </c>
      <c r="Q12" s="81">
        <f t="shared" si="7"/>
        <v>59.629999999999995</v>
      </c>
      <c r="T12" s="32" t="s">
        <v>90</v>
      </c>
      <c r="U12" s="81">
        <f t="shared" si="8"/>
        <v>7.1875</v>
      </c>
      <c r="V12" s="81">
        <f t="shared" si="9"/>
        <v>7.589999999999999</v>
      </c>
      <c r="W12" s="81">
        <f t="shared" si="10"/>
        <v>7.7049999999999992</v>
      </c>
      <c r="X12" s="71"/>
      <c r="Y12" s="71"/>
      <c r="Z12" s="32" t="s">
        <v>90</v>
      </c>
      <c r="AA12" s="81">
        <f t="shared" si="11"/>
        <v>329.1875</v>
      </c>
      <c r="AB12" s="81">
        <f t="shared" si="12"/>
        <v>361.28399999999993</v>
      </c>
      <c r="AC12" s="81">
        <f t="shared" si="13"/>
        <v>342.87249999999995</v>
      </c>
      <c r="AF12" s="32" t="s">
        <v>90</v>
      </c>
      <c r="AG12" s="81">
        <v>0.38747199999999993</v>
      </c>
      <c r="AH12" s="81">
        <v>0.38</v>
      </c>
      <c r="AI12" s="81">
        <v>0.37</v>
      </c>
      <c r="AJ12" s="71"/>
      <c r="AK12" s="71"/>
      <c r="AL12" s="32" t="s">
        <v>90</v>
      </c>
      <c r="AM12" s="81">
        <f t="shared" si="14"/>
        <v>17.746217599999994</v>
      </c>
      <c r="AN12" s="81">
        <f t="shared" si="15"/>
        <v>18.088000000000001</v>
      </c>
      <c r="AO12" s="81">
        <f t="shared" si="16"/>
        <v>16.465</v>
      </c>
      <c r="AR12" s="32" t="s">
        <v>90</v>
      </c>
      <c r="AS12" s="81">
        <v>0.4774719999999999</v>
      </c>
      <c r="AT12" s="81">
        <v>0.47</v>
      </c>
      <c r="AU12" s="81">
        <v>0.45999999999999996</v>
      </c>
      <c r="AV12" s="71"/>
      <c r="AW12" s="71"/>
      <c r="AX12" s="32" t="s">
        <v>90</v>
      </c>
      <c r="AY12" s="108">
        <f t="shared" si="17"/>
        <v>21.868217599999994</v>
      </c>
      <c r="AZ12" s="108">
        <f t="shared" si="18"/>
        <v>22.372</v>
      </c>
      <c r="BA12" s="108">
        <f t="shared" si="19"/>
        <v>20.47</v>
      </c>
    </row>
    <row r="13" spans="1:53" x14ac:dyDescent="0.25">
      <c r="A13" s="70"/>
      <c r="B13" s="32" t="s">
        <v>91</v>
      </c>
      <c r="C13" s="81">
        <v>51.8</v>
      </c>
      <c r="D13" s="81">
        <v>49.8</v>
      </c>
      <c r="E13" s="81">
        <v>47.8</v>
      </c>
      <c r="G13" s="71"/>
      <c r="H13" s="32" t="s">
        <v>91</v>
      </c>
      <c r="I13" s="81">
        <v>1.3399999999999999</v>
      </c>
      <c r="J13" s="81">
        <v>1.42</v>
      </c>
      <c r="K13" s="81">
        <v>1.3599999999999999</v>
      </c>
      <c r="L13" s="71"/>
      <c r="M13" s="71"/>
      <c r="N13" s="32" t="s">
        <v>91</v>
      </c>
      <c r="O13" s="81">
        <f t="shared" si="5"/>
        <v>69.411999999999992</v>
      </c>
      <c r="P13" s="81">
        <f t="shared" si="6"/>
        <v>70.715999999999994</v>
      </c>
      <c r="Q13" s="81">
        <f t="shared" si="7"/>
        <v>65.007999999999996</v>
      </c>
      <c r="T13" s="32" t="s">
        <v>91</v>
      </c>
      <c r="U13" s="81">
        <f t="shared" si="8"/>
        <v>7.7049999999999992</v>
      </c>
      <c r="V13" s="81">
        <f t="shared" si="9"/>
        <v>8.1649999999999991</v>
      </c>
      <c r="W13" s="81">
        <f t="shared" si="10"/>
        <v>7.8199999999999994</v>
      </c>
      <c r="X13" s="71"/>
      <c r="Y13" s="71"/>
      <c r="Z13" s="32" t="s">
        <v>91</v>
      </c>
      <c r="AA13" s="81">
        <f t="shared" si="11"/>
        <v>399.11899999999991</v>
      </c>
      <c r="AB13" s="81">
        <f t="shared" si="12"/>
        <v>406.61699999999996</v>
      </c>
      <c r="AC13" s="81">
        <f t="shared" si="13"/>
        <v>373.79599999999994</v>
      </c>
      <c r="AF13" s="32" t="s">
        <v>91</v>
      </c>
      <c r="AG13" s="81">
        <v>0.41</v>
      </c>
      <c r="AH13" s="81">
        <v>0.34</v>
      </c>
      <c r="AI13" s="81">
        <v>0.38</v>
      </c>
      <c r="AJ13" s="71"/>
      <c r="AK13" s="71"/>
      <c r="AL13" s="32" t="s">
        <v>91</v>
      </c>
      <c r="AM13" s="81">
        <f t="shared" si="14"/>
        <v>21.237999999999996</v>
      </c>
      <c r="AN13" s="81">
        <f t="shared" si="15"/>
        <v>16.931999999999999</v>
      </c>
      <c r="AO13" s="81">
        <f t="shared" si="16"/>
        <v>18.163999999999998</v>
      </c>
      <c r="AR13" s="32" t="s">
        <v>91</v>
      </c>
      <c r="AS13" s="81">
        <v>0.51</v>
      </c>
      <c r="AT13" s="81">
        <v>0.43000000000000005</v>
      </c>
      <c r="AU13" s="81">
        <v>0.47</v>
      </c>
      <c r="AV13" s="71"/>
      <c r="AW13" s="71"/>
      <c r="AX13" s="32" t="s">
        <v>91</v>
      </c>
      <c r="AY13" s="108">
        <f t="shared" si="17"/>
        <v>26.417999999999999</v>
      </c>
      <c r="AZ13" s="108">
        <f t="shared" si="18"/>
        <v>21.414000000000001</v>
      </c>
      <c r="BA13" s="108">
        <f t="shared" si="19"/>
        <v>22.465999999999998</v>
      </c>
    </row>
    <row r="14" spans="1:53" x14ac:dyDescent="0.25">
      <c r="A14" s="70"/>
      <c r="B14" s="32" t="s">
        <v>92</v>
      </c>
      <c r="C14" s="81">
        <v>40.200000000000003</v>
      </c>
      <c r="D14" s="81">
        <v>39.5</v>
      </c>
      <c r="E14" s="81">
        <v>38.9</v>
      </c>
      <c r="G14" s="71"/>
      <c r="H14" s="32" t="s">
        <v>92</v>
      </c>
      <c r="I14" s="81">
        <v>1.3199999999999998</v>
      </c>
      <c r="J14" s="81">
        <v>1.25</v>
      </c>
      <c r="K14" s="81">
        <v>1.21</v>
      </c>
      <c r="L14" s="71"/>
      <c r="M14" s="71"/>
      <c r="N14" s="32" t="s">
        <v>92</v>
      </c>
      <c r="O14" s="81">
        <f t="shared" si="5"/>
        <v>53.064</v>
      </c>
      <c r="P14" s="81">
        <f t="shared" si="6"/>
        <v>49.375</v>
      </c>
      <c r="Q14" s="81">
        <f t="shared" si="7"/>
        <v>47.068999999999996</v>
      </c>
      <c r="T14" s="32" t="s">
        <v>92</v>
      </c>
      <c r="U14" s="81">
        <f t="shared" si="8"/>
        <v>7.589999999999999</v>
      </c>
      <c r="V14" s="81">
        <f t="shared" si="9"/>
        <v>7.1875</v>
      </c>
      <c r="W14" s="81">
        <f t="shared" si="10"/>
        <v>6.9574999999999996</v>
      </c>
      <c r="X14" s="71"/>
      <c r="Y14" s="71"/>
      <c r="Z14" s="32" t="s">
        <v>92</v>
      </c>
      <c r="AA14" s="81">
        <f t="shared" si="11"/>
        <v>305.11799999999999</v>
      </c>
      <c r="AB14" s="81">
        <f t="shared" si="12"/>
        <v>283.90625</v>
      </c>
      <c r="AC14" s="81">
        <f t="shared" si="13"/>
        <v>270.64675</v>
      </c>
      <c r="AF14" s="32" t="s">
        <v>92</v>
      </c>
      <c r="AG14" s="81">
        <v>0.36</v>
      </c>
      <c r="AH14" s="81">
        <v>0.33</v>
      </c>
      <c r="AI14" s="81">
        <v>0.35</v>
      </c>
      <c r="AJ14" s="71"/>
      <c r="AK14" s="71"/>
      <c r="AL14" s="32" t="s">
        <v>92</v>
      </c>
      <c r="AM14" s="81">
        <f t="shared" si="14"/>
        <v>14.472000000000001</v>
      </c>
      <c r="AN14" s="81">
        <f t="shared" si="15"/>
        <v>13.035</v>
      </c>
      <c r="AO14" s="81">
        <f t="shared" si="16"/>
        <v>13.614999999999998</v>
      </c>
      <c r="AR14" s="32" t="s">
        <v>92</v>
      </c>
      <c r="AS14" s="81">
        <v>0.44999999999999996</v>
      </c>
      <c r="AT14" s="81">
        <v>0.42000000000000004</v>
      </c>
      <c r="AU14" s="81">
        <v>0.41</v>
      </c>
      <c r="AV14" s="71"/>
      <c r="AW14" s="71"/>
      <c r="AX14" s="32" t="s">
        <v>92</v>
      </c>
      <c r="AY14" s="108">
        <f t="shared" si="17"/>
        <v>18.09</v>
      </c>
      <c r="AZ14" s="108">
        <f t="shared" si="18"/>
        <v>16.59</v>
      </c>
      <c r="BA14" s="108">
        <f t="shared" si="19"/>
        <v>15.948999999999998</v>
      </c>
    </row>
    <row r="15" spans="1:53" x14ac:dyDescent="0.25">
      <c r="A15" s="70"/>
      <c r="B15" s="32" t="s">
        <v>93</v>
      </c>
      <c r="C15" s="81">
        <v>43.5</v>
      </c>
      <c r="D15" s="81">
        <v>42.5</v>
      </c>
      <c r="E15" s="81">
        <v>41.9</v>
      </c>
      <c r="G15" s="71"/>
      <c r="H15" s="32" t="s">
        <v>93</v>
      </c>
      <c r="I15" s="81">
        <v>1.28</v>
      </c>
      <c r="J15" s="81">
        <v>1.23</v>
      </c>
      <c r="K15" s="81">
        <v>1.26</v>
      </c>
      <c r="L15" s="71"/>
      <c r="M15" s="71"/>
      <c r="N15" s="32" t="s">
        <v>93</v>
      </c>
      <c r="O15" s="81">
        <f t="shared" si="5"/>
        <v>55.679999999999993</v>
      </c>
      <c r="P15" s="81">
        <f t="shared" si="6"/>
        <v>52.274999999999991</v>
      </c>
      <c r="Q15" s="81">
        <f t="shared" si="7"/>
        <v>52.793999999999997</v>
      </c>
      <c r="T15" s="32" t="s">
        <v>93</v>
      </c>
      <c r="U15" s="81">
        <f t="shared" si="8"/>
        <v>7.36</v>
      </c>
      <c r="V15" s="81">
        <f t="shared" si="9"/>
        <v>7.0724999999999998</v>
      </c>
      <c r="W15" s="81">
        <f t="shared" si="10"/>
        <v>7.2450000000000001</v>
      </c>
      <c r="X15" s="71"/>
      <c r="Y15" s="71"/>
      <c r="Z15" s="32" t="s">
        <v>93</v>
      </c>
      <c r="AA15" s="81">
        <f t="shared" si="11"/>
        <v>320.16000000000003</v>
      </c>
      <c r="AB15" s="81">
        <f t="shared" si="12"/>
        <v>300.58125000000001</v>
      </c>
      <c r="AC15" s="81">
        <f t="shared" si="13"/>
        <v>303.56549999999999</v>
      </c>
      <c r="AF15" s="32" t="s">
        <v>93</v>
      </c>
      <c r="AG15" s="81">
        <v>0.36</v>
      </c>
      <c r="AH15" s="81">
        <v>0.38</v>
      </c>
      <c r="AI15" s="81">
        <v>0.37</v>
      </c>
      <c r="AJ15" s="71"/>
      <c r="AK15" s="71"/>
      <c r="AL15" s="32" t="s">
        <v>93</v>
      </c>
      <c r="AM15" s="81">
        <f t="shared" si="14"/>
        <v>15.66</v>
      </c>
      <c r="AN15" s="81">
        <f t="shared" si="15"/>
        <v>16.149999999999999</v>
      </c>
      <c r="AO15" s="81">
        <f t="shared" si="16"/>
        <v>15.503</v>
      </c>
      <c r="AR15" s="32" t="s">
        <v>93</v>
      </c>
      <c r="AS15" s="81">
        <v>0.44999999999999996</v>
      </c>
      <c r="AT15" s="81">
        <v>0.47</v>
      </c>
      <c r="AU15" s="81">
        <v>0.45999999999999996</v>
      </c>
      <c r="AV15" s="71"/>
      <c r="AW15" s="71"/>
      <c r="AX15" s="32" t="s">
        <v>93</v>
      </c>
      <c r="AY15" s="108">
        <f t="shared" si="17"/>
        <v>19.574999999999999</v>
      </c>
      <c r="AZ15" s="108">
        <f t="shared" si="18"/>
        <v>19.974999999999998</v>
      </c>
      <c r="BA15" s="108">
        <f t="shared" si="19"/>
        <v>19.273999999999997</v>
      </c>
    </row>
    <row r="16" spans="1:53" x14ac:dyDescent="0.25">
      <c r="A16" s="70"/>
      <c r="B16" s="32" t="s">
        <v>94</v>
      </c>
      <c r="C16" s="81">
        <v>36.5</v>
      </c>
      <c r="D16" s="81">
        <v>35.700000000000003</v>
      </c>
      <c r="E16" s="81">
        <v>34.799999999999997</v>
      </c>
      <c r="G16" s="71"/>
      <c r="H16" s="32" t="s">
        <v>94</v>
      </c>
      <c r="I16" s="81">
        <v>1.25</v>
      </c>
      <c r="J16" s="81">
        <v>1.22</v>
      </c>
      <c r="K16" s="81">
        <v>1.17</v>
      </c>
      <c r="L16" s="71"/>
      <c r="M16" s="71"/>
      <c r="N16" s="32" t="s">
        <v>94</v>
      </c>
      <c r="O16" s="81">
        <f t="shared" si="5"/>
        <v>45.625</v>
      </c>
      <c r="P16" s="81">
        <f t="shared" si="6"/>
        <v>43.554000000000002</v>
      </c>
      <c r="Q16" s="81">
        <f t="shared" si="7"/>
        <v>40.715999999999994</v>
      </c>
      <c r="T16" s="32" t="s">
        <v>94</v>
      </c>
      <c r="U16" s="81">
        <f t="shared" si="8"/>
        <v>7.1875</v>
      </c>
      <c r="V16" s="81">
        <f t="shared" si="9"/>
        <v>7.0149999999999997</v>
      </c>
      <c r="W16" s="81">
        <f t="shared" si="10"/>
        <v>6.7274999999999991</v>
      </c>
      <c r="X16" s="71"/>
      <c r="Y16" s="71"/>
      <c r="Z16" s="32" t="s">
        <v>94</v>
      </c>
      <c r="AA16" s="81">
        <f t="shared" si="11"/>
        <v>262.34375</v>
      </c>
      <c r="AB16" s="81">
        <f t="shared" si="12"/>
        <v>250.43550000000005</v>
      </c>
      <c r="AC16" s="81">
        <f t="shared" si="13"/>
        <v>234.11699999999996</v>
      </c>
      <c r="AF16" s="32" t="s">
        <v>94</v>
      </c>
      <c r="AG16" s="81">
        <v>0.35</v>
      </c>
      <c r="AH16" s="81">
        <v>0.31</v>
      </c>
      <c r="AI16" s="81">
        <v>0.38</v>
      </c>
      <c r="AJ16" s="71"/>
      <c r="AK16" s="71"/>
      <c r="AL16" s="32" t="s">
        <v>94</v>
      </c>
      <c r="AM16" s="81">
        <f t="shared" si="14"/>
        <v>12.774999999999999</v>
      </c>
      <c r="AN16" s="81">
        <f t="shared" si="15"/>
        <v>11.067</v>
      </c>
      <c r="AO16" s="81">
        <f t="shared" si="16"/>
        <v>13.223999999999998</v>
      </c>
      <c r="AR16" s="32" t="s">
        <v>94</v>
      </c>
      <c r="AS16" s="81">
        <v>0.39</v>
      </c>
      <c r="AT16" s="81">
        <v>0.4</v>
      </c>
      <c r="AU16" s="81">
        <v>0.41</v>
      </c>
      <c r="AV16" s="71"/>
      <c r="AW16" s="71"/>
      <c r="AX16" s="32" t="s">
        <v>94</v>
      </c>
      <c r="AY16" s="108">
        <f t="shared" si="17"/>
        <v>14.235000000000001</v>
      </c>
      <c r="AZ16" s="108">
        <f t="shared" si="18"/>
        <v>14.280000000000001</v>
      </c>
      <c r="BA16" s="108">
        <f t="shared" si="19"/>
        <v>14.267999999999997</v>
      </c>
    </row>
    <row r="17" spans="1:53" x14ac:dyDescent="0.25">
      <c r="A17" s="70"/>
      <c r="B17" s="32" t="s">
        <v>95</v>
      </c>
      <c r="C17" s="81">
        <v>26.5</v>
      </c>
      <c r="D17" s="81">
        <v>15.6</v>
      </c>
      <c r="E17" s="81">
        <v>22.6</v>
      </c>
      <c r="G17" s="71"/>
      <c r="H17" s="32" t="s">
        <v>95</v>
      </c>
      <c r="I17" s="81">
        <v>1.07</v>
      </c>
      <c r="J17" s="81">
        <v>1.1299999999999999</v>
      </c>
      <c r="K17" s="81">
        <v>1.2</v>
      </c>
      <c r="L17" s="71"/>
      <c r="M17" s="71"/>
      <c r="N17" s="32" t="s">
        <v>95</v>
      </c>
      <c r="O17" s="81">
        <f t="shared" si="5"/>
        <v>28.355000000000004</v>
      </c>
      <c r="P17" s="81">
        <f t="shared" si="6"/>
        <v>17.627999999999997</v>
      </c>
      <c r="Q17" s="81">
        <f t="shared" si="7"/>
        <v>27.12</v>
      </c>
      <c r="T17" s="32" t="s">
        <v>95</v>
      </c>
      <c r="U17" s="81">
        <f t="shared" si="8"/>
        <v>6.1525000000000007</v>
      </c>
      <c r="V17" s="81">
        <f t="shared" si="9"/>
        <v>6.4974999999999996</v>
      </c>
      <c r="W17" s="81">
        <f t="shared" si="10"/>
        <v>6.8999999999999995</v>
      </c>
      <c r="X17" s="71"/>
      <c r="Y17" s="71"/>
      <c r="Z17" s="32" t="s">
        <v>95</v>
      </c>
      <c r="AA17" s="81">
        <f t="shared" si="11"/>
        <v>163.04125000000002</v>
      </c>
      <c r="AB17" s="81">
        <f t="shared" si="12"/>
        <v>101.36099999999999</v>
      </c>
      <c r="AC17" s="81">
        <f t="shared" si="13"/>
        <v>155.94</v>
      </c>
      <c r="AF17" s="32" t="s">
        <v>95</v>
      </c>
      <c r="AG17" s="81">
        <v>0.3</v>
      </c>
      <c r="AH17" s="81">
        <v>0.31</v>
      </c>
      <c r="AI17" s="81">
        <v>0.15</v>
      </c>
      <c r="AJ17" s="71"/>
      <c r="AK17" s="71"/>
      <c r="AL17" s="32" t="s">
        <v>95</v>
      </c>
      <c r="AM17" s="81">
        <f t="shared" si="14"/>
        <v>7.9499999999999993</v>
      </c>
      <c r="AN17" s="81">
        <f t="shared" si="15"/>
        <v>4.8360000000000003</v>
      </c>
      <c r="AO17" s="81">
        <f t="shared" si="16"/>
        <v>3.39</v>
      </c>
      <c r="AR17" s="32" t="s">
        <v>95</v>
      </c>
      <c r="AS17" s="81">
        <v>0.39</v>
      </c>
      <c r="AT17" s="81">
        <v>0.3</v>
      </c>
      <c r="AU17" s="81">
        <v>0.24</v>
      </c>
      <c r="AV17" s="71"/>
      <c r="AW17" s="71"/>
      <c r="AX17" s="32" t="s">
        <v>95</v>
      </c>
      <c r="AY17" s="108">
        <f t="shared" si="17"/>
        <v>10.335000000000001</v>
      </c>
      <c r="AZ17" s="108">
        <f t="shared" si="18"/>
        <v>4.68</v>
      </c>
      <c r="BA17" s="108">
        <f t="shared" si="19"/>
        <v>5.4240000000000004</v>
      </c>
    </row>
    <row r="18" spans="1:53" x14ac:dyDescent="0.25">
      <c r="A18" s="70"/>
      <c r="B18" s="32" t="s">
        <v>96</v>
      </c>
      <c r="C18" s="81">
        <v>38.5</v>
      </c>
      <c r="D18" s="81">
        <v>36.4</v>
      </c>
      <c r="E18" s="81">
        <v>37.799999999999997</v>
      </c>
      <c r="G18" s="71"/>
      <c r="H18" s="32" t="s">
        <v>96</v>
      </c>
      <c r="I18" s="81">
        <v>1.25</v>
      </c>
      <c r="J18" s="81">
        <v>1.3</v>
      </c>
      <c r="K18" s="81">
        <v>1.18</v>
      </c>
      <c r="L18" s="71"/>
      <c r="M18" s="71"/>
      <c r="N18" s="32" t="s">
        <v>96</v>
      </c>
      <c r="O18" s="81">
        <f t="shared" si="5"/>
        <v>48.125</v>
      </c>
      <c r="P18" s="81">
        <f t="shared" si="6"/>
        <v>47.32</v>
      </c>
      <c r="Q18" s="81">
        <f t="shared" si="7"/>
        <v>44.603999999999992</v>
      </c>
      <c r="T18" s="32" t="s">
        <v>96</v>
      </c>
      <c r="U18" s="81">
        <f t="shared" si="8"/>
        <v>7.1875</v>
      </c>
      <c r="V18" s="81">
        <f t="shared" si="9"/>
        <v>7.4750000000000005</v>
      </c>
      <c r="W18" s="81">
        <f t="shared" si="10"/>
        <v>6.7849999999999993</v>
      </c>
      <c r="X18" s="71"/>
      <c r="Y18" s="71"/>
      <c r="Z18" s="32" t="s">
        <v>96</v>
      </c>
      <c r="AA18" s="81">
        <f t="shared" si="11"/>
        <v>276.71875</v>
      </c>
      <c r="AB18" s="81">
        <f t="shared" si="12"/>
        <v>272.09000000000003</v>
      </c>
      <c r="AC18" s="81">
        <f t="shared" si="13"/>
        <v>256.47299999999996</v>
      </c>
      <c r="AF18" s="32" t="s">
        <v>96</v>
      </c>
      <c r="AG18" s="81">
        <v>0.31</v>
      </c>
      <c r="AH18" s="81">
        <v>0.32</v>
      </c>
      <c r="AI18" s="81">
        <v>0.32</v>
      </c>
      <c r="AJ18" s="71"/>
      <c r="AK18" s="71"/>
      <c r="AL18" s="32" t="s">
        <v>96</v>
      </c>
      <c r="AM18" s="81">
        <f t="shared" si="14"/>
        <v>11.935</v>
      </c>
      <c r="AN18" s="81">
        <f t="shared" si="15"/>
        <v>11.648</v>
      </c>
      <c r="AO18" s="81">
        <f t="shared" si="16"/>
        <v>12.096</v>
      </c>
      <c r="AR18" s="32" t="s">
        <v>96</v>
      </c>
      <c r="AS18" s="81">
        <v>0.4</v>
      </c>
      <c r="AT18" s="81">
        <v>0.39</v>
      </c>
      <c r="AU18" s="81">
        <v>0.41000000000000003</v>
      </c>
      <c r="AV18" s="71"/>
      <c r="AW18" s="71"/>
      <c r="AX18" s="32" t="s">
        <v>96</v>
      </c>
      <c r="AY18" s="108">
        <f t="shared" si="17"/>
        <v>15.4</v>
      </c>
      <c r="AZ18" s="108">
        <f t="shared" si="18"/>
        <v>14.196</v>
      </c>
      <c r="BA18" s="108">
        <f t="shared" si="19"/>
        <v>15.497999999999999</v>
      </c>
    </row>
    <row r="19" spans="1:53" x14ac:dyDescent="0.25">
      <c r="A19" s="70"/>
      <c r="B19" s="32" t="s">
        <v>97</v>
      </c>
      <c r="C19" s="81">
        <v>47.8</v>
      </c>
      <c r="D19" s="81">
        <v>46.8</v>
      </c>
      <c r="E19" s="81">
        <v>44.8</v>
      </c>
      <c r="G19" s="71"/>
      <c r="H19" s="32" t="s">
        <v>97</v>
      </c>
      <c r="I19" s="81">
        <v>1.3599999999999999</v>
      </c>
      <c r="J19" s="81">
        <v>1.29</v>
      </c>
      <c r="K19" s="81">
        <v>1.24</v>
      </c>
      <c r="L19" s="71"/>
      <c r="M19" s="71"/>
      <c r="N19" s="32" t="s">
        <v>97</v>
      </c>
      <c r="O19" s="81">
        <f t="shared" si="5"/>
        <v>65.007999999999996</v>
      </c>
      <c r="P19" s="81">
        <f t="shared" si="6"/>
        <v>60.372</v>
      </c>
      <c r="Q19" s="81">
        <f t="shared" si="7"/>
        <v>55.552</v>
      </c>
      <c r="T19" s="32" t="s">
        <v>97</v>
      </c>
      <c r="U19" s="81">
        <f t="shared" si="8"/>
        <v>7.8199999999999994</v>
      </c>
      <c r="V19" s="81">
        <f t="shared" si="9"/>
        <v>7.4175000000000004</v>
      </c>
      <c r="W19" s="81">
        <f t="shared" si="10"/>
        <v>7.13</v>
      </c>
      <c r="X19" s="71"/>
      <c r="Y19" s="71"/>
      <c r="Z19" s="32" t="s">
        <v>97</v>
      </c>
      <c r="AA19" s="81">
        <f t="shared" si="11"/>
        <v>373.79599999999994</v>
      </c>
      <c r="AB19" s="81">
        <f t="shared" si="12"/>
        <v>347.13900000000001</v>
      </c>
      <c r="AC19" s="81">
        <f t="shared" si="13"/>
        <v>319.42399999999998</v>
      </c>
      <c r="AF19" s="32" t="s">
        <v>97</v>
      </c>
      <c r="AG19" s="81">
        <v>0.39</v>
      </c>
      <c r="AH19" s="81">
        <v>0.35</v>
      </c>
      <c r="AI19" s="81">
        <v>0.41</v>
      </c>
      <c r="AJ19" s="71"/>
      <c r="AK19" s="71"/>
      <c r="AL19" s="32" t="s">
        <v>97</v>
      </c>
      <c r="AM19" s="81">
        <f t="shared" si="14"/>
        <v>18.641999999999999</v>
      </c>
      <c r="AN19" s="81">
        <f t="shared" si="15"/>
        <v>16.38</v>
      </c>
      <c r="AO19" s="81">
        <f t="shared" si="16"/>
        <v>18.367999999999999</v>
      </c>
      <c r="AR19" s="32" t="s">
        <v>97</v>
      </c>
      <c r="AS19" s="81">
        <v>0.42000000000000004</v>
      </c>
      <c r="AT19" s="81">
        <v>0.43000000000000005</v>
      </c>
      <c r="AU19" s="81">
        <v>0.44999999999999996</v>
      </c>
      <c r="AV19" s="71"/>
      <c r="AW19" s="71"/>
      <c r="AX19" s="32" t="s">
        <v>97</v>
      </c>
      <c r="AY19" s="108">
        <f t="shared" si="17"/>
        <v>20.076000000000001</v>
      </c>
      <c r="AZ19" s="108">
        <f t="shared" si="18"/>
        <v>20.124000000000002</v>
      </c>
      <c r="BA19" s="108">
        <f t="shared" si="19"/>
        <v>20.159999999999997</v>
      </c>
    </row>
    <row r="20" spans="1:53" x14ac:dyDescent="0.25">
      <c r="B20" s="32" t="s">
        <v>98</v>
      </c>
      <c r="C20" s="81">
        <v>36.799999999999997</v>
      </c>
      <c r="D20" s="81">
        <v>35.9</v>
      </c>
      <c r="E20" s="81">
        <v>39.799999999999997</v>
      </c>
      <c r="H20" s="32" t="s">
        <v>98</v>
      </c>
      <c r="I20" s="81">
        <v>1.25</v>
      </c>
      <c r="J20" s="81">
        <v>1.2</v>
      </c>
      <c r="K20" s="81">
        <v>1.18</v>
      </c>
      <c r="N20" s="32" t="s">
        <v>98</v>
      </c>
      <c r="O20" s="81">
        <f t="shared" si="5"/>
        <v>46</v>
      </c>
      <c r="P20" s="81">
        <f t="shared" si="6"/>
        <v>43.08</v>
      </c>
      <c r="Q20" s="81">
        <f t="shared" si="7"/>
        <v>46.963999999999992</v>
      </c>
      <c r="T20" s="32" t="s">
        <v>98</v>
      </c>
      <c r="U20" s="81">
        <f t="shared" si="8"/>
        <v>7.1875</v>
      </c>
      <c r="V20" s="81">
        <f t="shared" si="9"/>
        <v>6.8999999999999995</v>
      </c>
      <c r="W20" s="81">
        <f t="shared" si="10"/>
        <v>6.7849999999999993</v>
      </c>
      <c r="X20" s="24"/>
      <c r="Y20" s="24"/>
      <c r="Z20" s="32" t="s">
        <v>98</v>
      </c>
      <c r="AA20" s="81">
        <f t="shared" si="11"/>
        <v>264.5</v>
      </c>
      <c r="AB20" s="81">
        <f t="shared" si="12"/>
        <v>247.70999999999995</v>
      </c>
      <c r="AC20" s="81">
        <f t="shared" si="13"/>
        <v>270.04299999999995</v>
      </c>
      <c r="AF20" s="32" t="s">
        <v>98</v>
      </c>
      <c r="AG20" s="81">
        <v>0.38</v>
      </c>
      <c r="AH20" s="81">
        <v>0.28999999999999998</v>
      </c>
      <c r="AI20" s="81">
        <v>0.32</v>
      </c>
      <c r="AJ20" s="24"/>
      <c r="AK20" s="24"/>
      <c r="AL20" s="32" t="s">
        <v>98</v>
      </c>
      <c r="AM20" s="81">
        <f t="shared" si="14"/>
        <v>13.983999999999998</v>
      </c>
      <c r="AN20" s="81">
        <f t="shared" si="15"/>
        <v>10.411</v>
      </c>
      <c r="AO20" s="81">
        <f t="shared" si="16"/>
        <v>12.735999999999999</v>
      </c>
      <c r="AR20" s="32" t="s">
        <v>98</v>
      </c>
      <c r="AS20" s="81">
        <v>0.42</v>
      </c>
      <c r="AT20" s="81">
        <v>0.38</v>
      </c>
      <c r="AU20" s="81">
        <v>0.4</v>
      </c>
      <c r="AV20" s="24"/>
      <c r="AW20" s="24"/>
      <c r="AX20" s="32" t="s">
        <v>98</v>
      </c>
      <c r="AY20" s="108">
        <f t="shared" si="17"/>
        <v>15.455999999999998</v>
      </c>
      <c r="AZ20" s="108">
        <f t="shared" si="18"/>
        <v>13.641999999999999</v>
      </c>
      <c r="BA20" s="108">
        <f t="shared" si="19"/>
        <v>15.92</v>
      </c>
    </row>
    <row r="21" spans="1:53" x14ac:dyDescent="0.25">
      <c r="B21" s="32" t="s">
        <v>99</v>
      </c>
      <c r="C21" s="81">
        <v>36.5</v>
      </c>
      <c r="D21" s="81">
        <v>45.6</v>
      </c>
      <c r="E21" s="81">
        <v>42.5</v>
      </c>
      <c r="H21" s="32" t="s">
        <v>99</v>
      </c>
      <c r="I21" s="81">
        <v>1.3399999999999999</v>
      </c>
      <c r="J21" s="81">
        <v>1.23</v>
      </c>
      <c r="K21" s="81">
        <v>1.26</v>
      </c>
      <c r="N21" s="32" t="s">
        <v>99</v>
      </c>
      <c r="O21" s="81">
        <f t="shared" si="5"/>
        <v>48.91</v>
      </c>
      <c r="P21" s="81">
        <f t="shared" si="6"/>
        <v>56.088000000000008</v>
      </c>
      <c r="Q21" s="81">
        <f t="shared" si="7"/>
        <v>53.55</v>
      </c>
      <c r="T21" s="32" t="s">
        <v>99</v>
      </c>
      <c r="U21" s="81">
        <f t="shared" si="8"/>
        <v>7.7049999999999992</v>
      </c>
      <c r="V21" s="81">
        <f t="shared" si="9"/>
        <v>7.0724999999999998</v>
      </c>
      <c r="W21" s="81">
        <f t="shared" si="10"/>
        <v>7.2450000000000001</v>
      </c>
      <c r="X21" s="24"/>
      <c r="Y21" s="24"/>
      <c r="Z21" s="32" t="s">
        <v>99</v>
      </c>
      <c r="AA21" s="81">
        <f t="shared" si="11"/>
        <v>281.23249999999996</v>
      </c>
      <c r="AB21" s="81">
        <f t="shared" si="12"/>
        <v>322.50600000000003</v>
      </c>
      <c r="AC21" s="81">
        <f t="shared" si="13"/>
        <v>307.91250000000002</v>
      </c>
      <c r="AF21" s="32" t="s">
        <v>99</v>
      </c>
      <c r="AG21" s="81">
        <v>0.32</v>
      </c>
      <c r="AH21" s="81">
        <v>0.32</v>
      </c>
      <c r="AI21" s="81">
        <v>0.31</v>
      </c>
      <c r="AJ21" s="24"/>
      <c r="AK21" s="24"/>
      <c r="AL21" s="32" t="s">
        <v>99</v>
      </c>
      <c r="AM21" s="81">
        <f t="shared" si="14"/>
        <v>11.68</v>
      </c>
      <c r="AN21" s="81">
        <f t="shared" si="15"/>
        <v>14.592000000000001</v>
      </c>
      <c r="AO21" s="81">
        <f t="shared" si="16"/>
        <v>13.175000000000001</v>
      </c>
      <c r="AR21" s="32" t="s">
        <v>99</v>
      </c>
      <c r="AS21" s="81">
        <v>0.41000000000000003</v>
      </c>
      <c r="AT21" s="81">
        <v>0.41000000000000003</v>
      </c>
      <c r="AU21" s="81">
        <v>0.4</v>
      </c>
      <c r="AV21" s="24"/>
      <c r="AW21" s="24"/>
      <c r="AX21" s="32" t="s">
        <v>99</v>
      </c>
      <c r="AY21" s="108">
        <f t="shared" si="17"/>
        <v>14.965000000000002</v>
      </c>
      <c r="AZ21" s="108">
        <f t="shared" si="18"/>
        <v>18.696000000000002</v>
      </c>
      <c r="BA21" s="108">
        <f t="shared" si="19"/>
        <v>17</v>
      </c>
    </row>
    <row r="22" spans="1:53" x14ac:dyDescent="0.25">
      <c r="B22" s="32" t="s">
        <v>100</v>
      </c>
      <c r="C22" s="81">
        <v>46.8</v>
      </c>
      <c r="D22" s="81">
        <v>50.8</v>
      </c>
      <c r="E22" s="81">
        <v>47.2</v>
      </c>
      <c r="H22" s="32" t="s">
        <v>100</v>
      </c>
      <c r="I22" s="81">
        <v>1.3599999999999999</v>
      </c>
      <c r="J22" s="81">
        <v>1.38</v>
      </c>
      <c r="K22" s="81">
        <v>1.28</v>
      </c>
      <c r="N22" s="32" t="s">
        <v>100</v>
      </c>
      <c r="O22" s="81">
        <f t="shared" si="5"/>
        <v>63.647999999999996</v>
      </c>
      <c r="P22" s="81">
        <f t="shared" si="6"/>
        <v>70.103999999999985</v>
      </c>
      <c r="Q22" s="81">
        <f t="shared" si="7"/>
        <v>60.416000000000004</v>
      </c>
      <c r="T22" s="32" t="s">
        <v>100</v>
      </c>
      <c r="U22" s="81">
        <f t="shared" si="8"/>
        <v>7.8199999999999994</v>
      </c>
      <c r="V22" s="81">
        <f t="shared" si="9"/>
        <v>7.9349999999999996</v>
      </c>
      <c r="W22" s="81">
        <f t="shared" si="10"/>
        <v>7.36</v>
      </c>
      <c r="X22" s="24"/>
      <c r="Y22" s="24"/>
      <c r="Z22" s="32" t="s">
        <v>100</v>
      </c>
      <c r="AA22" s="81">
        <f t="shared" si="11"/>
        <v>365.97599999999994</v>
      </c>
      <c r="AB22" s="81">
        <f t="shared" si="12"/>
        <v>403.09799999999996</v>
      </c>
      <c r="AC22" s="81">
        <f t="shared" si="13"/>
        <v>347.39200000000005</v>
      </c>
      <c r="AF22" s="32" t="s">
        <v>100</v>
      </c>
      <c r="AG22" s="81">
        <v>0.36</v>
      </c>
      <c r="AH22" s="81">
        <v>0.33</v>
      </c>
      <c r="AI22" s="81">
        <v>0.38</v>
      </c>
      <c r="AJ22" s="24"/>
      <c r="AK22" s="24"/>
      <c r="AL22" s="32" t="s">
        <v>100</v>
      </c>
      <c r="AM22" s="81">
        <f t="shared" si="14"/>
        <v>16.847999999999999</v>
      </c>
      <c r="AN22" s="81">
        <f t="shared" si="15"/>
        <v>16.763999999999999</v>
      </c>
      <c r="AO22" s="81">
        <f t="shared" si="16"/>
        <v>17.936</v>
      </c>
      <c r="AR22" s="32" t="s">
        <v>100</v>
      </c>
      <c r="AS22" s="81">
        <v>0.48</v>
      </c>
      <c r="AT22" s="81">
        <v>0.42000000000000004</v>
      </c>
      <c r="AU22" s="81">
        <v>0.47</v>
      </c>
      <c r="AV22" s="24"/>
      <c r="AW22" s="24"/>
      <c r="AX22" s="32" t="s">
        <v>100</v>
      </c>
      <c r="AY22" s="108">
        <f t="shared" si="17"/>
        <v>22.463999999999999</v>
      </c>
      <c r="AZ22" s="108">
        <f t="shared" si="18"/>
        <v>21.336000000000002</v>
      </c>
      <c r="BA22" s="108">
        <f t="shared" si="19"/>
        <v>22.184000000000001</v>
      </c>
    </row>
    <row r="23" spans="1:53" x14ac:dyDescent="0.25">
      <c r="B23" s="32" t="s">
        <v>101</v>
      </c>
      <c r="C23" s="81">
        <v>37.9</v>
      </c>
      <c r="D23" s="81">
        <v>37.799999999999997</v>
      </c>
      <c r="E23" s="81">
        <v>36.799999999999997</v>
      </c>
      <c r="H23" s="32" t="s">
        <v>101</v>
      </c>
      <c r="I23" s="81">
        <v>1.26</v>
      </c>
      <c r="J23" s="81">
        <v>1.24</v>
      </c>
      <c r="K23" s="81">
        <v>1.18</v>
      </c>
      <c r="N23" s="32" t="s">
        <v>101</v>
      </c>
      <c r="O23" s="81">
        <f t="shared" si="5"/>
        <v>47.753999999999998</v>
      </c>
      <c r="P23" s="81">
        <f t="shared" si="6"/>
        <v>46.871999999999993</v>
      </c>
      <c r="Q23" s="81">
        <f t="shared" si="7"/>
        <v>43.423999999999992</v>
      </c>
      <c r="T23" s="32" t="s">
        <v>101</v>
      </c>
      <c r="U23" s="81">
        <f t="shared" si="8"/>
        <v>7.2450000000000001</v>
      </c>
      <c r="V23" s="81">
        <f t="shared" si="9"/>
        <v>7.13</v>
      </c>
      <c r="W23" s="81">
        <f t="shared" si="10"/>
        <v>6.7849999999999993</v>
      </c>
      <c r="X23" s="24"/>
      <c r="Y23" s="24"/>
      <c r="Z23" s="32" t="s">
        <v>101</v>
      </c>
      <c r="AA23" s="81">
        <f t="shared" si="11"/>
        <v>274.58549999999997</v>
      </c>
      <c r="AB23" s="81">
        <f t="shared" si="12"/>
        <v>269.51399999999995</v>
      </c>
      <c r="AC23" s="81">
        <f t="shared" si="13"/>
        <v>249.68799999999996</v>
      </c>
      <c r="AF23" s="32" t="s">
        <v>101</v>
      </c>
      <c r="AG23" s="81">
        <v>0.32</v>
      </c>
      <c r="AH23" s="81">
        <v>0.3</v>
      </c>
      <c r="AI23" s="81">
        <v>0.37</v>
      </c>
      <c r="AJ23" s="24"/>
      <c r="AK23" s="24"/>
      <c r="AL23" s="32" t="s">
        <v>101</v>
      </c>
      <c r="AM23" s="81">
        <f t="shared" si="14"/>
        <v>12.128</v>
      </c>
      <c r="AN23" s="81">
        <f t="shared" si="15"/>
        <v>11.339999999999998</v>
      </c>
      <c r="AO23" s="81">
        <f t="shared" si="16"/>
        <v>13.616</v>
      </c>
      <c r="AR23" s="32" t="s">
        <v>101</v>
      </c>
      <c r="AS23" s="81">
        <v>0.41000000000000003</v>
      </c>
      <c r="AT23" s="81">
        <v>0.39</v>
      </c>
      <c r="AU23" s="81">
        <v>0.45999999999999996</v>
      </c>
      <c r="AV23" s="24"/>
      <c r="AW23" s="24"/>
      <c r="AX23" s="32" t="s">
        <v>101</v>
      </c>
      <c r="AY23" s="108">
        <f t="shared" si="17"/>
        <v>15.539000000000001</v>
      </c>
      <c r="AZ23" s="108">
        <f t="shared" si="18"/>
        <v>14.741999999999999</v>
      </c>
      <c r="BA23" s="108">
        <f t="shared" si="19"/>
        <v>16.927999999999997</v>
      </c>
    </row>
    <row r="24" spans="1:53" x14ac:dyDescent="0.25">
      <c r="B24" s="32" t="s">
        <v>102</v>
      </c>
      <c r="C24" s="81">
        <v>40.9</v>
      </c>
      <c r="D24" s="81">
        <v>41.8</v>
      </c>
      <c r="E24" s="81">
        <v>43.2</v>
      </c>
      <c r="H24" s="32" t="s">
        <v>102</v>
      </c>
      <c r="I24" s="81">
        <v>1.23</v>
      </c>
      <c r="J24" s="81">
        <v>1.25</v>
      </c>
      <c r="K24" s="81">
        <v>1.23</v>
      </c>
      <c r="N24" s="32" t="s">
        <v>102</v>
      </c>
      <c r="O24" s="81">
        <f t="shared" si="5"/>
        <v>50.306999999999988</v>
      </c>
      <c r="P24" s="81">
        <f t="shared" si="6"/>
        <v>52.25</v>
      </c>
      <c r="Q24" s="81">
        <f t="shared" si="7"/>
        <v>53.136000000000003</v>
      </c>
      <c r="T24" s="32" t="s">
        <v>102</v>
      </c>
      <c r="U24" s="81">
        <f t="shared" si="8"/>
        <v>7.0724999999999998</v>
      </c>
      <c r="V24" s="81">
        <f t="shared" si="9"/>
        <v>7.1875</v>
      </c>
      <c r="W24" s="81">
        <f t="shared" si="10"/>
        <v>7.0724999999999998</v>
      </c>
      <c r="X24" s="24"/>
      <c r="Y24" s="24"/>
      <c r="Z24" s="32" t="s">
        <v>102</v>
      </c>
      <c r="AA24" s="81">
        <f t="shared" si="11"/>
        <v>289.26524999999998</v>
      </c>
      <c r="AB24" s="81">
        <f t="shared" si="12"/>
        <v>300.4375</v>
      </c>
      <c r="AC24" s="81">
        <f t="shared" si="13"/>
        <v>305.53200000000004</v>
      </c>
      <c r="AF24" s="32" t="s">
        <v>102</v>
      </c>
      <c r="AG24" s="81">
        <v>0.31</v>
      </c>
      <c r="AH24" s="81">
        <v>0.33</v>
      </c>
      <c r="AI24" s="81">
        <v>0.3</v>
      </c>
      <c r="AJ24" s="24"/>
      <c r="AK24" s="24"/>
      <c r="AL24" s="32" t="s">
        <v>102</v>
      </c>
      <c r="AM24" s="81">
        <f t="shared" si="14"/>
        <v>12.679</v>
      </c>
      <c r="AN24" s="81">
        <f t="shared" si="15"/>
        <v>13.794</v>
      </c>
      <c r="AO24" s="81">
        <f t="shared" si="16"/>
        <v>12.96</v>
      </c>
      <c r="AR24" s="32" t="s">
        <v>102</v>
      </c>
      <c r="AS24" s="81">
        <v>0.4</v>
      </c>
      <c r="AT24" s="81">
        <v>0.42000000000000004</v>
      </c>
      <c r="AU24" s="81">
        <v>0.39</v>
      </c>
      <c r="AV24" s="24"/>
      <c r="AW24" s="24"/>
      <c r="AX24" s="32" t="s">
        <v>102</v>
      </c>
      <c r="AY24" s="108">
        <f t="shared" si="17"/>
        <v>16.36</v>
      </c>
      <c r="AZ24" s="108">
        <f t="shared" si="18"/>
        <v>17.556000000000001</v>
      </c>
      <c r="BA24" s="108">
        <f t="shared" si="19"/>
        <v>16.848000000000003</v>
      </c>
    </row>
    <row r="25" spans="1:53" x14ac:dyDescent="0.25">
      <c r="B25" s="32" t="s">
        <v>103</v>
      </c>
      <c r="C25" s="81">
        <v>34.799999999999997</v>
      </c>
      <c r="D25" s="81">
        <v>37.6</v>
      </c>
      <c r="E25" s="81">
        <v>35.200000000000003</v>
      </c>
      <c r="H25" s="32" t="s">
        <v>103</v>
      </c>
      <c r="I25" s="81">
        <v>1.2</v>
      </c>
      <c r="J25" s="81">
        <v>1.1599999999999999</v>
      </c>
      <c r="K25" s="81">
        <v>1.25</v>
      </c>
      <c r="N25" s="32" t="s">
        <v>103</v>
      </c>
      <c r="O25" s="81">
        <f t="shared" si="5"/>
        <v>41.76</v>
      </c>
      <c r="P25" s="81">
        <f t="shared" si="6"/>
        <v>43.616</v>
      </c>
      <c r="Q25" s="81">
        <f t="shared" si="7"/>
        <v>44</v>
      </c>
      <c r="T25" s="32" t="s">
        <v>103</v>
      </c>
      <c r="U25" s="81">
        <f t="shared" si="8"/>
        <v>6.8999999999999995</v>
      </c>
      <c r="V25" s="81">
        <f t="shared" si="9"/>
        <v>6.67</v>
      </c>
      <c r="W25" s="81">
        <f t="shared" si="10"/>
        <v>7.1875</v>
      </c>
      <c r="X25" s="24"/>
      <c r="Y25" s="24"/>
      <c r="Z25" s="32" t="s">
        <v>103</v>
      </c>
      <c r="AA25" s="81">
        <f xml:space="preserve"> ((U25*C25)/100)*100</f>
        <v>240.11999999999995</v>
      </c>
      <c r="AB25" s="81">
        <f t="shared" si="12"/>
        <v>250.792</v>
      </c>
      <c r="AC25" s="81">
        <f t="shared" si="13"/>
        <v>253.00000000000003</v>
      </c>
      <c r="AF25" s="32" t="s">
        <v>103</v>
      </c>
      <c r="AG25" s="81">
        <v>0.32</v>
      </c>
      <c r="AH25" s="81">
        <v>0.28000000000000003</v>
      </c>
      <c r="AI25" s="81">
        <v>0.31</v>
      </c>
      <c r="AJ25" s="24"/>
      <c r="AK25" s="24"/>
      <c r="AL25" s="32" t="s">
        <v>103</v>
      </c>
      <c r="AM25" s="81">
        <f t="shared" si="14"/>
        <v>11.135999999999999</v>
      </c>
      <c r="AN25" s="81">
        <f t="shared" si="15"/>
        <v>10.528000000000002</v>
      </c>
      <c r="AO25" s="81">
        <f t="shared" si="16"/>
        <v>10.912000000000001</v>
      </c>
      <c r="AR25" s="32" t="s">
        <v>103</v>
      </c>
      <c r="AS25" s="81">
        <v>0.37</v>
      </c>
      <c r="AT25" s="81">
        <v>0.37</v>
      </c>
      <c r="AU25" s="81">
        <v>0.4</v>
      </c>
      <c r="AV25" s="24"/>
      <c r="AW25" s="24"/>
      <c r="AX25" s="32" t="s">
        <v>103</v>
      </c>
      <c r="AY25" s="108">
        <f t="shared" si="17"/>
        <v>12.875999999999999</v>
      </c>
      <c r="AZ25" s="108">
        <f t="shared" si="18"/>
        <v>13.912000000000001</v>
      </c>
      <c r="BA25" s="108">
        <f t="shared" si="19"/>
        <v>14.080000000000002</v>
      </c>
    </row>
    <row r="26" spans="1:53" x14ac:dyDescent="0.25">
      <c r="T26" s="24"/>
      <c r="U26" s="24"/>
      <c r="V26" s="24"/>
      <c r="W26" s="24"/>
      <c r="X26" s="24"/>
      <c r="Y26" s="24"/>
      <c r="Z26" s="24"/>
      <c r="AA26" s="24"/>
      <c r="AB26" s="24"/>
      <c r="AC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x14ac:dyDescent="0.25">
      <c r="N27" s="71"/>
      <c r="O27" s="71"/>
      <c r="P27" s="66"/>
      <c r="Q27" s="71"/>
      <c r="T27" s="24"/>
      <c r="U27" s="24"/>
      <c r="V27" s="24"/>
      <c r="W27" s="24"/>
      <c r="X27" s="24"/>
      <c r="Y27" s="24"/>
      <c r="Z27" s="71"/>
      <c r="AA27" s="71"/>
      <c r="AB27" s="66"/>
      <c r="AC27" s="71"/>
      <c r="AF27" s="24"/>
      <c r="AG27" s="24"/>
      <c r="AH27" s="24"/>
      <c r="AI27" s="24"/>
      <c r="AJ27" s="24"/>
      <c r="AK27" s="24"/>
      <c r="AL27" s="71"/>
      <c r="AM27" s="71"/>
      <c r="AN27" s="66"/>
      <c r="AO27" s="71"/>
      <c r="AR27" s="24"/>
      <c r="AS27" s="24"/>
      <c r="AT27" s="24"/>
      <c r="AU27" s="24"/>
      <c r="AV27" s="24"/>
      <c r="AW27" s="24"/>
      <c r="AX27" s="71"/>
      <c r="AY27" s="71"/>
      <c r="AZ27" s="66"/>
      <c r="BA27" s="71"/>
    </row>
    <row r="28" spans="1:53" ht="15.75" x14ac:dyDescent="0.25">
      <c r="D28" s="56" t="s">
        <v>127</v>
      </c>
      <c r="I28" s="56" t="s">
        <v>115</v>
      </c>
      <c r="N28" s="71"/>
      <c r="O28" s="71"/>
      <c r="P28" s="56" t="s">
        <v>130</v>
      </c>
      <c r="Q28" s="71"/>
      <c r="T28" s="86"/>
      <c r="U28" s="87"/>
      <c r="V28" s="86"/>
      <c r="W28" s="86"/>
      <c r="X28" s="86"/>
      <c r="Y28" s="86"/>
      <c r="Z28" s="88"/>
      <c r="AA28" s="88"/>
      <c r="AB28" s="87"/>
      <c r="AC28" s="88"/>
      <c r="AF28" s="24"/>
      <c r="AG28" s="56" t="s">
        <v>120</v>
      </c>
      <c r="AH28" s="24"/>
      <c r="AI28" s="24"/>
      <c r="AJ28" s="24"/>
      <c r="AK28" s="71"/>
      <c r="AL28" s="71"/>
      <c r="AN28" s="56" t="s">
        <v>136</v>
      </c>
      <c r="AO28" s="71"/>
      <c r="AR28" s="24"/>
      <c r="AS28" s="56" t="s">
        <v>123</v>
      </c>
      <c r="AT28" s="24"/>
      <c r="AU28" s="24"/>
      <c r="AV28" s="24"/>
      <c r="AW28" s="71"/>
      <c r="AX28" s="71"/>
      <c r="AZ28" s="56" t="s">
        <v>137</v>
      </c>
      <c r="BA28" s="71"/>
    </row>
    <row r="29" spans="1:53" ht="15.75" x14ac:dyDescent="0.25">
      <c r="I29" s="65" t="s">
        <v>117</v>
      </c>
      <c r="N29" s="71"/>
      <c r="O29" s="71"/>
      <c r="P29" s="48" t="s">
        <v>131</v>
      </c>
      <c r="Q29" s="71"/>
      <c r="T29" s="86"/>
      <c r="U29" s="89"/>
      <c r="V29" s="86"/>
      <c r="W29" s="86"/>
      <c r="X29" s="86"/>
      <c r="Y29" s="86"/>
      <c r="Z29" s="88"/>
      <c r="AA29" s="88"/>
      <c r="AB29" s="90"/>
      <c r="AC29" s="88"/>
      <c r="AF29" s="24"/>
      <c r="AG29" s="98" t="s">
        <v>117</v>
      </c>
      <c r="AH29" s="24"/>
      <c r="AI29" s="24"/>
      <c r="AJ29" s="24"/>
      <c r="AK29" s="24"/>
      <c r="AL29" s="71"/>
      <c r="AM29" s="71"/>
      <c r="AN29" s="48" t="s">
        <v>131</v>
      </c>
      <c r="AO29" s="71"/>
      <c r="AR29" s="24"/>
      <c r="AS29" s="100" t="s">
        <v>117</v>
      </c>
      <c r="AT29" s="24"/>
      <c r="AU29" s="24"/>
      <c r="AV29" s="24"/>
      <c r="AW29" s="24"/>
      <c r="AX29" s="71"/>
      <c r="AY29" s="71"/>
      <c r="AZ29" s="48" t="s">
        <v>131</v>
      </c>
      <c r="BA29" s="71"/>
    </row>
    <row r="30" spans="1:53" x14ac:dyDescent="0.25">
      <c r="B30" s="46" t="s">
        <v>0</v>
      </c>
      <c r="C30" s="30" t="s">
        <v>1</v>
      </c>
      <c r="D30" s="30" t="s">
        <v>2</v>
      </c>
      <c r="E30" s="30" t="s">
        <v>3</v>
      </c>
      <c r="H30" s="46" t="s">
        <v>0</v>
      </c>
      <c r="I30" s="30" t="s">
        <v>1</v>
      </c>
      <c r="J30" s="30" t="s">
        <v>2</v>
      </c>
      <c r="K30" s="30" t="s">
        <v>3</v>
      </c>
      <c r="N30" s="46" t="s">
        <v>0</v>
      </c>
      <c r="O30" s="30" t="s">
        <v>1</v>
      </c>
      <c r="P30" s="30" t="s">
        <v>2</v>
      </c>
      <c r="Q30" s="30" t="s">
        <v>3</v>
      </c>
      <c r="T30" s="91"/>
      <c r="U30" s="50"/>
      <c r="V30" s="50"/>
      <c r="W30" s="50"/>
      <c r="X30" s="86"/>
      <c r="Y30" s="86"/>
      <c r="Z30" s="91"/>
      <c r="AA30" s="50"/>
      <c r="AB30" s="50"/>
      <c r="AC30" s="50"/>
      <c r="AF30" s="46" t="s">
        <v>0</v>
      </c>
      <c r="AG30" s="30" t="s">
        <v>1</v>
      </c>
      <c r="AH30" s="30" t="s">
        <v>2</v>
      </c>
      <c r="AI30" s="30" t="s">
        <v>3</v>
      </c>
      <c r="AJ30" s="24"/>
      <c r="AK30" s="24"/>
      <c r="AL30" s="46" t="s">
        <v>0</v>
      </c>
      <c r="AM30" s="30" t="s">
        <v>1</v>
      </c>
      <c r="AN30" s="30" t="s">
        <v>2</v>
      </c>
      <c r="AO30" s="30" t="s">
        <v>3</v>
      </c>
      <c r="AR30" s="46" t="s">
        <v>0</v>
      </c>
      <c r="AS30" s="30" t="s">
        <v>1</v>
      </c>
      <c r="AT30" s="30" t="s">
        <v>2</v>
      </c>
      <c r="AU30" s="30" t="s">
        <v>3</v>
      </c>
      <c r="AV30" s="24"/>
      <c r="AW30" s="24"/>
      <c r="AX30" s="46" t="s">
        <v>0</v>
      </c>
      <c r="AY30" s="30" t="s">
        <v>1</v>
      </c>
      <c r="AZ30" s="30" t="s">
        <v>2</v>
      </c>
      <c r="BA30" s="30" t="s">
        <v>3</v>
      </c>
    </row>
    <row r="31" spans="1:53" x14ac:dyDescent="0.25">
      <c r="B31" s="32" t="s">
        <v>86</v>
      </c>
      <c r="C31" s="82">
        <v>37.4</v>
      </c>
      <c r="D31" s="82">
        <v>36.799999999999997</v>
      </c>
      <c r="E31" s="82">
        <v>40.799999999999997</v>
      </c>
      <c r="H31" s="32" t="s">
        <v>86</v>
      </c>
      <c r="I31" s="84">
        <v>0.32</v>
      </c>
      <c r="J31" s="84">
        <v>0.36000000000000004</v>
      </c>
      <c r="K31" s="84">
        <v>0.36000000000000004</v>
      </c>
      <c r="N31" s="32" t="s">
        <v>86</v>
      </c>
      <c r="O31" s="81">
        <f>((C31*I31)/100)*100</f>
        <v>11.968</v>
      </c>
      <c r="P31" s="81">
        <f t="shared" ref="P31:Q31" si="20">((D31*J31)/100)*100</f>
        <v>13.248000000000001</v>
      </c>
      <c r="Q31" s="81">
        <f t="shared" si="20"/>
        <v>14.688000000000001</v>
      </c>
      <c r="T31" s="92"/>
      <c r="U31" s="93"/>
      <c r="V31" s="93"/>
      <c r="W31" s="93"/>
      <c r="X31" s="86"/>
      <c r="Y31" s="86"/>
      <c r="Z31" s="92"/>
      <c r="AA31" s="94"/>
      <c r="AB31" s="94"/>
      <c r="AC31" s="94"/>
      <c r="AF31" s="32" t="s">
        <v>86</v>
      </c>
      <c r="AG31" s="105">
        <v>0.10800000000000001</v>
      </c>
      <c r="AH31" s="105">
        <v>0.11800000000000001</v>
      </c>
      <c r="AI31" s="105">
        <v>0.10800000000000004</v>
      </c>
      <c r="AJ31" s="24"/>
      <c r="AK31" s="24"/>
      <c r="AL31" s="32" t="s">
        <v>86</v>
      </c>
      <c r="AM31" s="81">
        <f>(C31*AG31)</f>
        <v>4.0392000000000001</v>
      </c>
      <c r="AN31" s="81">
        <f t="shared" ref="AN31:AN48" si="21">(D31*AH31)</f>
        <v>4.3423999999999996</v>
      </c>
      <c r="AO31" s="81">
        <f t="shared" ref="AO31:AO48" si="22">(E31*AI31)</f>
        <v>4.4064000000000014</v>
      </c>
      <c r="AR31" s="32" t="s">
        <v>86</v>
      </c>
      <c r="AS31" s="84">
        <v>1.32</v>
      </c>
      <c r="AT31" s="84">
        <v>1.36</v>
      </c>
      <c r="AU31" s="84">
        <v>1.51</v>
      </c>
      <c r="AV31" s="24"/>
      <c r="AW31" s="24"/>
      <c r="AX31" s="32" t="s">
        <v>86</v>
      </c>
      <c r="AY31" s="108">
        <f>AS31*C31</f>
        <v>49.368000000000002</v>
      </c>
      <c r="AZ31" s="108">
        <f t="shared" ref="AZ31:AZ48" si="23">AT31*D31</f>
        <v>50.048000000000002</v>
      </c>
      <c r="BA31" s="108">
        <f t="shared" ref="BA31:BA48" si="24">AU31*E31</f>
        <v>61.607999999999997</v>
      </c>
    </row>
    <row r="32" spans="1:53" x14ac:dyDescent="0.25">
      <c r="B32" s="32" t="s">
        <v>87</v>
      </c>
      <c r="C32" s="82">
        <v>61.2</v>
      </c>
      <c r="D32" s="82">
        <v>66.2</v>
      </c>
      <c r="E32" s="82">
        <v>66.2</v>
      </c>
      <c r="H32" s="32" t="s">
        <v>87</v>
      </c>
      <c r="I32" s="84">
        <v>0.43</v>
      </c>
      <c r="J32" s="84">
        <v>0.44</v>
      </c>
      <c r="K32" s="84">
        <v>0.48000000000000004</v>
      </c>
      <c r="N32" s="32" t="s">
        <v>87</v>
      </c>
      <c r="O32" s="81">
        <f t="shared" ref="O32:O48" si="25">((C32*I32)/100)*100</f>
        <v>26.315999999999999</v>
      </c>
      <c r="P32" s="81">
        <f t="shared" ref="P32:P48" si="26">((D32*J32)/100)*100</f>
        <v>29.128</v>
      </c>
      <c r="Q32" s="81">
        <f t="shared" ref="Q32:Q48" si="27">((E32*K32)/100)*100</f>
        <v>31.776000000000003</v>
      </c>
      <c r="T32" s="92"/>
      <c r="U32" s="93"/>
      <c r="V32" s="93"/>
      <c r="W32" s="93"/>
      <c r="X32" s="86"/>
      <c r="Y32" s="86"/>
      <c r="Z32" s="92"/>
      <c r="AA32" s="94"/>
      <c r="AB32" s="94"/>
      <c r="AC32" s="94"/>
      <c r="AF32" s="32" t="s">
        <v>87</v>
      </c>
      <c r="AG32" s="105">
        <v>0.185</v>
      </c>
      <c r="AH32" s="105">
        <v>0.218</v>
      </c>
      <c r="AI32" s="105">
        <v>0.19399999999999998</v>
      </c>
      <c r="AJ32" s="24"/>
      <c r="AK32" s="24"/>
      <c r="AL32" s="32" t="s">
        <v>87</v>
      </c>
      <c r="AM32" s="81">
        <f t="shared" ref="AM32:AM48" si="28">(C32*AG32)</f>
        <v>11.322000000000001</v>
      </c>
      <c r="AN32" s="81">
        <f t="shared" si="21"/>
        <v>14.431600000000001</v>
      </c>
      <c r="AO32" s="81">
        <f t="shared" si="22"/>
        <v>12.842799999999999</v>
      </c>
      <c r="AR32" s="32" t="s">
        <v>87</v>
      </c>
      <c r="AS32" s="84">
        <v>1.61</v>
      </c>
      <c r="AT32" s="84">
        <v>1.61</v>
      </c>
      <c r="AU32" s="84">
        <v>1.6</v>
      </c>
      <c r="AV32" s="24"/>
      <c r="AW32" s="24"/>
      <c r="AX32" s="32" t="s">
        <v>87</v>
      </c>
      <c r="AY32" s="108">
        <f t="shared" ref="AY32:AY48" si="29">AS32*C32</f>
        <v>98.532000000000011</v>
      </c>
      <c r="AZ32" s="108">
        <f t="shared" si="23"/>
        <v>106.58200000000001</v>
      </c>
      <c r="BA32" s="108">
        <f t="shared" si="24"/>
        <v>105.92000000000002</v>
      </c>
    </row>
    <row r="33" spans="2:53" x14ac:dyDescent="0.25">
      <c r="B33" s="32" t="s">
        <v>88</v>
      </c>
      <c r="C33" s="82">
        <v>68.900000000000006</v>
      </c>
      <c r="D33" s="82">
        <v>70.2</v>
      </c>
      <c r="E33" s="82">
        <v>71.599999999999994</v>
      </c>
      <c r="H33" s="32" t="s">
        <v>88</v>
      </c>
      <c r="I33" s="84">
        <v>0.48000000000000004</v>
      </c>
      <c r="J33" s="84">
        <v>0.48000000000000004</v>
      </c>
      <c r="K33" s="84">
        <v>0.54999999999999993</v>
      </c>
      <c r="N33" s="32" t="s">
        <v>88</v>
      </c>
      <c r="O33" s="81">
        <f t="shared" si="25"/>
        <v>33.072000000000003</v>
      </c>
      <c r="P33" s="81">
        <f t="shared" si="26"/>
        <v>33.696000000000005</v>
      </c>
      <c r="Q33" s="81">
        <f t="shared" si="27"/>
        <v>39.379999999999995</v>
      </c>
      <c r="T33" s="92"/>
      <c r="U33" s="93"/>
      <c r="V33" s="93"/>
      <c r="W33" s="93"/>
      <c r="X33" s="86"/>
      <c r="Y33" s="86"/>
      <c r="Z33" s="92"/>
      <c r="AA33" s="94"/>
      <c r="AB33" s="94"/>
      <c r="AC33" s="94"/>
      <c r="AF33" s="32" t="s">
        <v>88</v>
      </c>
      <c r="AG33" s="105">
        <v>0.20899999999999999</v>
      </c>
      <c r="AH33" s="105">
        <v>0.214</v>
      </c>
      <c r="AI33" s="105">
        <v>0.219</v>
      </c>
      <c r="AJ33" s="24"/>
      <c r="AK33" s="24"/>
      <c r="AL33" s="32" t="s">
        <v>88</v>
      </c>
      <c r="AM33" s="81">
        <f t="shared" si="28"/>
        <v>14.4001</v>
      </c>
      <c r="AN33" s="81">
        <f t="shared" si="21"/>
        <v>15.0228</v>
      </c>
      <c r="AO33" s="81">
        <f t="shared" si="22"/>
        <v>15.680399999999999</v>
      </c>
      <c r="AR33" s="32" t="s">
        <v>88</v>
      </c>
      <c r="AS33" s="84">
        <v>1.6700000000000002</v>
      </c>
      <c r="AT33" s="84">
        <v>1.79</v>
      </c>
      <c r="AU33" s="84">
        <v>1.52</v>
      </c>
      <c r="AV33" s="24"/>
      <c r="AW33" s="24"/>
      <c r="AX33" s="32" t="s">
        <v>88</v>
      </c>
      <c r="AY33" s="108">
        <f t="shared" si="29"/>
        <v>115.06300000000002</v>
      </c>
      <c r="AZ33" s="108">
        <f t="shared" si="23"/>
        <v>125.658</v>
      </c>
      <c r="BA33" s="108">
        <f t="shared" si="24"/>
        <v>108.83199999999999</v>
      </c>
    </row>
    <row r="34" spans="2:53" x14ac:dyDescent="0.25">
      <c r="B34" s="32" t="s">
        <v>89</v>
      </c>
      <c r="C34" s="82">
        <v>61.6</v>
      </c>
      <c r="D34" s="82">
        <v>59.5</v>
      </c>
      <c r="E34" s="82">
        <v>64.5</v>
      </c>
      <c r="H34" s="32" t="s">
        <v>89</v>
      </c>
      <c r="I34" s="84">
        <v>0.36000000000000004</v>
      </c>
      <c r="J34" s="84">
        <v>0.42000000000000004</v>
      </c>
      <c r="K34" s="84">
        <v>0.39</v>
      </c>
      <c r="N34" s="32" t="s">
        <v>89</v>
      </c>
      <c r="O34" s="81">
        <f t="shared" si="25"/>
        <v>22.176000000000002</v>
      </c>
      <c r="P34" s="81">
        <f t="shared" si="26"/>
        <v>24.990000000000002</v>
      </c>
      <c r="Q34" s="81">
        <f t="shared" si="27"/>
        <v>25.155000000000001</v>
      </c>
      <c r="T34" s="92"/>
      <c r="U34" s="93"/>
      <c r="V34" s="93"/>
      <c r="W34" s="93"/>
      <c r="X34" s="86"/>
      <c r="Y34" s="86"/>
      <c r="Z34" s="92"/>
      <c r="AA34" s="94"/>
      <c r="AB34" s="94"/>
      <c r="AC34" s="94"/>
      <c r="AF34" s="32" t="s">
        <v>89</v>
      </c>
      <c r="AG34" s="105">
        <v>0.15799999999999995</v>
      </c>
      <c r="AH34" s="105">
        <v>0.16799999999999995</v>
      </c>
      <c r="AI34" s="105">
        <v>0.18799999999999997</v>
      </c>
      <c r="AJ34" s="24"/>
      <c r="AK34" s="24"/>
      <c r="AL34" s="32" t="s">
        <v>89</v>
      </c>
      <c r="AM34" s="81">
        <f t="shared" si="28"/>
        <v>9.7327999999999975</v>
      </c>
      <c r="AN34" s="81">
        <f t="shared" si="21"/>
        <v>9.9959999999999969</v>
      </c>
      <c r="AO34" s="81">
        <f t="shared" si="22"/>
        <v>12.125999999999998</v>
      </c>
      <c r="AR34" s="32" t="s">
        <v>89</v>
      </c>
      <c r="AS34" s="84">
        <v>1.6</v>
      </c>
      <c r="AT34" s="84">
        <v>1.48</v>
      </c>
      <c r="AU34" s="84">
        <v>1.6300000000000001</v>
      </c>
      <c r="AV34" s="24"/>
      <c r="AW34" s="24"/>
      <c r="AX34" s="32" t="s">
        <v>89</v>
      </c>
      <c r="AY34" s="108">
        <f t="shared" si="29"/>
        <v>98.56</v>
      </c>
      <c r="AZ34" s="108">
        <f t="shared" si="23"/>
        <v>88.06</v>
      </c>
      <c r="BA34" s="108">
        <f t="shared" si="24"/>
        <v>105.13500000000001</v>
      </c>
    </row>
    <row r="35" spans="2:53" x14ac:dyDescent="0.25">
      <c r="B35" s="32" t="s">
        <v>90</v>
      </c>
      <c r="C35" s="82">
        <v>70.400000000000006</v>
      </c>
      <c r="D35" s="82">
        <v>66.8</v>
      </c>
      <c r="E35" s="82">
        <v>66.8</v>
      </c>
      <c r="H35" s="32" t="s">
        <v>90</v>
      </c>
      <c r="I35" s="84">
        <v>0.49000000000000005</v>
      </c>
      <c r="J35" s="84">
        <v>0.47000000000000003</v>
      </c>
      <c r="K35" s="84">
        <v>0.52</v>
      </c>
      <c r="N35" s="32" t="s">
        <v>90</v>
      </c>
      <c r="O35" s="81">
        <f t="shared" si="25"/>
        <v>34.496000000000009</v>
      </c>
      <c r="P35" s="81">
        <f t="shared" si="26"/>
        <v>31.396000000000001</v>
      </c>
      <c r="Q35" s="81">
        <f t="shared" si="27"/>
        <v>34.735999999999997</v>
      </c>
      <c r="T35" s="92"/>
      <c r="U35" s="93"/>
      <c r="V35" s="93"/>
      <c r="W35" s="93"/>
      <c r="X35" s="86"/>
      <c r="Y35" s="86"/>
      <c r="Z35" s="92"/>
      <c r="AA35" s="94"/>
      <c r="AB35" s="94"/>
      <c r="AC35" s="94"/>
      <c r="AF35" s="32" t="s">
        <v>90</v>
      </c>
      <c r="AG35" s="105">
        <v>0.20399999999999999</v>
      </c>
      <c r="AH35" s="105">
        <v>0.19899999999999998</v>
      </c>
      <c r="AI35" s="105">
        <v>0.20699999999999999</v>
      </c>
      <c r="AJ35" s="24"/>
      <c r="AK35" s="24"/>
      <c r="AL35" s="32" t="s">
        <v>90</v>
      </c>
      <c r="AM35" s="81">
        <f t="shared" si="28"/>
        <v>14.361600000000001</v>
      </c>
      <c r="AN35" s="81">
        <f t="shared" si="21"/>
        <v>13.293199999999999</v>
      </c>
      <c r="AO35" s="81">
        <f t="shared" si="22"/>
        <v>13.827599999999999</v>
      </c>
      <c r="AR35" s="32" t="s">
        <v>90</v>
      </c>
      <c r="AS35" s="84">
        <v>1.6</v>
      </c>
      <c r="AT35" s="84">
        <v>1.67</v>
      </c>
      <c r="AU35" s="84">
        <v>1.69</v>
      </c>
      <c r="AV35" s="24"/>
      <c r="AW35" s="24"/>
      <c r="AX35" s="32" t="s">
        <v>90</v>
      </c>
      <c r="AY35" s="108">
        <f t="shared" si="29"/>
        <v>112.64000000000001</v>
      </c>
      <c r="AZ35" s="108">
        <f t="shared" si="23"/>
        <v>111.556</v>
      </c>
      <c r="BA35" s="108">
        <f t="shared" si="24"/>
        <v>112.892</v>
      </c>
    </row>
    <row r="36" spans="2:53" x14ac:dyDescent="0.25">
      <c r="B36" s="32" t="s">
        <v>91</v>
      </c>
      <c r="C36" s="82">
        <v>71.2</v>
      </c>
      <c r="D36" s="82">
        <v>77.099999999999994</v>
      </c>
      <c r="E36" s="82">
        <v>67.599999999999994</v>
      </c>
      <c r="H36" s="32" t="s">
        <v>91</v>
      </c>
      <c r="I36" s="84">
        <v>0.54999999999999993</v>
      </c>
      <c r="J36" s="84">
        <v>0.6</v>
      </c>
      <c r="K36" s="84">
        <v>0.55999999999999994</v>
      </c>
      <c r="N36" s="32" t="s">
        <v>91</v>
      </c>
      <c r="O36" s="81">
        <f t="shared" si="25"/>
        <v>39.159999999999997</v>
      </c>
      <c r="P36" s="81">
        <f t="shared" si="26"/>
        <v>46.26</v>
      </c>
      <c r="Q36" s="81">
        <f t="shared" si="27"/>
        <v>37.855999999999995</v>
      </c>
      <c r="T36" s="92"/>
      <c r="U36" s="93"/>
      <c r="V36" s="93"/>
      <c r="W36" s="93"/>
      <c r="X36" s="86"/>
      <c r="Y36" s="86"/>
      <c r="Z36" s="92"/>
      <c r="AA36" s="94"/>
      <c r="AB36" s="94"/>
      <c r="AC36" s="94"/>
      <c r="AF36" s="32" t="s">
        <v>91</v>
      </c>
      <c r="AG36" s="105">
        <v>0.19899999999999998</v>
      </c>
      <c r="AH36" s="105">
        <v>0.19899999999999998</v>
      </c>
      <c r="AI36" s="105">
        <v>0.214</v>
      </c>
      <c r="AJ36" s="24"/>
      <c r="AK36" s="24"/>
      <c r="AL36" s="32" t="s">
        <v>91</v>
      </c>
      <c r="AM36" s="81">
        <f t="shared" si="28"/>
        <v>14.168799999999999</v>
      </c>
      <c r="AN36" s="81">
        <f t="shared" si="21"/>
        <v>15.342899999999997</v>
      </c>
      <c r="AO36" s="81">
        <f t="shared" si="22"/>
        <v>14.466399999999998</v>
      </c>
      <c r="AR36" s="32" t="s">
        <v>91</v>
      </c>
      <c r="AS36" s="84">
        <v>1.69</v>
      </c>
      <c r="AT36" s="84">
        <v>1.77</v>
      </c>
      <c r="AU36" s="84">
        <v>1.71</v>
      </c>
      <c r="AV36" s="24"/>
      <c r="AW36" s="24"/>
      <c r="AX36" s="32" t="s">
        <v>91</v>
      </c>
      <c r="AY36" s="108">
        <f t="shared" si="29"/>
        <v>120.328</v>
      </c>
      <c r="AZ36" s="108">
        <f t="shared" si="23"/>
        <v>136.46699999999998</v>
      </c>
      <c r="BA36" s="108">
        <f t="shared" si="24"/>
        <v>115.59599999999999</v>
      </c>
    </row>
    <row r="37" spans="2:53" x14ac:dyDescent="0.25">
      <c r="B37" s="32" t="s">
        <v>92</v>
      </c>
      <c r="C37" s="82">
        <v>63.5</v>
      </c>
      <c r="D37" s="82">
        <v>60.8</v>
      </c>
      <c r="E37" s="82">
        <v>64.599999999999994</v>
      </c>
      <c r="H37" s="32" t="s">
        <v>92</v>
      </c>
      <c r="I37" s="84">
        <v>0.41</v>
      </c>
      <c r="J37" s="84">
        <v>0.37</v>
      </c>
      <c r="K37" s="84">
        <v>0.42000000000000004</v>
      </c>
      <c r="N37" s="32" t="s">
        <v>92</v>
      </c>
      <c r="O37" s="81">
        <f t="shared" si="25"/>
        <v>26.035000000000004</v>
      </c>
      <c r="P37" s="81">
        <f t="shared" si="26"/>
        <v>22.495999999999999</v>
      </c>
      <c r="Q37" s="81">
        <f t="shared" si="27"/>
        <v>27.132000000000001</v>
      </c>
      <c r="T37" s="92"/>
      <c r="U37" s="93"/>
      <c r="V37" s="93"/>
      <c r="W37" s="93"/>
      <c r="X37" s="86"/>
      <c r="Y37" s="86"/>
      <c r="Z37" s="92"/>
      <c r="AA37" s="94"/>
      <c r="AB37" s="94"/>
      <c r="AC37" s="94"/>
      <c r="AF37" s="32" t="s">
        <v>92</v>
      </c>
      <c r="AG37" s="105">
        <v>0.19614799999999991</v>
      </c>
      <c r="AH37" s="105">
        <v>0.17010799999999995</v>
      </c>
      <c r="AI37" s="105">
        <v>0.19615199999999991</v>
      </c>
      <c r="AJ37" s="24"/>
      <c r="AK37" s="24"/>
      <c r="AL37" s="32" t="s">
        <v>92</v>
      </c>
      <c r="AM37" s="81">
        <f t="shared" si="28"/>
        <v>12.455397999999994</v>
      </c>
      <c r="AN37" s="81">
        <f t="shared" si="21"/>
        <v>10.342566399999997</v>
      </c>
      <c r="AO37" s="81">
        <f t="shared" si="22"/>
        <v>12.671419199999994</v>
      </c>
      <c r="AR37" s="32" t="s">
        <v>92</v>
      </c>
      <c r="AS37" s="84">
        <v>1.67</v>
      </c>
      <c r="AT37" s="84">
        <v>1.6</v>
      </c>
      <c r="AU37" s="84">
        <v>1.56</v>
      </c>
      <c r="AV37" s="24"/>
      <c r="AW37" s="24"/>
      <c r="AX37" s="32" t="s">
        <v>92</v>
      </c>
      <c r="AY37" s="108">
        <f t="shared" si="29"/>
        <v>106.045</v>
      </c>
      <c r="AZ37" s="108">
        <f t="shared" si="23"/>
        <v>97.28</v>
      </c>
      <c r="BA37" s="108">
        <f t="shared" si="24"/>
        <v>100.776</v>
      </c>
    </row>
    <row r="38" spans="2:53" x14ac:dyDescent="0.25">
      <c r="B38" s="32" t="s">
        <v>93</v>
      </c>
      <c r="C38" s="82">
        <v>68.8</v>
      </c>
      <c r="D38" s="82">
        <v>64.599999999999994</v>
      </c>
      <c r="E38" s="82">
        <v>65.900000000000006</v>
      </c>
      <c r="H38" s="32" t="s">
        <v>93</v>
      </c>
      <c r="I38" s="84">
        <v>0.45800000000000002</v>
      </c>
      <c r="J38" s="84">
        <v>0.44</v>
      </c>
      <c r="K38" s="84">
        <v>0.47000000000000003</v>
      </c>
      <c r="N38" s="32" t="s">
        <v>93</v>
      </c>
      <c r="O38" s="81">
        <f t="shared" si="25"/>
        <v>31.510400000000001</v>
      </c>
      <c r="P38" s="81">
        <f t="shared" si="26"/>
        <v>28.423999999999992</v>
      </c>
      <c r="Q38" s="81">
        <f t="shared" si="27"/>
        <v>30.973000000000006</v>
      </c>
      <c r="T38" s="92"/>
      <c r="U38" s="93"/>
      <c r="V38" s="93"/>
      <c r="W38" s="93"/>
      <c r="X38" s="86"/>
      <c r="Y38" s="86"/>
      <c r="Z38" s="92"/>
      <c r="AA38" s="94"/>
      <c r="AB38" s="94"/>
      <c r="AC38" s="94"/>
      <c r="AF38" s="32" t="s">
        <v>93</v>
      </c>
      <c r="AG38" s="105">
        <v>0.20399999999999999</v>
      </c>
      <c r="AH38" s="105">
        <v>0.20099999999999998</v>
      </c>
      <c r="AI38" s="105">
        <v>0.20799999999999999</v>
      </c>
      <c r="AJ38" s="24"/>
      <c r="AK38" s="24"/>
      <c r="AL38" s="32" t="s">
        <v>93</v>
      </c>
      <c r="AM38" s="81">
        <f t="shared" si="28"/>
        <v>14.035199999999998</v>
      </c>
      <c r="AN38" s="81">
        <f t="shared" si="21"/>
        <v>12.984599999999999</v>
      </c>
      <c r="AO38" s="81">
        <f t="shared" si="22"/>
        <v>13.7072</v>
      </c>
      <c r="AR38" s="32" t="s">
        <v>93</v>
      </c>
      <c r="AS38" s="84">
        <v>1.73</v>
      </c>
      <c r="AT38" s="84">
        <v>1.64</v>
      </c>
      <c r="AU38" s="84">
        <v>1.65</v>
      </c>
      <c r="AV38" s="24"/>
      <c r="AW38" s="24"/>
      <c r="AX38" s="32" t="s">
        <v>93</v>
      </c>
      <c r="AY38" s="108">
        <f t="shared" si="29"/>
        <v>119.024</v>
      </c>
      <c r="AZ38" s="108">
        <f t="shared" si="23"/>
        <v>105.94399999999999</v>
      </c>
      <c r="BA38" s="108">
        <f t="shared" si="24"/>
        <v>108.735</v>
      </c>
    </row>
    <row r="39" spans="2:53" x14ac:dyDescent="0.25">
      <c r="B39" s="32" t="s">
        <v>94</v>
      </c>
      <c r="C39" s="82">
        <v>59.900000000000006</v>
      </c>
      <c r="D39" s="82">
        <v>61.599999999999994</v>
      </c>
      <c r="E39" s="82">
        <v>58.8</v>
      </c>
      <c r="H39" s="32" t="s">
        <v>94</v>
      </c>
      <c r="I39" s="84">
        <v>0.41</v>
      </c>
      <c r="J39" s="84">
        <v>0.37</v>
      </c>
      <c r="K39" s="84">
        <v>0.38</v>
      </c>
      <c r="N39" s="32" t="s">
        <v>94</v>
      </c>
      <c r="O39" s="81">
        <f t="shared" si="25"/>
        <v>24.559000000000001</v>
      </c>
      <c r="P39" s="81">
        <f t="shared" si="26"/>
        <v>22.791999999999998</v>
      </c>
      <c r="Q39" s="81">
        <f t="shared" si="27"/>
        <v>22.343999999999998</v>
      </c>
      <c r="T39" s="92"/>
      <c r="U39" s="93"/>
      <c r="V39" s="93"/>
      <c r="W39" s="93"/>
      <c r="X39" s="86"/>
      <c r="Y39" s="86"/>
      <c r="Z39" s="92"/>
      <c r="AA39" s="94"/>
      <c r="AB39" s="94"/>
      <c r="AC39" s="94"/>
      <c r="AF39" s="32" t="s">
        <v>94</v>
      </c>
      <c r="AG39" s="105">
        <v>0.17899999999999999</v>
      </c>
      <c r="AH39" s="105">
        <v>0.185</v>
      </c>
      <c r="AI39" s="105">
        <v>0.187</v>
      </c>
      <c r="AJ39" s="24"/>
      <c r="AK39" s="24"/>
      <c r="AL39" s="32" t="s">
        <v>94</v>
      </c>
      <c r="AM39" s="81">
        <f t="shared" si="28"/>
        <v>10.722100000000001</v>
      </c>
      <c r="AN39" s="81">
        <f t="shared" si="21"/>
        <v>11.395999999999999</v>
      </c>
      <c r="AO39" s="81">
        <f t="shared" si="22"/>
        <v>10.9956</v>
      </c>
      <c r="AR39" s="32" t="s">
        <v>94</v>
      </c>
      <c r="AS39" s="84">
        <v>1.41</v>
      </c>
      <c r="AT39" s="84">
        <v>1.46</v>
      </c>
      <c r="AU39" s="84">
        <v>1.48</v>
      </c>
      <c r="AV39" s="24"/>
      <c r="AW39" s="24"/>
      <c r="AX39" s="32" t="s">
        <v>94</v>
      </c>
      <c r="AY39" s="108">
        <f t="shared" si="29"/>
        <v>84.459000000000003</v>
      </c>
      <c r="AZ39" s="108">
        <f t="shared" si="23"/>
        <v>89.935999999999993</v>
      </c>
      <c r="BA39" s="108">
        <f t="shared" si="24"/>
        <v>87.024000000000001</v>
      </c>
    </row>
    <row r="40" spans="2:53" x14ac:dyDescent="0.25">
      <c r="B40" s="32" t="s">
        <v>95</v>
      </c>
      <c r="C40" s="82">
        <v>35.700000000000003</v>
      </c>
      <c r="D40" s="82">
        <v>33.200000000000003</v>
      </c>
      <c r="E40" s="82">
        <v>39.4</v>
      </c>
      <c r="H40" s="32" t="s">
        <v>95</v>
      </c>
      <c r="I40" s="85">
        <v>0.27</v>
      </c>
      <c r="J40" s="85">
        <v>0.34</v>
      </c>
      <c r="K40" s="85">
        <v>0.35000000000000003</v>
      </c>
      <c r="N40" s="32" t="s">
        <v>95</v>
      </c>
      <c r="O40" s="81">
        <f t="shared" si="25"/>
        <v>9.6390000000000011</v>
      </c>
      <c r="P40" s="81">
        <f t="shared" si="26"/>
        <v>11.288000000000002</v>
      </c>
      <c r="Q40" s="81">
        <f t="shared" si="27"/>
        <v>13.790000000000003</v>
      </c>
      <c r="T40" s="92"/>
      <c r="U40" s="95"/>
      <c r="V40" s="95"/>
      <c r="W40" s="95"/>
      <c r="X40" s="86"/>
      <c r="Y40" s="86"/>
      <c r="Z40" s="92"/>
      <c r="AA40" s="94"/>
      <c r="AB40" s="94"/>
      <c r="AC40" s="94"/>
      <c r="AF40" s="32" t="s">
        <v>95</v>
      </c>
      <c r="AG40" s="105">
        <v>0.109</v>
      </c>
      <c r="AH40" s="105">
        <v>0.105</v>
      </c>
      <c r="AI40" s="105">
        <v>0.10400000000000001</v>
      </c>
      <c r="AJ40" s="24"/>
      <c r="AK40" s="24"/>
      <c r="AL40" s="32" t="s">
        <v>95</v>
      </c>
      <c r="AM40" s="81">
        <f t="shared" si="28"/>
        <v>3.8913000000000002</v>
      </c>
      <c r="AN40" s="81">
        <f t="shared" si="21"/>
        <v>3.4860000000000002</v>
      </c>
      <c r="AO40" s="81">
        <f t="shared" si="22"/>
        <v>4.0975999999999999</v>
      </c>
      <c r="AR40" s="32" t="s">
        <v>95</v>
      </c>
      <c r="AS40" s="84">
        <v>1.31</v>
      </c>
      <c r="AT40" s="84">
        <v>1.46</v>
      </c>
      <c r="AU40" s="84">
        <v>1.41</v>
      </c>
      <c r="AV40" s="24"/>
      <c r="AW40" s="24"/>
      <c r="AX40" s="32" t="s">
        <v>95</v>
      </c>
      <c r="AY40" s="108">
        <f t="shared" si="29"/>
        <v>46.767000000000003</v>
      </c>
      <c r="AZ40" s="108">
        <f t="shared" si="23"/>
        <v>48.472000000000001</v>
      </c>
      <c r="BA40" s="108">
        <f t="shared" si="24"/>
        <v>55.553999999999995</v>
      </c>
    </row>
    <row r="41" spans="2:53" x14ac:dyDescent="0.25">
      <c r="B41" s="32" t="s">
        <v>96</v>
      </c>
      <c r="C41" s="82">
        <v>60.5</v>
      </c>
      <c r="D41" s="82">
        <v>64.2</v>
      </c>
      <c r="E41" s="82">
        <v>63.8</v>
      </c>
      <c r="H41" s="32" t="s">
        <v>96</v>
      </c>
      <c r="I41" s="84">
        <v>0.41000000000000003</v>
      </c>
      <c r="J41" s="85">
        <v>0.4</v>
      </c>
      <c r="K41" s="85">
        <v>0.43</v>
      </c>
      <c r="N41" s="32" t="s">
        <v>96</v>
      </c>
      <c r="O41" s="81">
        <f t="shared" si="25"/>
        <v>24.805000000000003</v>
      </c>
      <c r="P41" s="81">
        <f t="shared" si="26"/>
        <v>25.680000000000003</v>
      </c>
      <c r="Q41" s="81">
        <f t="shared" si="27"/>
        <v>27.433999999999997</v>
      </c>
      <c r="T41" s="92"/>
      <c r="U41" s="93"/>
      <c r="V41" s="95"/>
      <c r="W41" s="95"/>
      <c r="X41" s="86"/>
      <c r="Y41" s="86"/>
      <c r="Z41" s="92"/>
      <c r="AA41" s="94"/>
      <c r="AB41" s="94"/>
      <c r="AC41" s="94"/>
      <c r="AF41" s="32" t="s">
        <v>96</v>
      </c>
      <c r="AG41" s="105">
        <v>0.16899999999999996</v>
      </c>
      <c r="AH41" s="105">
        <v>0.17899999999999996</v>
      </c>
      <c r="AI41" s="105">
        <v>0.16500000000000001</v>
      </c>
      <c r="AJ41" s="24"/>
      <c r="AK41" s="24"/>
      <c r="AL41" s="32" t="s">
        <v>96</v>
      </c>
      <c r="AM41" s="81">
        <f t="shared" si="28"/>
        <v>10.224499999999997</v>
      </c>
      <c r="AN41" s="81">
        <f t="shared" si="21"/>
        <v>11.491799999999998</v>
      </c>
      <c r="AO41" s="81">
        <f t="shared" si="22"/>
        <v>10.526999999999999</v>
      </c>
      <c r="AR41" s="32" t="s">
        <v>96</v>
      </c>
      <c r="AS41" s="84">
        <v>1.58</v>
      </c>
      <c r="AT41" s="84">
        <v>1.6300000000000001</v>
      </c>
      <c r="AU41" s="84">
        <v>1.51</v>
      </c>
      <c r="AV41" s="24"/>
      <c r="AW41" s="24"/>
      <c r="AX41" s="32" t="s">
        <v>96</v>
      </c>
      <c r="AY41" s="108">
        <f t="shared" si="29"/>
        <v>95.59</v>
      </c>
      <c r="AZ41" s="108">
        <f t="shared" si="23"/>
        <v>104.64600000000002</v>
      </c>
      <c r="BA41" s="108">
        <f t="shared" si="24"/>
        <v>96.337999999999994</v>
      </c>
    </row>
    <row r="42" spans="2:53" x14ac:dyDescent="0.25">
      <c r="B42" s="32" t="s">
        <v>97</v>
      </c>
      <c r="C42" s="82">
        <v>69.8</v>
      </c>
      <c r="D42" s="82">
        <v>64.599999999999994</v>
      </c>
      <c r="E42" s="82">
        <v>70.8</v>
      </c>
      <c r="H42" s="32" t="s">
        <v>97</v>
      </c>
      <c r="I42" s="84">
        <v>0.48000000000000004</v>
      </c>
      <c r="J42" s="85">
        <v>0.5</v>
      </c>
      <c r="K42" s="85">
        <v>0.49000000000000005</v>
      </c>
      <c r="N42" s="32" t="s">
        <v>97</v>
      </c>
      <c r="O42" s="81">
        <f t="shared" si="25"/>
        <v>33.503999999999998</v>
      </c>
      <c r="P42" s="81">
        <f t="shared" si="26"/>
        <v>32.299999999999997</v>
      </c>
      <c r="Q42" s="81">
        <f t="shared" si="27"/>
        <v>34.692</v>
      </c>
      <c r="T42" s="92"/>
      <c r="U42" s="93"/>
      <c r="V42" s="95"/>
      <c r="W42" s="95"/>
      <c r="X42" s="86"/>
      <c r="Y42" s="86"/>
      <c r="Z42" s="92"/>
      <c r="AA42" s="94"/>
      <c r="AB42" s="94"/>
      <c r="AC42" s="94"/>
      <c r="AF42" s="32" t="s">
        <v>97</v>
      </c>
      <c r="AG42" s="105">
        <v>0.17899999999999999</v>
      </c>
      <c r="AH42" s="105">
        <v>0.185</v>
      </c>
      <c r="AI42" s="105">
        <v>0.17599999999999999</v>
      </c>
      <c r="AJ42" s="24"/>
      <c r="AK42" s="24"/>
      <c r="AL42" s="32" t="s">
        <v>97</v>
      </c>
      <c r="AM42" s="81">
        <f t="shared" si="28"/>
        <v>12.494199999999999</v>
      </c>
      <c r="AN42" s="81">
        <f t="shared" si="21"/>
        <v>11.950999999999999</v>
      </c>
      <c r="AO42" s="81">
        <f t="shared" si="22"/>
        <v>12.460799999999999</v>
      </c>
      <c r="AR42" s="32" t="s">
        <v>97</v>
      </c>
      <c r="AS42" s="84">
        <v>1.69</v>
      </c>
      <c r="AT42" s="84">
        <v>1.62</v>
      </c>
      <c r="AU42" s="84">
        <v>1.57</v>
      </c>
      <c r="AV42" s="24"/>
      <c r="AW42" s="24"/>
      <c r="AX42" s="32" t="s">
        <v>97</v>
      </c>
      <c r="AY42" s="108">
        <f t="shared" si="29"/>
        <v>117.96199999999999</v>
      </c>
      <c r="AZ42" s="108">
        <f t="shared" si="23"/>
        <v>104.652</v>
      </c>
      <c r="BA42" s="108">
        <f t="shared" si="24"/>
        <v>111.15600000000001</v>
      </c>
    </row>
    <row r="43" spans="2:53" x14ac:dyDescent="0.25">
      <c r="B43" s="32" t="s">
        <v>98</v>
      </c>
      <c r="C43" s="82">
        <v>58.900000000000006</v>
      </c>
      <c r="D43" s="82">
        <v>59.1</v>
      </c>
      <c r="E43" s="82">
        <v>63.1</v>
      </c>
      <c r="H43" s="32" t="s">
        <v>98</v>
      </c>
      <c r="I43" s="84">
        <v>0.4</v>
      </c>
      <c r="J43" s="84">
        <v>0.30000000000000004</v>
      </c>
      <c r="K43" s="84">
        <v>0.39</v>
      </c>
      <c r="N43" s="32" t="s">
        <v>98</v>
      </c>
      <c r="O43" s="81">
        <f t="shared" si="25"/>
        <v>23.560000000000002</v>
      </c>
      <c r="P43" s="81">
        <f t="shared" si="26"/>
        <v>17.730000000000004</v>
      </c>
      <c r="Q43" s="81">
        <f t="shared" si="27"/>
        <v>24.609000000000002</v>
      </c>
      <c r="T43" s="92"/>
      <c r="U43" s="93"/>
      <c r="V43" s="93"/>
      <c r="W43" s="93"/>
      <c r="X43" s="86"/>
      <c r="Y43" s="86"/>
      <c r="Z43" s="92"/>
      <c r="AA43" s="94"/>
      <c r="AB43" s="94"/>
      <c r="AC43" s="94"/>
      <c r="AF43" s="32" t="s">
        <v>98</v>
      </c>
      <c r="AG43" s="105">
        <v>0.16899999999999998</v>
      </c>
      <c r="AH43" s="105">
        <v>0.159</v>
      </c>
      <c r="AI43" s="105">
        <v>0.17899999999999996</v>
      </c>
      <c r="AJ43" s="24"/>
      <c r="AK43" s="24"/>
      <c r="AL43" s="32" t="s">
        <v>98</v>
      </c>
      <c r="AM43" s="81">
        <f t="shared" si="28"/>
        <v>9.9541000000000004</v>
      </c>
      <c r="AN43" s="81">
        <f t="shared" si="21"/>
        <v>9.3969000000000005</v>
      </c>
      <c r="AO43" s="81">
        <f t="shared" si="22"/>
        <v>11.294899999999998</v>
      </c>
      <c r="AR43" s="32" t="s">
        <v>98</v>
      </c>
      <c r="AS43" s="84">
        <v>1.58</v>
      </c>
      <c r="AT43" s="84">
        <v>1.43</v>
      </c>
      <c r="AU43" s="84">
        <v>1.51</v>
      </c>
      <c r="AV43" s="24"/>
      <c r="AW43" s="24"/>
      <c r="AX43" s="32" t="s">
        <v>98</v>
      </c>
      <c r="AY43" s="108">
        <f t="shared" si="29"/>
        <v>93.062000000000012</v>
      </c>
      <c r="AZ43" s="108">
        <f t="shared" si="23"/>
        <v>84.513000000000005</v>
      </c>
      <c r="BA43" s="108">
        <f t="shared" si="24"/>
        <v>95.281000000000006</v>
      </c>
    </row>
    <row r="44" spans="2:53" x14ac:dyDescent="0.25">
      <c r="B44" s="32" t="s">
        <v>99</v>
      </c>
      <c r="C44" s="82">
        <v>63.5</v>
      </c>
      <c r="D44" s="82">
        <v>69.2</v>
      </c>
      <c r="E44" s="82">
        <v>66.8</v>
      </c>
      <c r="H44" s="32" t="s">
        <v>99</v>
      </c>
      <c r="I44" s="84">
        <v>0.47000000000000003</v>
      </c>
      <c r="J44" s="84">
        <v>0.46</v>
      </c>
      <c r="K44" s="84">
        <v>0.49000000000000005</v>
      </c>
      <c r="N44" s="32" t="s">
        <v>99</v>
      </c>
      <c r="O44" s="81">
        <f t="shared" si="25"/>
        <v>29.845000000000006</v>
      </c>
      <c r="P44" s="81">
        <f t="shared" si="26"/>
        <v>31.832000000000004</v>
      </c>
      <c r="Q44" s="81">
        <f t="shared" si="27"/>
        <v>32.731999999999999</v>
      </c>
      <c r="T44" s="92"/>
      <c r="U44" s="93"/>
      <c r="V44" s="93"/>
      <c r="W44" s="93"/>
      <c r="X44" s="86"/>
      <c r="Y44" s="86"/>
      <c r="Z44" s="92"/>
      <c r="AA44" s="94"/>
      <c r="AB44" s="94"/>
      <c r="AC44" s="94"/>
      <c r="AF44" s="32" t="s">
        <v>99</v>
      </c>
      <c r="AG44" s="105">
        <v>0.18099999999999999</v>
      </c>
      <c r="AH44" s="105">
        <v>0.17299999999999999</v>
      </c>
      <c r="AI44" s="105">
        <v>0.18573199999999992</v>
      </c>
      <c r="AJ44" s="24"/>
      <c r="AK44" s="24"/>
      <c r="AL44" s="32" t="s">
        <v>99</v>
      </c>
      <c r="AM44" s="81">
        <f t="shared" si="28"/>
        <v>11.493499999999999</v>
      </c>
      <c r="AN44" s="81">
        <f t="shared" si="21"/>
        <v>11.9716</v>
      </c>
      <c r="AO44" s="81">
        <f t="shared" si="22"/>
        <v>12.406897599999995</v>
      </c>
      <c r="AR44" s="32" t="s">
        <v>99</v>
      </c>
      <c r="AS44" s="84">
        <v>1.67</v>
      </c>
      <c r="AT44" s="84">
        <v>1.56</v>
      </c>
      <c r="AU44" s="84">
        <v>1.59</v>
      </c>
      <c r="AV44" s="24"/>
      <c r="AW44" s="24"/>
      <c r="AX44" s="32" t="s">
        <v>99</v>
      </c>
      <c r="AY44" s="108">
        <f t="shared" si="29"/>
        <v>106.045</v>
      </c>
      <c r="AZ44" s="108">
        <f t="shared" si="23"/>
        <v>107.95200000000001</v>
      </c>
      <c r="BA44" s="108">
        <f t="shared" si="24"/>
        <v>106.212</v>
      </c>
    </row>
    <row r="45" spans="2:53" x14ac:dyDescent="0.25">
      <c r="B45" s="32" t="s">
        <v>100</v>
      </c>
      <c r="C45" s="82">
        <v>71.599999999999994</v>
      </c>
      <c r="D45" s="82">
        <v>73.2</v>
      </c>
      <c r="E45" s="82">
        <v>66.5</v>
      </c>
      <c r="H45" s="32" t="s">
        <v>100</v>
      </c>
      <c r="I45" s="84">
        <v>0.53999999999999992</v>
      </c>
      <c r="J45" s="84">
        <v>0.47000000000000003</v>
      </c>
      <c r="K45" s="84">
        <v>0.55999999999999994</v>
      </c>
      <c r="N45" s="32" t="s">
        <v>100</v>
      </c>
      <c r="O45" s="81">
        <f t="shared" si="25"/>
        <v>38.663999999999994</v>
      </c>
      <c r="P45" s="81">
        <f t="shared" si="26"/>
        <v>34.404000000000003</v>
      </c>
      <c r="Q45" s="81">
        <f t="shared" si="27"/>
        <v>37.239999999999995</v>
      </c>
      <c r="T45" s="92"/>
      <c r="U45" s="93"/>
      <c r="V45" s="93"/>
      <c r="W45" s="93"/>
      <c r="X45" s="86"/>
      <c r="Y45" s="86"/>
      <c r="Z45" s="92"/>
      <c r="AA45" s="94"/>
      <c r="AB45" s="94"/>
      <c r="AC45" s="94"/>
      <c r="AF45" s="32" t="s">
        <v>100</v>
      </c>
      <c r="AG45" s="105">
        <v>0.19899999999999998</v>
      </c>
      <c r="AH45" s="105">
        <v>0.17875599999999994</v>
      </c>
      <c r="AI45" s="105">
        <v>0.22900000000000001</v>
      </c>
      <c r="AJ45" s="24"/>
      <c r="AK45" s="24"/>
      <c r="AL45" s="32" t="s">
        <v>100</v>
      </c>
      <c r="AM45" s="81">
        <f t="shared" si="28"/>
        <v>14.248399999999998</v>
      </c>
      <c r="AN45" s="81">
        <f t="shared" si="21"/>
        <v>13.084939199999996</v>
      </c>
      <c r="AO45" s="81">
        <f t="shared" si="22"/>
        <v>15.2285</v>
      </c>
      <c r="AR45" s="32" t="s">
        <v>100</v>
      </c>
      <c r="AS45" s="84">
        <v>1.69</v>
      </c>
      <c r="AT45" s="84">
        <v>1.71</v>
      </c>
      <c r="AU45" s="84">
        <v>1.61</v>
      </c>
      <c r="AV45" s="24"/>
      <c r="AW45" s="24"/>
      <c r="AX45" s="32" t="s">
        <v>100</v>
      </c>
      <c r="AY45" s="108">
        <f t="shared" si="29"/>
        <v>121.00399999999999</v>
      </c>
      <c r="AZ45" s="108">
        <f t="shared" si="23"/>
        <v>125.172</v>
      </c>
      <c r="BA45" s="108">
        <f t="shared" si="24"/>
        <v>107.06500000000001</v>
      </c>
    </row>
    <row r="46" spans="2:53" x14ac:dyDescent="0.25">
      <c r="B46" s="32" t="s">
        <v>101</v>
      </c>
      <c r="C46" s="82">
        <v>61.8</v>
      </c>
      <c r="D46" s="82">
        <v>63.599999999999994</v>
      </c>
      <c r="E46" s="82">
        <v>58.8</v>
      </c>
      <c r="H46" s="32" t="s">
        <v>101</v>
      </c>
      <c r="I46" s="84">
        <v>0.4</v>
      </c>
      <c r="J46" s="84">
        <v>0.34</v>
      </c>
      <c r="K46" s="84">
        <v>0.42000000000000004</v>
      </c>
      <c r="N46" s="32" t="s">
        <v>101</v>
      </c>
      <c r="O46" s="81">
        <f t="shared" si="25"/>
        <v>24.72</v>
      </c>
      <c r="P46" s="81">
        <f t="shared" si="26"/>
        <v>21.623999999999999</v>
      </c>
      <c r="Q46" s="81">
        <f t="shared" si="27"/>
        <v>24.696000000000002</v>
      </c>
      <c r="T46" s="92"/>
      <c r="U46" s="93"/>
      <c r="V46" s="93"/>
      <c r="W46" s="93"/>
      <c r="X46" s="86"/>
      <c r="Y46" s="86"/>
      <c r="Z46" s="92"/>
      <c r="AA46" s="94"/>
      <c r="AB46" s="94"/>
      <c r="AC46" s="94"/>
      <c r="AF46" s="32" t="s">
        <v>101</v>
      </c>
      <c r="AG46" s="105">
        <v>0.16899999999999996</v>
      </c>
      <c r="AH46" s="105">
        <v>0.15899999999999995</v>
      </c>
      <c r="AI46" s="105">
        <v>0.219</v>
      </c>
      <c r="AJ46" s="24"/>
      <c r="AK46" s="24"/>
      <c r="AL46" s="32" t="s">
        <v>101</v>
      </c>
      <c r="AM46" s="81">
        <f t="shared" si="28"/>
        <v>10.444199999999997</v>
      </c>
      <c r="AN46" s="81">
        <f t="shared" si="21"/>
        <v>10.112399999999996</v>
      </c>
      <c r="AO46" s="81">
        <f t="shared" si="22"/>
        <v>12.8772</v>
      </c>
      <c r="AR46" s="32" t="s">
        <v>101</v>
      </c>
      <c r="AS46" s="84">
        <v>1.59</v>
      </c>
      <c r="AT46" s="84">
        <v>1.46</v>
      </c>
      <c r="AU46" s="84">
        <v>1.51</v>
      </c>
      <c r="AV46" s="24"/>
      <c r="AW46" s="24"/>
      <c r="AX46" s="32" t="s">
        <v>101</v>
      </c>
      <c r="AY46" s="108">
        <f t="shared" si="29"/>
        <v>98.262</v>
      </c>
      <c r="AZ46" s="108">
        <f t="shared" si="23"/>
        <v>92.855999999999995</v>
      </c>
      <c r="BA46" s="108">
        <f t="shared" si="24"/>
        <v>88.787999999999997</v>
      </c>
    </row>
    <row r="47" spans="2:53" x14ac:dyDescent="0.25">
      <c r="B47" s="32" t="s">
        <v>102</v>
      </c>
      <c r="C47" s="82">
        <v>62.2</v>
      </c>
      <c r="D47" s="82">
        <v>65.599999999999994</v>
      </c>
      <c r="E47" s="82">
        <v>66.2</v>
      </c>
      <c r="H47" s="32" t="s">
        <v>102</v>
      </c>
      <c r="I47" s="84">
        <v>0.42000000000000004</v>
      </c>
      <c r="J47" s="84">
        <v>0.42000000000000004</v>
      </c>
      <c r="K47" s="84">
        <v>0.44</v>
      </c>
      <c r="N47" s="32" t="s">
        <v>102</v>
      </c>
      <c r="O47" s="81">
        <f t="shared" si="25"/>
        <v>26.124000000000002</v>
      </c>
      <c r="P47" s="81">
        <f t="shared" si="26"/>
        <v>27.552</v>
      </c>
      <c r="Q47" s="81">
        <f t="shared" si="27"/>
        <v>29.128</v>
      </c>
      <c r="T47" s="92"/>
      <c r="U47" s="93"/>
      <c r="V47" s="93"/>
      <c r="W47" s="93"/>
      <c r="X47" s="86"/>
      <c r="Y47" s="86"/>
      <c r="Z47" s="92"/>
      <c r="AA47" s="94"/>
      <c r="AB47" s="94"/>
      <c r="AC47" s="94"/>
      <c r="AF47" s="32" t="s">
        <v>102</v>
      </c>
      <c r="AG47" s="105">
        <v>0.15899999999999995</v>
      </c>
      <c r="AH47" s="105">
        <v>0.17899999999999996</v>
      </c>
      <c r="AI47" s="105">
        <v>0.16899999999999996</v>
      </c>
      <c r="AJ47" s="24"/>
      <c r="AK47" s="24"/>
      <c r="AL47" s="32" t="s">
        <v>102</v>
      </c>
      <c r="AM47" s="81">
        <f t="shared" si="28"/>
        <v>9.8897999999999975</v>
      </c>
      <c r="AN47" s="81">
        <f t="shared" si="21"/>
        <v>11.742399999999996</v>
      </c>
      <c r="AO47" s="81">
        <f t="shared" si="22"/>
        <v>11.187799999999998</v>
      </c>
      <c r="AR47" s="32" t="s">
        <v>102</v>
      </c>
      <c r="AS47" s="84">
        <v>1.56</v>
      </c>
      <c r="AT47" s="84">
        <v>1.5</v>
      </c>
      <c r="AU47" s="84">
        <v>1.56</v>
      </c>
      <c r="AV47" s="24"/>
      <c r="AW47" s="24"/>
      <c r="AX47" s="32" t="s">
        <v>102</v>
      </c>
      <c r="AY47" s="108">
        <f t="shared" si="29"/>
        <v>97.032000000000011</v>
      </c>
      <c r="AZ47" s="108">
        <f t="shared" si="23"/>
        <v>98.399999999999991</v>
      </c>
      <c r="BA47" s="108">
        <f t="shared" si="24"/>
        <v>103.27200000000001</v>
      </c>
    </row>
    <row r="48" spans="2:53" x14ac:dyDescent="0.25">
      <c r="B48" s="32" t="s">
        <v>103</v>
      </c>
      <c r="C48" s="82">
        <v>59.8</v>
      </c>
      <c r="D48" s="82">
        <v>58.5</v>
      </c>
      <c r="E48" s="82">
        <v>55.7</v>
      </c>
      <c r="H48" s="32" t="s">
        <v>103</v>
      </c>
      <c r="I48" s="84">
        <v>0.34</v>
      </c>
      <c r="J48" s="84">
        <v>0.38</v>
      </c>
      <c r="K48" s="84">
        <v>0.31</v>
      </c>
      <c r="N48" s="32" t="s">
        <v>103</v>
      </c>
      <c r="O48" s="81">
        <f t="shared" si="25"/>
        <v>20.332000000000001</v>
      </c>
      <c r="P48" s="81">
        <f t="shared" si="26"/>
        <v>22.23</v>
      </c>
      <c r="Q48" s="81">
        <f t="shared" si="27"/>
        <v>17.266999999999999</v>
      </c>
      <c r="T48" s="92"/>
      <c r="U48" s="93"/>
      <c r="V48" s="93"/>
      <c r="W48" s="93"/>
      <c r="X48" s="86"/>
      <c r="Y48" s="86"/>
      <c r="Z48" s="92"/>
      <c r="AA48" s="94"/>
      <c r="AB48" s="94"/>
      <c r="AC48" s="94"/>
      <c r="AF48" s="32" t="s">
        <v>103</v>
      </c>
      <c r="AG48" s="105">
        <v>0.14799999999999999</v>
      </c>
      <c r="AH48" s="105">
        <v>0.13899999999999998</v>
      </c>
      <c r="AI48" s="105">
        <v>0.14899999999999999</v>
      </c>
      <c r="AJ48" s="24"/>
      <c r="AK48" s="24"/>
      <c r="AL48" s="32" t="s">
        <v>103</v>
      </c>
      <c r="AM48" s="81">
        <f t="shared" si="28"/>
        <v>8.8503999999999987</v>
      </c>
      <c r="AN48" s="81">
        <f t="shared" si="21"/>
        <v>8.1314999999999991</v>
      </c>
      <c r="AO48" s="81">
        <f t="shared" si="22"/>
        <v>8.2993000000000006</v>
      </c>
      <c r="AR48" s="32" t="s">
        <v>103</v>
      </c>
      <c r="AS48" s="84">
        <v>1.5</v>
      </c>
      <c r="AT48" s="84">
        <v>1.49</v>
      </c>
      <c r="AU48" s="84">
        <v>1.48</v>
      </c>
      <c r="AV48" s="24"/>
      <c r="AW48" s="24"/>
      <c r="AX48" s="32" t="s">
        <v>103</v>
      </c>
      <c r="AY48" s="108">
        <f t="shared" si="29"/>
        <v>89.699999999999989</v>
      </c>
      <c r="AZ48" s="108">
        <f t="shared" si="23"/>
        <v>87.165000000000006</v>
      </c>
      <c r="BA48" s="108">
        <f t="shared" si="24"/>
        <v>82.436000000000007</v>
      </c>
    </row>
    <row r="49" spans="2:53" x14ac:dyDescent="0.25">
      <c r="T49" s="24"/>
      <c r="U49" s="24"/>
      <c r="V49" s="24"/>
      <c r="W49" s="24"/>
      <c r="X49" s="24"/>
      <c r="Y49" s="24"/>
      <c r="Z49" s="24"/>
      <c r="AA49" s="24"/>
      <c r="AB49" s="24"/>
      <c r="AC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</row>
    <row r="50" spans="2:53" x14ac:dyDescent="0.25">
      <c r="T50" s="24"/>
      <c r="U50" s="24"/>
      <c r="V50" s="24"/>
      <c r="W50" s="24"/>
      <c r="X50" s="24"/>
      <c r="Y50" s="24"/>
      <c r="Z50" s="24"/>
      <c r="AA50" s="24"/>
      <c r="AB50" s="24"/>
      <c r="AC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</row>
    <row r="51" spans="2:53" x14ac:dyDescent="0.25">
      <c r="T51" s="24"/>
      <c r="U51" s="24"/>
      <c r="V51" s="24"/>
      <c r="W51" s="24"/>
      <c r="X51" s="24"/>
      <c r="Y51" s="24"/>
      <c r="Z51" s="24"/>
      <c r="AA51" s="24"/>
      <c r="AB51" s="24"/>
      <c r="AC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</row>
    <row r="52" spans="2:53" ht="22.5" x14ac:dyDescent="0.3">
      <c r="C52" s="143">
        <v>2020</v>
      </c>
      <c r="D52" s="143"/>
      <c r="J52" s="66">
        <v>2020</v>
      </c>
      <c r="N52" s="71"/>
      <c r="O52" s="71"/>
      <c r="P52" s="66">
        <v>2020</v>
      </c>
      <c r="Q52" s="71"/>
      <c r="T52" s="24"/>
      <c r="U52" s="24"/>
      <c r="V52" s="66">
        <v>2020</v>
      </c>
      <c r="W52" s="24"/>
      <c r="X52" s="24"/>
      <c r="Y52" s="24"/>
      <c r="Z52" s="71"/>
      <c r="AA52" s="71"/>
      <c r="AB52" s="66">
        <v>2020</v>
      </c>
      <c r="AC52" s="71"/>
      <c r="AF52" s="24"/>
      <c r="AG52" s="24"/>
      <c r="AH52" s="66">
        <v>2020</v>
      </c>
      <c r="AI52" s="24"/>
      <c r="AJ52" s="24"/>
      <c r="AK52" s="24"/>
      <c r="AL52" s="71"/>
      <c r="AM52" s="71"/>
      <c r="AN52" s="66">
        <v>2020</v>
      </c>
      <c r="AO52" s="71"/>
      <c r="AR52" s="24"/>
      <c r="AS52" s="24"/>
      <c r="AT52" s="66">
        <v>2020</v>
      </c>
      <c r="AU52" s="24"/>
      <c r="AV52" s="24"/>
      <c r="AW52" s="24"/>
      <c r="AX52" s="71"/>
      <c r="AY52" s="71"/>
      <c r="AZ52" s="66">
        <v>2020</v>
      </c>
      <c r="BA52" s="71"/>
    </row>
    <row r="53" spans="2:53" ht="15.75" x14ac:dyDescent="0.25">
      <c r="C53" s="144" t="s">
        <v>126</v>
      </c>
      <c r="D53" s="144"/>
      <c r="J53" s="56" t="s">
        <v>115</v>
      </c>
      <c r="N53" s="71"/>
      <c r="O53" s="71"/>
      <c r="P53" s="56" t="s">
        <v>130</v>
      </c>
      <c r="Q53" s="71"/>
      <c r="T53" s="24"/>
      <c r="U53" s="24"/>
      <c r="V53" s="56" t="s">
        <v>133</v>
      </c>
      <c r="W53" s="24"/>
      <c r="X53" s="24"/>
      <c r="Y53" s="24"/>
      <c r="Z53" s="71"/>
      <c r="AA53" s="71"/>
      <c r="AB53" s="56" t="s">
        <v>135</v>
      </c>
      <c r="AC53" s="71"/>
      <c r="AF53" s="24"/>
      <c r="AG53" s="24"/>
      <c r="AH53" s="56" t="s">
        <v>120</v>
      </c>
      <c r="AI53" s="24"/>
      <c r="AJ53" s="24"/>
      <c r="AK53" s="24"/>
      <c r="AL53" s="71"/>
      <c r="AM53" s="71"/>
      <c r="AN53" s="56" t="s">
        <v>136</v>
      </c>
      <c r="AO53" s="71"/>
      <c r="AR53" s="24"/>
      <c r="AS53" s="24"/>
      <c r="AT53" s="56" t="s">
        <v>123</v>
      </c>
      <c r="AU53" s="24"/>
      <c r="AV53" s="24"/>
      <c r="AW53" s="24"/>
      <c r="AX53" s="71"/>
      <c r="AY53" s="71"/>
      <c r="AZ53" s="56" t="s">
        <v>137</v>
      </c>
      <c r="BA53" s="71"/>
    </row>
    <row r="54" spans="2:53" x14ac:dyDescent="0.25">
      <c r="J54" s="48" t="s">
        <v>116</v>
      </c>
      <c r="N54" s="71"/>
      <c r="O54" s="71"/>
      <c r="P54" s="48" t="s">
        <v>116</v>
      </c>
      <c r="Q54" s="71"/>
      <c r="T54" s="24"/>
      <c r="U54" s="24"/>
      <c r="V54" s="48" t="s">
        <v>116</v>
      </c>
      <c r="W54" s="24"/>
      <c r="X54" s="24"/>
      <c r="Y54" s="24"/>
      <c r="Z54" s="71"/>
      <c r="AA54" s="71"/>
      <c r="AB54" s="48" t="s">
        <v>116</v>
      </c>
      <c r="AC54" s="71"/>
      <c r="AF54" s="24"/>
      <c r="AG54" s="24"/>
      <c r="AH54" s="48" t="s">
        <v>116</v>
      </c>
      <c r="AI54" s="24"/>
      <c r="AJ54" s="24"/>
      <c r="AK54" s="24"/>
      <c r="AL54" s="71"/>
      <c r="AM54" s="71"/>
      <c r="AN54" s="48" t="s">
        <v>116</v>
      </c>
      <c r="AO54" s="71"/>
      <c r="AR54" s="24"/>
      <c r="AS54" s="24"/>
      <c r="AT54" s="48" t="s">
        <v>116</v>
      </c>
      <c r="AU54" s="24"/>
      <c r="AV54" s="24"/>
      <c r="AW54" s="24"/>
      <c r="AX54" s="71"/>
      <c r="AY54" s="71"/>
      <c r="AZ54" s="48" t="s">
        <v>116</v>
      </c>
      <c r="BA54" s="71"/>
    </row>
    <row r="55" spans="2:53" x14ac:dyDescent="0.25">
      <c r="B55" s="46" t="s">
        <v>0</v>
      </c>
      <c r="C55" s="30" t="s">
        <v>1</v>
      </c>
      <c r="D55" s="30" t="s">
        <v>2</v>
      </c>
      <c r="E55" s="30" t="s">
        <v>3</v>
      </c>
      <c r="H55" s="46" t="s">
        <v>0</v>
      </c>
      <c r="I55" s="30" t="s">
        <v>1</v>
      </c>
      <c r="J55" s="30" t="s">
        <v>2</v>
      </c>
      <c r="K55" s="30" t="s">
        <v>3</v>
      </c>
      <c r="N55" s="46" t="s">
        <v>0</v>
      </c>
      <c r="O55" s="30" t="s">
        <v>1</v>
      </c>
      <c r="P55" s="30" t="s">
        <v>2</v>
      </c>
      <c r="Q55" s="30" t="s">
        <v>3</v>
      </c>
      <c r="T55" s="46" t="s">
        <v>0</v>
      </c>
      <c r="U55" s="30" t="s">
        <v>1</v>
      </c>
      <c r="V55" s="30" t="s">
        <v>2</v>
      </c>
      <c r="W55" s="30" t="s">
        <v>3</v>
      </c>
      <c r="X55" s="24"/>
      <c r="Y55" s="24"/>
      <c r="Z55" s="46" t="s">
        <v>0</v>
      </c>
      <c r="AA55" s="30" t="s">
        <v>1</v>
      </c>
      <c r="AB55" s="30" t="s">
        <v>2</v>
      </c>
      <c r="AC55" s="30" t="s">
        <v>3</v>
      </c>
      <c r="AF55" s="46" t="s">
        <v>0</v>
      </c>
      <c r="AG55" s="30" t="s">
        <v>1</v>
      </c>
      <c r="AH55" s="30" t="s">
        <v>2</v>
      </c>
      <c r="AI55" s="30" t="s">
        <v>3</v>
      </c>
      <c r="AJ55" s="24"/>
      <c r="AK55" s="24"/>
      <c r="AL55" s="46" t="s">
        <v>0</v>
      </c>
      <c r="AM55" s="30" t="s">
        <v>1</v>
      </c>
      <c r="AN55" s="30" t="s">
        <v>2</v>
      </c>
      <c r="AO55" s="30" t="s">
        <v>3</v>
      </c>
      <c r="AR55" s="46" t="s">
        <v>0</v>
      </c>
      <c r="AS55" s="30" t="s">
        <v>1</v>
      </c>
      <c r="AT55" s="30" t="s">
        <v>2</v>
      </c>
      <c r="AU55" s="30" t="s">
        <v>3</v>
      </c>
      <c r="AV55" s="24"/>
      <c r="AW55" s="24"/>
      <c r="AX55" s="46" t="s">
        <v>0</v>
      </c>
      <c r="AY55" s="30" t="s">
        <v>1</v>
      </c>
      <c r="AZ55" s="30" t="s">
        <v>2</v>
      </c>
      <c r="BA55" s="30" t="s">
        <v>3</v>
      </c>
    </row>
    <row r="56" spans="2:53" x14ac:dyDescent="0.25">
      <c r="B56" s="32" t="s">
        <v>86</v>
      </c>
      <c r="C56" s="81">
        <v>26.5</v>
      </c>
      <c r="D56" s="81">
        <v>21.8</v>
      </c>
      <c r="E56" s="81">
        <v>23.56</v>
      </c>
      <c r="H56" s="32" t="s">
        <v>86</v>
      </c>
      <c r="I56" s="81">
        <v>1.17</v>
      </c>
      <c r="J56" s="81">
        <v>1.1499999999999999</v>
      </c>
      <c r="K56" s="81">
        <v>1.19</v>
      </c>
      <c r="N56" s="32" t="s">
        <v>86</v>
      </c>
      <c r="O56" s="81">
        <f>((C56*I56)/100)*100</f>
        <v>31.004999999999999</v>
      </c>
      <c r="P56" s="81">
        <f t="shared" ref="P56:P73" si="30">((D56*J56)/100)*100</f>
        <v>25.069999999999997</v>
      </c>
      <c r="Q56" s="81">
        <f t="shared" ref="Q56:Q73" si="31">((E56*K56)/100)*100</f>
        <v>28.036399999999993</v>
      </c>
      <c r="T56" s="32" t="s">
        <v>86</v>
      </c>
      <c r="U56" s="81">
        <f>I56*5.75</f>
        <v>6.7274999999999991</v>
      </c>
      <c r="V56" s="81">
        <f t="shared" ref="V56:W56" si="32">J56*5.75</f>
        <v>6.6124999999999998</v>
      </c>
      <c r="W56" s="81">
        <f t="shared" si="32"/>
        <v>6.8424999999999994</v>
      </c>
      <c r="X56" s="24"/>
      <c r="Y56" s="24"/>
      <c r="Z56" s="32" t="s">
        <v>86</v>
      </c>
      <c r="AA56" s="81">
        <f xml:space="preserve"> ((U56*C56)/100)*100</f>
        <v>178.27874999999997</v>
      </c>
      <c r="AB56" s="81">
        <f t="shared" ref="AB56:AB73" si="33" xml:space="preserve"> ((V56*D56)/100)*100</f>
        <v>144.1525</v>
      </c>
      <c r="AC56" s="81">
        <f t="shared" ref="AC56:AC73" si="34" xml:space="preserve"> ((W56*E56)/100)*100</f>
        <v>161.20929999999998</v>
      </c>
      <c r="AF56" s="32" t="s">
        <v>86</v>
      </c>
      <c r="AG56" s="81">
        <v>0.32</v>
      </c>
      <c r="AH56" s="81">
        <v>0.27</v>
      </c>
      <c r="AI56" s="81">
        <v>0.29000000000000004</v>
      </c>
      <c r="AJ56" s="24"/>
      <c r="AK56" s="24"/>
      <c r="AL56" s="32" t="s">
        <v>86</v>
      </c>
      <c r="AM56" s="81">
        <f>(C56*AG56)</f>
        <v>8.48</v>
      </c>
      <c r="AN56" s="81">
        <f t="shared" ref="AN56:AN73" si="35">(D56*AH56)</f>
        <v>5.886000000000001</v>
      </c>
      <c r="AO56" s="81">
        <f t="shared" ref="AO56:AO73" si="36">(E56*AI56)</f>
        <v>6.8324000000000007</v>
      </c>
      <c r="AR56" s="32" t="s">
        <v>86</v>
      </c>
      <c r="AS56" s="81">
        <v>0.38</v>
      </c>
      <c r="AT56" s="81">
        <v>0.45</v>
      </c>
      <c r="AU56" s="81">
        <v>0.39999999999999997</v>
      </c>
      <c r="AV56" s="24"/>
      <c r="AW56" s="24"/>
      <c r="AX56" s="32" t="s">
        <v>86</v>
      </c>
      <c r="AY56" s="108">
        <f>AS56*C56</f>
        <v>10.07</v>
      </c>
      <c r="AZ56" s="108">
        <f t="shared" ref="AZ56:AZ73" si="37">AT56*D56</f>
        <v>9.81</v>
      </c>
      <c r="BA56" s="108">
        <f t="shared" ref="BA56:BA73" si="38">AU56*E56</f>
        <v>9.4239999999999995</v>
      </c>
    </row>
    <row r="57" spans="2:53" x14ac:dyDescent="0.25">
      <c r="B57" s="32" t="s">
        <v>87</v>
      </c>
      <c r="C57" s="81">
        <v>39.56</v>
      </c>
      <c r="D57" s="81">
        <v>43.6</v>
      </c>
      <c r="E57" s="81">
        <v>44.5</v>
      </c>
      <c r="H57" s="32" t="s">
        <v>87</v>
      </c>
      <c r="I57" s="81">
        <v>1.28</v>
      </c>
      <c r="J57" s="81">
        <v>1.26</v>
      </c>
      <c r="K57" s="81">
        <v>1.25</v>
      </c>
      <c r="N57" s="32" t="s">
        <v>87</v>
      </c>
      <c r="O57" s="81">
        <f t="shared" ref="O57:O73" si="39">((C57*I57)/100)*100</f>
        <v>50.636800000000001</v>
      </c>
      <c r="P57" s="81">
        <f t="shared" si="30"/>
        <v>54.935999999999993</v>
      </c>
      <c r="Q57" s="81">
        <f t="shared" si="31"/>
        <v>55.625</v>
      </c>
      <c r="T57" s="32" t="s">
        <v>87</v>
      </c>
      <c r="U57" s="81">
        <f t="shared" ref="U57:U73" si="40">I57*5.75</f>
        <v>7.36</v>
      </c>
      <c r="V57" s="81">
        <f t="shared" ref="V57:V73" si="41">J57*5.75</f>
        <v>7.2450000000000001</v>
      </c>
      <c r="W57" s="81">
        <f t="shared" ref="W57:W73" si="42">K57*5.75</f>
        <v>7.1875</v>
      </c>
      <c r="X57" s="24"/>
      <c r="Y57" s="24"/>
      <c r="Z57" s="32" t="s">
        <v>87</v>
      </c>
      <c r="AA57" s="81">
        <f t="shared" ref="AA57:AA72" si="43" xml:space="preserve"> ((U57*C57)/100)*100</f>
        <v>291.16160000000002</v>
      </c>
      <c r="AB57" s="81">
        <f t="shared" si="33"/>
        <v>315.88200000000001</v>
      </c>
      <c r="AC57" s="81">
        <f t="shared" si="34"/>
        <v>319.84375</v>
      </c>
      <c r="AF57" s="32" t="s">
        <v>87</v>
      </c>
      <c r="AG57" s="81">
        <v>0.35714799999999991</v>
      </c>
      <c r="AH57" s="81">
        <v>0.4</v>
      </c>
      <c r="AI57" s="81">
        <v>0.39570799999999984</v>
      </c>
      <c r="AJ57" s="24"/>
      <c r="AK57" s="24"/>
      <c r="AL57" s="32" t="s">
        <v>87</v>
      </c>
      <c r="AM57" s="81">
        <f t="shared" ref="AM57:AM73" si="44">(C57*AG57)</f>
        <v>14.128774879999996</v>
      </c>
      <c r="AN57" s="81">
        <f t="shared" si="35"/>
        <v>17.440000000000001</v>
      </c>
      <c r="AO57" s="81">
        <f t="shared" si="36"/>
        <v>17.609005999999994</v>
      </c>
      <c r="AR57" s="32" t="s">
        <v>87</v>
      </c>
      <c r="AS57" s="81">
        <v>0.46</v>
      </c>
      <c r="AT57" s="81">
        <v>0.46</v>
      </c>
      <c r="AU57" s="81">
        <v>0.49</v>
      </c>
      <c r="AV57" s="24"/>
      <c r="AW57" s="24"/>
      <c r="AX57" s="32" t="s">
        <v>87</v>
      </c>
      <c r="AY57" s="108">
        <f t="shared" ref="AY57:AY73" si="45">AS57*C57</f>
        <v>18.197600000000001</v>
      </c>
      <c r="AZ57" s="108">
        <f t="shared" si="37"/>
        <v>20.056000000000001</v>
      </c>
      <c r="BA57" s="108">
        <f t="shared" si="38"/>
        <v>21.805</v>
      </c>
    </row>
    <row r="58" spans="2:53" x14ac:dyDescent="0.25">
      <c r="B58" s="32" t="s">
        <v>88</v>
      </c>
      <c r="C58" s="81">
        <v>49.5</v>
      </c>
      <c r="D58" s="81">
        <v>48.6</v>
      </c>
      <c r="E58" s="81">
        <v>46.5</v>
      </c>
      <c r="H58" s="32" t="s">
        <v>88</v>
      </c>
      <c r="I58" s="81">
        <v>1.32</v>
      </c>
      <c r="J58" s="81">
        <v>1.34</v>
      </c>
      <c r="K58" s="81">
        <v>1.35</v>
      </c>
      <c r="N58" s="32" t="s">
        <v>88</v>
      </c>
      <c r="O58" s="81">
        <f t="shared" si="39"/>
        <v>65.34</v>
      </c>
      <c r="P58" s="81">
        <f t="shared" si="30"/>
        <v>65.124000000000009</v>
      </c>
      <c r="Q58" s="81">
        <f t="shared" si="31"/>
        <v>62.775000000000006</v>
      </c>
      <c r="T58" s="32" t="s">
        <v>88</v>
      </c>
      <c r="U58" s="81">
        <f t="shared" si="40"/>
        <v>7.5900000000000007</v>
      </c>
      <c r="V58" s="81">
        <f t="shared" si="41"/>
        <v>7.7050000000000001</v>
      </c>
      <c r="W58" s="81">
        <f t="shared" si="42"/>
        <v>7.7625000000000002</v>
      </c>
      <c r="X58" s="24"/>
      <c r="Y58" s="24"/>
      <c r="Z58" s="32" t="s">
        <v>88</v>
      </c>
      <c r="AA58" s="81">
        <f t="shared" si="43"/>
        <v>375.70500000000004</v>
      </c>
      <c r="AB58" s="81">
        <f t="shared" si="33"/>
        <v>374.46300000000002</v>
      </c>
      <c r="AC58" s="81">
        <f t="shared" si="34"/>
        <v>360.95625000000001</v>
      </c>
      <c r="AF58" s="32" t="s">
        <v>88</v>
      </c>
      <c r="AG58" s="81">
        <v>0.37</v>
      </c>
      <c r="AH58" s="81">
        <v>0.33999999999999997</v>
      </c>
      <c r="AI58" s="81">
        <v>0.37</v>
      </c>
      <c r="AJ58" s="24"/>
      <c r="AK58" s="24"/>
      <c r="AL58" s="32" t="s">
        <v>88</v>
      </c>
      <c r="AM58" s="81">
        <f t="shared" si="44"/>
        <v>18.315000000000001</v>
      </c>
      <c r="AN58" s="81">
        <f t="shared" si="35"/>
        <v>16.523999999999997</v>
      </c>
      <c r="AO58" s="81">
        <f t="shared" si="36"/>
        <v>17.204999999999998</v>
      </c>
      <c r="AR58" s="32" t="s">
        <v>88</v>
      </c>
      <c r="AS58" s="81">
        <v>0.51</v>
      </c>
      <c r="AT58" s="81">
        <v>0.44</v>
      </c>
      <c r="AU58" s="81">
        <v>0.49</v>
      </c>
      <c r="AV58" s="24"/>
      <c r="AW58" s="24"/>
      <c r="AX58" s="32" t="s">
        <v>88</v>
      </c>
      <c r="AY58" s="108">
        <f t="shared" si="45"/>
        <v>25.245000000000001</v>
      </c>
      <c r="AZ58" s="108">
        <f t="shared" si="37"/>
        <v>21.384</v>
      </c>
      <c r="BA58" s="108">
        <f t="shared" si="38"/>
        <v>22.785</v>
      </c>
    </row>
    <row r="59" spans="2:53" x14ac:dyDescent="0.25">
      <c r="B59" s="32" t="s">
        <v>89</v>
      </c>
      <c r="C59" s="81">
        <v>39.6</v>
      </c>
      <c r="D59" s="81">
        <v>38.9</v>
      </c>
      <c r="E59" s="81">
        <v>36.799999999999997</v>
      </c>
      <c r="H59" s="32" t="s">
        <v>89</v>
      </c>
      <c r="I59" s="81">
        <v>1.28</v>
      </c>
      <c r="J59" s="81">
        <v>1.25</v>
      </c>
      <c r="K59" s="81">
        <v>1.28</v>
      </c>
      <c r="N59" s="32" t="s">
        <v>89</v>
      </c>
      <c r="O59" s="81">
        <f t="shared" si="39"/>
        <v>50.688000000000002</v>
      </c>
      <c r="P59" s="81">
        <f t="shared" si="30"/>
        <v>48.625</v>
      </c>
      <c r="Q59" s="81">
        <f t="shared" si="31"/>
        <v>47.103999999999999</v>
      </c>
      <c r="T59" s="32" t="s">
        <v>89</v>
      </c>
      <c r="U59" s="81">
        <f t="shared" si="40"/>
        <v>7.36</v>
      </c>
      <c r="V59" s="81">
        <f t="shared" si="41"/>
        <v>7.1875</v>
      </c>
      <c r="W59" s="81">
        <f t="shared" si="42"/>
        <v>7.36</v>
      </c>
      <c r="X59" s="24"/>
      <c r="Y59" s="24"/>
      <c r="Z59" s="32" t="s">
        <v>89</v>
      </c>
      <c r="AA59" s="81">
        <f t="shared" si="43"/>
        <v>291.45600000000002</v>
      </c>
      <c r="AB59" s="81">
        <f t="shared" si="33"/>
        <v>279.59375</v>
      </c>
      <c r="AC59" s="81">
        <f t="shared" si="34"/>
        <v>270.84800000000001</v>
      </c>
      <c r="AF59" s="32" t="s">
        <v>89</v>
      </c>
      <c r="AG59" s="81">
        <v>0.33999999999999997</v>
      </c>
      <c r="AH59" s="81">
        <v>0.35</v>
      </c>
      <c r="AI59" s="81">
        <v>0.37</v>
      </c>
      <c r="AJ59" s="24"/>
      <c r="AK59" s="24"/>
      <c r="AL59" s="32" t="s">
        <v>89</v>
      </c>
      <c r="AM59" s="81">
        <f t="shared" si="44"/>
        <v>13.463999999999999</v>
      </c>
      <c r="AN59" s="81">
        <f t="shared" si="35"/>
        <v>13.614999999999998</v>
      </c>
      <c r="AO59" s="81">
        <f t="shared" si="36"/>
        <v>13.616</v>
      </c>
      <c r="AR59" s="32" t="s">
        <v>89</v>
      </c>
      <c r="AS59" s="81">
        <v>0.41</v>
      </c>
      <c r="AT59" s="81">
        <v>0.46</v>
      </c>
      <c r="AU59" s="81">
        <v>0.42999999999999994</v>
      </c>
      <c r="AV59" s="24"/>
      <c r="AW59" s="24"/>
      <c r="AX59" s="32" t="s">
        <v>89</v>
      </c>
      <c r="AY59" s="108">
        <f t="shared" si="45"/>
        <v>16.236000000000001</v>
      </c>
      <c r="AZ59" s="108">
        <f t="shared" si="37"/>
        <v>17.893999999999998</v>
      </c>
      <c r="BA59" s="108">
        <f t="shared" si="38"/>
        <v>15.823999999999996</v>
      </c>
    </row>
    <row r="60" spans="2:53" x14ac:dyDescent="0.25">
      <c r="B60" s="32" t="s">
        <v>90</v>
      </c>
      <c r="C60" s="81">
        <v>46.5</v>
      </c>
      <c r="D60" s="81">
        <v>48.9</v>
      </c>
      <c r="E60" s="81">
        <v>45.6</v>
      </c>
      <c r="H60" s="32" t="s">
        <v>90</v>
      </c>
      <c r="I60" s="81">
        <v>1.27</v>
      </c>
      <c r="J60" s="81">
        <v>1.3199999999999998</v>
      </c>
      <c r="K60" s="81">
        <v>1.35</v>
      </c>
      <c r="N60" s="32" t="s">
        <v>90</v>
      </c>
      <c r="O60" s="81">
        <f t="shared" si="39"/>
        <v>59.055</v>
      </c>
      <c r="P60" s="81">
        <f t="shared" si="30"/>
        <v>64.547999999999988</v>
      </c>
      <c r="Q60" s="81">
        <f t="shared" si="31"/>
        <v>61.560000000000016</v>
      </c>
      <c r="T60" s="32" t="s">
        <v>90</v>
      </c>
      <c r="U60" s="81">
        <f t="shared" si="40"/>
        <v>7.3025000000000002</v>
      </c>
      <c r="V60" s="81">
        <f t="shared" si="41"/>
        <v>7.589999999999999</v>
      </c>
      <c r="W60" s="81">
        <f t="shared" si="42"/>
        <v>7.7625000000000002</v>
      </c>
      <c r="X60" s="24"/>
      <c r="Y60" s="24"/>
      <c r="Z60" s="32" t="s">
        <v>90</v>
      </c>
      <c r="AA60" s="81">
        <f t="shared" si="43"/>
        <v>339.56625000000003</v>
      </c>
      <c r="AB60" s="81">
        <f t="shared" si="33"/>
        <v>371.15099999999995</v>
      </c>
      <c r="AC60" s="81">
        <f t="shared" si="34"/>
        <v>353.97</v>
      </c>
      <c r="AF60" s="32" t="s">
        <v>90</v>
      </c>
      <c r="AG60" s="81">
        <v>0.38747199999999993</v>
      </c>
      <c r="AH60" s="81">
        <v>0.40855600000000003</v>
      </c>
      <c r="AI60" s="81">
        <v>0.41175200000000001</v>
      </c>
      <c r="AJ60" s="24"/>
      <c r="AK60" s="24"/>
      <c r="AL60" s="32" t="s">
        <v>90</v>
      </c>
      <c r="AM60" s="81">
        <f t="shared" si="44"/>
        <v>18.017447999999998</v>
      </c>
      <c r="AN60" s="81">
        <f t="shared" si="35"/>
        <v>19.9783884</v>
      </c>
      <c r="AO60" s="81">
        <f t="shared" si="36"/>
        <v>18.7758912</v>
      </c>
      <c r="AR60" s="32" t="s">
        <v>90</v>
      </c>
      <c r="AS60" s="81">
        <v>0.49747199999999991</v>
      </c>
      <c r="AT60" s="81">
        <v>0.49</v>
      </c>
      <c r="AU60" s="81">
        <v>0.47999999999999993</v>
      </c>
      <c r="AV60" s="24"/>
      <c r="AW60" s="24"/>
      <c r="AX60" s="32" t="s">
        <v>90</v>
      </c>
      <c r="AY60" s="108">
        <f t="shared" si="45"/>
        <v>23.132447999999997</v>
      </c>
      <c r="AZ60" s="108">
        <f t="shared" si="37"/>
        <v>23.960999999999999</v>
      </c>
      <c r="BA60" s="108">
        <f t="shared" si="38"/>
        <v>21.887999999999998</v>
      </c>
    </row>
    <row r="61" spans="2:53" x14ac:dyDescent="0.25">
      <c r="B61" s="32" t="s">
        <v>91</v>
      </c>
      <c r="C61" s="81">
        <v>52.6</v>
      </c>
      <c r="D61" s="81">
        <v>50.8</v>
      </c>
      <c r="E61" s="81">
        <v>48.9</v>
      </c>
      <c r="H61" s="32" t="s">
        <v>91</v>
      </c>
      <c r="I61" s="81">
        <v>1.36</v>
      </c>
      <c r="J61" s="81">
        <v>1.44</v>
      </c>
      <c r="K61" s="81">
        <v>1.3599999999999999</v>
      </c>
      <c r="N61" s="32" t="s">
        <v>91</v>
      </c>
      <c r="O61" s="81">
        <f t="shared" si="39"/>
        <v>71.536000000000001</v>
      </c>
      <c r="P61" s="81">
        <f t="shared" si="30"/>
        <v>73.151999999999987</v>
      </c>
      <c r="Q61" s="81">
        <f t="shared" si="31"/>
        <v>66.503999999999991</v>
      </c>
      <c r="T61" s="32" t="s">
        <v>91</v>
      </c>
      <c r="U61" s="81">
        <f t="shared" si="40"/>
        <v>7.82</v>
      </c>
      <c r="V61" s="81">
        <f t="shared" si="41"/>
        <v>8.2799999999999994</v>
      </c>
      <c r="W61" s="81">
        <f t="shared" si="42"/>
        <v>7.8199999999999994</v>
      </c>
      <c r="X61" s="24"/>
      <c r="Y61" s="24"/>
      <c r="Z61" s="32" t="s">
        <v>91</v>
      </c>
      <c r="AA61" s="81">
        <f t="shared" si="43"/>
        <v>411.33200000000005</v>
      </c>
      <c r="AB61" s="81">
        <f t="shared" si="33"/>
        <v>420.62399999999991</v>
      </c>
      <c r="AC61" s="81">
        <f t="shared" si="34"/>
        <v>382.39799999999997</v>
      </c>
      <c r="AF61" s="32" t="s">
        <v>91</v>
      </c>
      <c r="AG61" s="81">
        <v>0.39</v>
      </c>
      <c r="AH61" s="81">
        <v>0.38</v>
      </c>
      <c r="AI61" s="81">
        <v>0.41000000000000003</v>
      </c>
      <c r="AJ61" s="24"/>
      <c r="AK61" s="24"/>
      <c r="AL61" s="32" t="s">
        <v>91</v>
      </c>
      <c r="AM61" s="81">
        <f t="shared" si="44"/>
        <v>20.514000000000003</v>
      </c>
      <c r="AN61" s="81">
        <f t="shared" si="35"/>
        <v>19.303999999999998</v>
      </c>
      <c r="AO61" s="81">
        <f t="shared" si="36"/>
        <v>20.048999999999999</v>
      </c>
      <c r="AR61" s="32" t="s">
        <v>91</v>
      </c>
      <c r="AS61" s="81">
        <v>0.46</v>
      </c>
      <c r="AT61" s="81">
        <v>0.55000000000000004</v>
      </c>
      <c r="AU61" s="81">
        <v>0.45</v>
      </c>
      <c r="AV61" s="24"/>
      <c r="AW61" s="24"/>
      <c r="AX61" s="32" t="s">
        <v>91</v>
      </c>
      <c r="AY61" s="108">
        <f t="shared" si="45"/>
        <v>24.196000000000002</v>
      </c>
      <c r="AZ61" s="108">
        <f t="shared" si="37"/>
        <v>27.94</v>
      </c>
      <c r="BA61" s="108">
        <f t="shared" si="38"/>
        <v>22.004999999999999</v>
      </c>
    </row>
    <row r="62" spans="2:53" x14ac:dyDescent="0.25">
      <c r="B62" s="32" t="s">
        <v>92</v>
      </c>
      <c r="C62" s="81">
        <v>39.799999999999997</v>
      </c>
      <c r="D62" s="81">
        <v>39.4</v>
      </c>
      <c r="E62" s="81">
        <v>40.799999999999997</v>
      </c>
      <c r="H62" s="32" t="s">
        <v>92</v>
      </c>
      <c r="I62" s="81">
        <v>1.34</v>
      </c>
      <c r="J62" s="81">
        <v>1.28</v>
      </c>
      <c r="K62" s="81">
        <v>1.21</v>
      </c>
      <c r="N62" s="32" t="s">
        <v>92</v>
      </c>
      <c r="O62" s="81">
        <f t="shared" si="39"/>
        <v>53.332000000000001</v>
      </c>
      <c r="P62" s="81">
        <f t="shared" si="30"/>
        <v>50.432000000000002</v>
      </c>
      <c r="Q62" s="81">
        <f t="shared" si="31"/>
        <v>49.367999999999995</v>
      </c>
      <c r="T62" s="32" t="s">
        <v>92</v>
      </c>
      <c r="U62" s="81">
        <f t="shared" si="40"/>
        <v>7.7050000000000001</v>
      </c>
      <c r="V62" s="81">
        <f t="shared" si="41"/>
        <v>7.36</v>
      </c>
      <c r="W62" s="81">
        <f t="shared" si="42"/>
        <v>6.9574999999999996</v>
      </c>
      <c r="X62" s="24"/>
      <c r="Y62" s="24"/>
      <c r="Z62" s="32" t="s">
        <v>92</v>
      </c>
      <c r="AA62" s="81">
        <f t="shared" si="43"/>
        <v>306.65899999999999</v>
      </c>
      <c r="AB62" s="81">
        <f t="shared" si="33"/>
        <v>289.98399999999998</v>
      </c>
      <c r="AC62" s="81">
        <f t="shared" si="34"/>
        <v>283.86599999999999</v>
      </c>
      <c r="AF62" s="32" t="s">
        <v>92</v>
      </c>
      <c r="AG62" s="81">
        <v>0.37814799999999993</v>
      </c>
      <c r="AH62" s="81">
        <v>0.35210799999999998</v>
      </c>
      <c r="AI62" s="81">
        <v>0.37815199999999993</v>
      </c>
      <c r="AJ62" s="24"/>
      <c r="AK62" s="24"/>
      <c r="AL62" s="32" t="s">
        <v>92</v>
      </c>
      <c r="AM62" s="81">
        <f t="shared" si="44"/>
        <v>15.050290399999996</v>
      </c>
      <c r="AN62" s="81">
        <f t="shared" si="35"/>
        <v>13.873055199999998</v>
      </c>
      <c r="AO62" s="81">
        <f t="shared" si="36"/>
        <v>15.428601599999997</v>
      </c>
      <c r="AR62" s="32" t="s">
        <v>92</v>
      </c>
      <c r="AS62" s="81">
        <v>0.46999999999999992</v>
      </c>
      <c r="AT62" s="81">
        <v>0.41</v>
      </c>
      <c r="AU62" s="81">
        <v>0.42999999999999994</v>
      </c>
      <c r="AV62" s="24"/>
      <c r="AW62" s="24"/>
      <c r="AX62" s="32" t="s">
        <v>92</v>
      </c>
      <c r="AY62" s="108">
        <f t="shared" si="45"/>
        <v>18.705999999999996</v>
      </c>
      <c r="AZ62" s="108">
        <f t="shared" si="37"/>
        <v>16.154</v>
      </c>
      <c r="BA62" s="108">
        <f t="shared" si="38"/>
        <v>17.543999999999997</v>
      </c>
    </row>
    <row r="63" spans="2:53" x14ac:dyDescent="0.25">
      <c r="B63" s="32" t="s">
        <v>93</v>
      </c>
      <c r="C63" s="81">
        <v>44.6</v>
      </c>
      <c r="D63" s="81">
        <v>43.8</v>
      </c>
      <c r="E63" s="81">
        <v>42.8</v>
      </c>
      <c r="H63" s="32" t="s">
        <v>93</v>
      </c>
      <c r="I63" s="81">
        <v>1.32</v>
      </c>
      <c r="J63" s="81">
        <v>1.25</v>
      </c>
      <c r="K63" s="81">
        <v>1.27</v>
      </c>
      <c r="N63" s="32" t="s">
        <v>93</v>
      </c>
      <c r="O63" s="81">
        <f t="shared" si="39"/>
        <v>58.872</v>
      </c>
      <c r="P63" s="81">
        <f t="shared" si="30"/>
        <v>54.75</v>
      </c>
      <c r="Q63" s="81">
        <f t="shared" si="31"/>
        <v>54.355999999999995</v>
      </c>
      <c r="T63" s="32" t="s">
        <v>93</v>
      </c>
      <c r="U63" s="81">
        <f t="shared" si="40"/>
        <v>7.5900000000000007</v>
      </c>
      <c r="V63" s="81">
        <f t="shared" si="41"/>
        <v>7.1875</v>
      </c>
      <c r="W63" s="81">
        <f t="shared" si="42"/>
        <v>7.3025000000000002</v>
      </c>
      <c r="X63" s="24"/>
      <c r="Y63" s="24"/>
      <c r="Z63" s="32" t="s">
        <v>93</v>
      </c>
      <c r="AA63" s="81">
        <f t="shared" si="43"/>
        <v>338.51400000000007</v>
      </c>
      <c r="AB63" s="81">
        <f t="shared" si="33"/>
        <v>314.8125</v>
      </c>
      <c r="AC63" s="81">
        <f t="shared" si="34"/>
        <v>312.54699999999997</v>
      </c>
      <c r="AF63" s="32" t="s">
        <v>93</v>
      </c>
      <c r="AG63" s="81">
        <v>0.39</v>
      </c>
      <c r="AH63" s="81">
        <v>0.4</v>
      </c>
      <c r="AI63" s="81">
        <v>0.39</v>
      </c>
      <c r="AJ63" s="24"/>
      <c r="AK63" s="24"/>
      <c r="AL63" s="32" t="s">
        <v>93</v>
      </c>
      <c r="AM63" s="81">
        <f t="shared" si="44"/>
        <v>17.394000000000002</v>
      </c>
      <c r="AN63" s="81">
        <f t="shared" si="35"/>
        <v>17.52</v>
      </c>
      <c r="AO63" s="81">
        <f t="shared" si="36"/>
        <v>16.692</v>
      </c>
      <c r="AR63" s="32" t="s">
        <v>93</v>
      </c>
      <c r="AS63" s="81">
        <v>0.5</v>
      </c>
      <c r="AT63" s="81">
        <v>0.49</v>
      </c>
      <c r="AU63" s="81">
        <v>0.48</v>
      </c>
      <c r="AV63" s="24"/>
      <c r="AW63" s="24"/>
      <c r="AX63" s="32" t="s">
        <v>93</v>
      </c>
      <c r="AY63" s="108">
        <f t="shared" si="45"/>
        <v>22.3</v>
      </c>
      <c r="AZ63" s="108">
        <f t="shared" si="37"/>
        <v>21.462</v>
      </c>
      <c r="BA63" s="108">
        <f t="shared" si="38"/>
        <v>20.543999999999997</v>
      </c>
    </row>
    <row r="64" spans="2:53" x14ac:dyDescent="0.25">
      <c r="B64" s="32" t="s">
        <v>94</v>
      </c>
      <c r="C64" s="81">
        <v>39.5</v>
      </c>
      <c r="D64" s="81">
        <v>36.799999999999997</v>
      </c>
      <c r="E64" s="81">
        <v>34.5</v>
      </c>
      <c r="H64" s="32" t="s">
        <v>94</v>
      </c>
      <c r="I64" s="81">
        <v>1.24</v>
      </c>
      <c r="J64" s="81">
        <v>1.28</v>
      </c>
      <c r="K64" s="81">
        <v>1.25</v>
      </c>
      <c r="N64" s="32" t="s">
        <v>94</v>
      </c>
      <c r="O64" s="81">
        <f t="shared" si="39"/>
        <v>48.98</v>
      </c>
      <c r="P64" s="81">
        <f t="shared" si="30"/>
        <v>47.103999999999999</v>
      </c>
      <c r="Q64" s="81">
        <f t="shared" si="31"/>
        <v>43.125</v>
      </c>
      <c r="T64" s="32" t="s">
        <v>94</v>
      </c>
      <c r="U64" s="81">
        <f t="shared" si="40"/>
        <v>7.13</v>
      </c>
      <c r="V64" s="81">
        <f t="shared" si="41"/>
        <v>7.36</v>
      </c>
      <c r="W64" s="81">
        <f t="shared" si="42"/>
        <v>7.1875</v>
      </c>
      <c r="X64" s="24"/>
      <c r="Y64" s="24"/>
      <c r="Z64" s="32" t="s">
        <v>94</v>
      </c>
      <c r="AA64" s="81">
        <f t="shared" si="43"/>
        <v>281.63499999999999</v>
      </c>
      <c r="AB64" s="81">
        <f t="shared" si="33"/>
        <v>270.84800000000001</v>
      </c>
      <c r="AC64" s="81">
        <f t="shared" si="34"/>
        <v>247.96874999999997</v>
      </c>
      <c r="AF64" s="32" t="s">
        <v>94</v>
      </c>
      <c r="AG64" s="81">
        <v>0.36</v>
      </c>
      <c r="AH64" s="81">
        <v>0.38</v>
      </c>
      <c r="AI64" s="81">
        <v>0.4</v>
      </c>
      <c r="AJ64" s="24"/>
      <c r="AK64" s="24"/>
      <c r="AL64" s="32" t="s">
        <v>94</v>
      </c>
      <c r="AM64" s="81">
        <f t="shared" si="44"/>
        <v>14.219999999999999</v>
      </c>
      <c r="AN64" s="81">
        <f t="shared" si="35"/>
        <v>13.983999999999998</v>
      </c>
      <c r="AO64" s="81">
        <f t="shared" si="36"/>
        <v>13.8</v>
      </c>
      <c r="AR64" s="32" t="s">
        <v>94</v>
      </c>
      <c r="AS64" s="81">
        <v>0.43999999999999995</v>
      </c>
      <c r="AT64" s="81">
        <v>0.39999999999999997</v>
      </c>
      <c r="AU64" s="81">
        <v>0.42999999999999994</v>
      </c>
      <c r="AV64" s="24"/>
      <c r="AW64" s="24"/>
      <c r="AX64" s="32" t="s">
        <v>94</v>
      </c>
      <c r="AY64" s="108">
        <f t="shared" si="45"/>
        <v>17.38</v>
      </c>
      <c r="AZ64" s="108">
        <f t="shared" si="37"/>
        <v>14.719999999999997</v>
      </c>
      <c r="BA64" s="108">
        <f t="shared" si="38"/>
        <v>14.834999999999997</v>
      </c>
    </row>
    <row r="65" spans="2:53" x14ac:dyDescent="0.25">
      <c r="B65" s="32" t="s">
        <v>95</v>
      </c>
      <c r="C65" s="81">
        <v>20.100000000000001</v>
      </c>
      <c r="D65" s="81">
        <v>22.6</v>
      </c>
      <c r="E65" s="81">
        <v>26.5</v>
      </c>
      <c r="H65" s="32" t="s">
        <v>95</v>
      </c>
      <c r="I65" s="81">
        <v>1.08</v>
      </c>
      <c r="J65" s="81">
        <v>1.17</v>
      </c>
      <c r="K65" s="81">
        <v>1.22</v>
      </c>
      <c r="N65" s="32" t="s">
        <v>95</v>
      </c>
      <c r="O65" s="81">
        <f t="shared" si="39"/>
        <v>21.708000000000002</v>
      </c>
      <c r="P65" s="81">
        <f t="shared" si="30"/>
        <v>26.442</v>
      </c>
      <c r="Q65" s="81">
        <f t="shared" si="31"/>
        <v>32.33</v>
      </c>
      <c r="T65" s="32" t="s">
        <v>95</v>
      </c>
      <c r="U65" s="81">
        <f t="shared" si="40"/>
        <v>6.2100000000000009</v>
      </c>
      <c r="V65" s="81">
        <f t="shared" si="41"/>
        <v>6.7274999999999991</v>
      </c>
      <c r="W65" s="81">
        <f t="shared" si="42"/>
        <v>7.0149999999999997</v>
      </c>
      <c r="X65" s="24"/>
      <c r="Y65" s="24"/>
      <c r="Z65" s="32" t="s">
        <v>95</v>
      </c>
      <c r="AA65" s="81">
        <f t="shared" si="43"/>
        <v>124.82100000000003</v>
      </c>
      <c r="AB65" s="81">
        <f t="shared" si="33"/>
        <v>152.04149999999998</v>
      </c>
      <c r="AC65" s="81">
        <f t="shared" si="34"/>
        <v>185.89749999999998</v>
      </c>
      <c r="AF65" s="32" t="s">
        <v>95</v>
      </c>
      <c r="AG65" s="81">
        <v>0.39</v>
      </c>
      <c r="AH65" s="81">
        <v>0.32999999999999996</v>
      </c>
      <c r="AI65" s="81">
        <v>0.09</v>
      </c>
      <c r="AJ65" s="24"/>
      <c r="AK65" s="24"/>
      <c r="AL65" s="32" t="s">
        <v>95</v>
      </c>
      <c r="AM65" s="81">
        <f t="shared" si="44"/>
        <v>7.8390000000000004</v>
      </c>
      <c r="AN65" s="81">
        <f t="shared" si="35"/>
        <v>7.4579999999999993</v>
      </c>
      <c r="AO65" s="81">
        <f t="shared" si="36"/>
        <v>2.3849999999999998</v>
      </c>
      <c r="AR65" s="32" t="s">
        <v>95</v>
      </c>
      <c r="AS65" s="81">
        <v>0.38</v>
      </c>
      <c r="AT65" s="81">
        <v>0.33999999999999997</v>
      </c>
      <c r="AU65" s="81">
        <v>0.25999999999999995</v>
      </c>
      <c r="AV65" s="24"/>
      <c r="AW65" s="24"/>
      <c r="AX65" s="32" t="s">
        <v>95</v>
      </c>
      <c r="AY65" s="108">
        <f t="shared" si="45"/>
        <v>7.6380000000000008</v>
      </c>
      <c r="AZ65" s="108">
        <f t="shared" si="37"/>
        <v>7.6840000000000002</v>
      </c>
      <c r="BA65" s="108">
        <f t="shared" si="38"/>
        <v>6.8899999999999988</v>
      </c>
    </row>
    <row r="66" spans="2:53" x14ac:dyDescent="0.25">
      <c r="B66" s="32" t="s">
        <v>96</v>
      </c>
      <c r="C66" s="81">
        <v>39.799999999999997</v>
      </c>
      <c r="D66" s="81">
        <v>35.1</v>
      </c>
      <c r="E66" s="81">
        <v>39.5</v>
      </c>
      <c r="H66" s="32" t="s">
        <v>96</v>
      </c>
      <c r="I66" s="81">
        <v>1.26</v>
      </c>
      <c r="J66" s="81">
        <v>1.35</v>
      </c>
      <c r="K66" s="81">
        <v>1.18</v>
      </c>
      <c r="N66" s="32" t="s">
        <v>96</v>
      </c>
      <c r="O66" s="81">
        <f t="shared" si="39"/>
        <v>50.147999999999996</v>
      </c>
      <c r="P66" s="81">
        <f t="shared" si="30"/>
        <v>47.385000000000005</v>
      </c>
      <c r="Q66" s="81">
        <f t="shared" si="31"/>
        <v>46.61</v>
      </c>
      <c r="T66" s="32" t="s">
        <v>96</v>
      </c>
      <c r="U66" s="81">
        <f t="shared" si="40"/>
        <v>7.2450000000000001</v>
      </c>
      <c r="V66" s="81">
        <f t="shared" si="41"/>
        <v>7.7625000000000002</v>
      </c>
      <c r="W66" s="81">
        <f t="shared" si="42"/>
        <v>6.7849999999999993</v>
      </c>
      <c r="X66" s="24"/>
      <c r="Y66" s="24"/>
      <c r="Z66" s="32" t="s">
        <v>96</v>
      </c>
      <c r="AA66" s="81">
        <f t="shared" si="43"/>
        <v>288.351</v>
      </c>
      <c r="AB66" s="81">
        <f t="shared" si="33"/>
        <v>272.46375</v>
      </c>
      <c r="AC66" s="81">
        <f t="shared" si="34"/>
        <v>268.00749999999999</v>
      </c>
      <c r="AF66" s="32" t="s">
        <v>96</v>
      </c>
      <c r="AG66" s="81">
        <v>0.33999999999999997</v>
      </c>
      <c r="AH66" s="81">
        <v>0.35</v>
      </c>
      <c r="AI66" s="81">
        <v>0.33999999999999997</v>
      </c>
      <c r="AJ66" s="24"/>
      <c r="AK66" s="24"/>
      <c r="AL66" s="32" t="s">
        <v>96</v>
      </c>
      <c r="AM66" s="81">
        <f t="shared" si="44"/>
        <v>13.531999999999998</v>
      </c>
      <c r="AN66" s="81">
        <f t="shared" si="35"/>
        <v>12.285</v>
      </c>
      <c r="AO66" s="81">
        <f t="shared" si="36"/>
        <v>13.429999999999998</v>
      </c>
      <c r="AR66" s="32" t="s">
        <v>96</v>
      </c>
      <c r="AS66" s="81">
        <v>0.42</v>
      </c>
      <c r="AT66" s="81">
        <v>0.45</v>
      </c>
      <c r="AU66" s="81">
        <v>0.43</v>
      </c>
      <c r="AV66" s="24"/>
      <c r="AW66" s="24"/>
      <c r="AX66" s="32" t="s">
        <v>96</v>
      </c>
      <c r="AY66" s="108">
        <f t="shared" si="45"/>
        <v>16.715999999999998</v>
      </c>
      <c r="AZ66" s="108">
        <f t="shared" si="37"/>
        <v>15.795000000000002</v>
      </c>
      <c r="BA66" s="108">
        <f t="shared" si="38"/>
        <v>16.984999999999999</v>
      </c>
    </row>
    <row r="67" spans="2:53" x14ac:dyDescent="0.25">
      <c r="B67" s="32" t="s">
        <v>97</v>
      </c>
      <c r="C67" s="81">
        <v>48.95</v>
      </c>
      <c r="D67" s="81">
        <v>49.5</v>
      </c>
      <c r="E67" s="81">
        <v>44.5</v>
      </c>
      <c r="H67" s="32" t="s">
        <v>97</v>
      </c>
      <c r="I67" s="81">
        <v>1.38</v>
      </c>
      <c r="J67" s="81">
        <v>1.29</v>
      </c>
      <c r="K67" s="81">
        <v>1.24</v>
      </c>
      <c r="N67" s="32" t="s">
        <v>97</v>
      </c>
      <c r="O67" s="81">
        <f t="shared" si="39"/>
        <v>67.551000000000002</v>
      </c>
      <c r="P67" s="81">
        <f t="shared" si="30"/>
        <v>63.855000000000004</v>
      </c>
      <c r="Q67" s="81">
        <f t="shared" si="31"/>
        <v>55.179999999999993</v>
      </c>
      <c r="T67" s="32" t="s">
        <v>97</v>
      </c>
      <c r="U67" s="81">
        <f t="shared" si="40"/>
        <v>7.9349999999999996</v>
      </c>
      <c r="V67" s="81">
        <f t="shared" si="41"/>
        <v>7.4175000000000004</v>
      </c>
      <c r="W67" s="81">
        <f t="shared" si="42"/>
        <v>7.13</v>
      </c>
      <c r="X67" s="24"/>
      <c r="Y67" s="24"/>
      <c r="Z67" s="32" t="s">
        <v>97</v>
      </c>
      <c r="AA67" s="81">
        <f t="shared" si="43"/>
        <v>388.41825</v>
      </c>
      <c r="AB67" s="81">
        <f t="shared" si="33"/>
        <v>367.16625000000005</v>
      </c>
      <c r="AC67" s="81">
        <f t="shared" si="34"/>
        <v>317.28499999999997</v>
      </c>
      <c r="AF67" s="32" t="s">
        <v>97</v>
      </c>
      <c r="AG67" s="81">
        <v>0.4</v>
      </c>
      <c r="AH67" s="81">
        <v>0.38</v>
      </c>
      <c r="AI67" s="81">
        <v>0.42000000000000004</v>
      </c>
      <c r="AJ67" s="24"/>
      <c r="AK67" s="24"/>
      <c r="AL67" s="32" t="s">
        <v>97</v>
      </c>
      <c r="AM67" s="81">
        <f t="shared" si="44"/>
        <v>19.580000000000002</v>
      </c>
      <c r="AN67" s="81">
        <f t="shared" si="35"/>
        <v>18.809999999999999</v>
      </c>
      <c r="AO67" s="81">
        <f t="shared" si="36"/>
        <v>18.690000000000001</v>
      </c>
      <c r="AR67" s="32" t="s">
        <v>97</v>
      </c>
      <c r="AS67" s="81">
        <v>0.51</v>
      </c>
      <c r="AT67" s="81">
        <v>0.45</v>
      </c>
      <c r="AU67" s="81">
        <v>0.48</v>
      </c>
      <c r="AV67" s="24"/>
      <c r="AW67" s="24"/>
      <c r="AX67" s="32" t="s">
        <v>97</v>
      </c>
      <c r="AY67" s="108">
        <f t="shared" si="45"/>
        <v>24.964500000000001</v>
      </c>
      <c r="AZ67" s="108">
        <f t="shared" si="37"/>
        <v>22.275000000000002</v>
      </c>
      <c r="BA67" s="108">
        <f t="shared" si="38"/>
        <v>21.36</v>
      </c>
    </row>
    <row r="68" spans="2:53" x14ac:dyDescent="0.25">
      <c r="B68" s="32" t="s">
        <v>98</v>
      </c>
      <c r="C68" s="81">
        <v>38.4</v>
      </c>
      <c r="D68" s="81">
        <v>37.799999999999997</v>
      </c>
      <c r="E68" s="81">
        <v>35.4</v>
      </c>
      <c r="H68" s="32" t="s">
        <v>98</v>
      </c>
      <c r="I68" s="81">
        <v>1.25</v>
      </c>
      <c r="J68" s="81">
        <v>1.22</v>
      </c>
      <c r="K68" s="81">
        <v>1.18</v>
      </c>
      <c r="N68" s="32" t="s">
        <v>98</v>
      </c>
      <c r="O68" s="81">
        <f t="shared" si="39"/>
        <v>48</v>
      </c>
      <c r="P68" s="81">
        <f t="shared" si="30"/>
        <v>46.115999999999993</v>
      </c>
      <c r="Q68" s="81">
        <f t="shared" si="31"/>
        <v>41.771999999999998</v>
      </c>
      <c r="T68" s="32" t="s">
        <v>98</v>
      </c>
      <c r="U68" s="81">
        <f t="shared" si="40"/>
        <v>7.1875</v>
      </c>
      <c r="V68" s="81">
        <f t="shared" si="41"/>
        <v>7.0149999999999997</v>
      </c>
      <c r="W68" s="81">
        <f t="shared" si="42"/>
        <v>6.7849999999999993</v>
      </c>
      <c r="X68" s="24"/>
      <c r="Y68" s="24"/>
      <c r="Z68" s="32" t="s">
        <v>98</v>
      </c>
      <c r="AA68" s="81">
        <f t="shared" si="43"/>
        <v>276</v>
      </c>
      <c r="AB68" s="81">
        <f t="shared" si="33"/>
        <v>265.16699999999997</v>
      </c>
      <c r="AC68" s="81">
        <f t="shared" si="34"/>
        <v>240.18899999999999</v>
      </c>
      <c r="AF68" s="32" t="s">
        <v>98</v>
      </c>
      <c r="AG68" s="81">
        <v>0.38</v>
      </c>
      <c r="AH68" s="81">
        <v>0.32999999999999996</v>
      </c>
      <c r="AI68" s="81">
        <v>0.35</v>
      </c>
      <c r="AJ68" s="24"/>
      <c r="AK68" s="24"/>
      <c r="AL68" s="32" t="s">
        <v>98</v>
      </c>
      <c r="AM68" s="81">
        <f t="shared" si="44"/>
        <v>14.591999999999999</v>
      </c>
      <c r="AN68" s="81">
        <f t="shared" si="35"/>
        <v>12.473999999999998</v>
      </c>
      <c r="AO68" s="81">
        <f t="shared" si="36"/>
        <v>12.389999999999999</v>
      </c>
      <c r="AR68" s="32" t="s">
        <v>98</v>
      </c>
      <c r="AS68" s="81">
        <v>0.43999999999999995</v>
      </c>
      <c r="AT68" s="81">
        <v>0.36</v>
      </c>
      <c r="AU68" s="81">
        <v>0.41</v>
      </c>
      <c r="AV68" s="24"/>
      <c r="AW68" s="24"/>
      <c r="AX68" s="32" t="s">
        <v>98</v>
      </c>
      <c r="AY68" s="108">
        <f t="shared" si="45"/>
        <v>16.895999999999997</v>
      </c>
      <c r="AZ68" s="108">
        <f t="shared" si="37"/>
        <v>13.607999999999999</v>
      </c>
      <c r="BA68" s="108">
        <f t="shared" si="38"/>
        <v>14.513999999999999</v>
      </c>
    </row>
    <row r="69" spans="2:53" x14ac:dyDescent="0.25">
      <c r="B69" s="32" t="s">
        <v>99</v>
      </c>
      <c r="C69" s="81">
        <v>37.5</v>
      </c>
      <c r="D69" s="81">
        <v>47.5</v>
      </c>
      <c r="E69" s="81">
        <v>43.5</v>
      </c>
      <c r="H69" s="32" t="s">
        <v>99</v>
      </c>
      <c r="I69" s="81">
        <v>1.38</v>
      </c>
      <c r="J69" s="81">
        <v>1.23</v>
      </c>
      <c r="K69" s="81">
        <v>1.26</v>
      </c>
      <c r="N69" s="32" t="s">
        <v>99</v>
      </c>
      <c r="O69" s="81">
        <f t="shared" si="39"/>
        <v>51.749999999999993</v>
      </c>
      <c r="P69" s="81">
        <f t="shared" si="30"/>
        <v>58.424999999999997</v>
      </c>
      <c r="Q69" s="81">
        <f t="shared" si="31"/>
        <v>54.81</v>
      </c>
      <c r="T69" s="32" t="s">
        <v>99</v>
      </c>
      <c r="U69" s="81">
        <f t="shared" si="40"/>
        <v>7.9349999999999996</v>
      </c>
      <c r="V69" s="81">
        <f t="shared" si="41"/>
        <v>7.0724999999999998</v>
      </c>
      <c r="W69" s="81">
        <f t="shared" si="42"/>
        <v>7.2450000000000001</v>
      </c>
      <c r="X69" s="24"/>
      <c r="Y69" s="24"/>
      <c r="Z69" s="32" t="s">
        <v>99</v>
      </c>
      <c r="AA69" s="81">
        <f t="shared" si="43"/>
        <v>297.5625</v>
      </c>
      <c r="AB69" s="81">
        <f t="shared" si="33"/>
        <v>335.94374999999997</v>
      </c>
      <c r="AC69" s="81">
        <f t="shared" si="34"/>
        <v>315.15750000000003</v>
      </c>
      <c r="AF69" s="32" t="s">
        <v>99</v>
      </c>
      <c r="AG69" s="81">
        <v>0.36193599999999992</v>
      </c>
      <c r="AH69" s="81">
        <v>0.33413199999999998</v>
      </c>
      <c r="AI69" s="81">
        <v>0.35673199999999994</v>
      </c>
      <c r="AJ69" s="24"/>
      <c r="AK69" s="24"/>
      <c r="AL69" s="32" t="s">
        <v>99</v>
      </c>
      <c r="AM69" s="81">
        <f t="shared" si="44"/>
        <v>13.572599999999998</v>
      </c>
      <c r="AN69" s="81">
        <f t="shared" si="35"/>
        <v>15.871269999999999</v>
      </c>
      <c r="AO69" s="81">
        <f t="shared" si="36"/>
        <v>15.517841999999998</v>
      </c>
      <c r="AR69" s="32" t="s">
        <v>99</v>
      </c>
      <c r="AS69" s="81">
        <v>0.45</v>
      </c>
      <c r="AT69" s="81">
        <v>0.5</v>
      </c>
      <c r="AU69" s="81">
        <v>0.42</v>
      </c>
      <c r="AV69" s="24"/>
      <c r="AW69" s="24"/>
      <c r="AX69" s="32" t="s">
        <v>99</v>
      </c>
      <c r="AY69" s="108">
        <f t="shared" si="45"/>
        <v>16.875</v>
      </c>
      <c r="AZ69" s="108">
        <f t="shared" si="37"/>
        <v>23.75</v>
      </c>
      <c r="BA69" s="108">
        <f t="shared" si="38"/>
        <v>18.27</v>
      </c>
    </row>
    <row r="70" spans="2:53" x14ac:dyDescent="0.25">
      <c r="B70" s="32" t="s">
        <v>100</v>
      </c>
      <c r="C70" s="81">
        <v>47.5</v>
      </c>
      <c r="D70" s="81">
        <v>53.5</v>
      </c>
      <c r="E70" s="81">
        <v>47.8</v>
      </c>
      <c r="H70" s="32" t="s">
        <v>100</v>
      </c>
      <c r="I70" s="81">
        <v>1.3599999999999999</v>
      </c>
      <c r="J70" s="81">
        <v>1.4</v>
      </c>
      <c r="K70" s="81">
        <v>1.28</v>
      </c>
      <c r="N70" s="32" t="s">
        <v>100</v>
      </c>
      <c r="O70" s="81">
        <f t="shared" si="39"/>
        <v>64.599999999999994</v>
      </c>
      <c r="P70" s="81">
        <f t="shared" si="30"/>
        <v>74.899999999999991</v>
      </c>
      <c r="Q70" s="81">
        <f t="shared" si="31"/>
        <v>61.183999999999997</v>
      </c>
      <c r="T70" s="32" t="s">
        <v>100</v>
      </c>
      <c r="U70" s="81">
        <f t="shared" si="40"/>
        <v>7.8199999999999994</v>
      </c>
      <c r="V70" s="81">
        <f t="shared" si="41"/>
        <v>8.0499999999999989</v>
      </c>
      <c r="W70" s="81">
        <f t="shared" si="42"/>
        <v>7.36</v>
      </c>
      <c r="X70" s="24"/>
      <c r="Y70" s="24"/>
      <c r="Z70" s="32" t="s">
        <v>100</v>
      </c>
      <c r="AA70" s="81">
        <f t="shared" si="43"/>
        <v>371.45</v>
      </c>
      <c r="AB70" s="81">
        <f t="shared" si="33"/>
        <v>430.6749999999999</v>
      </c>
      <c r="AC70" s="81">
        <f t="shared" si="34"/>
        <v>351.80799999999999</v>
      </c>
      <c r="AF70" s="32" t="s">
        <v>100</v>
      </c>
      <c r="AG70" s="81">
        <v>0.37</v>
      </c>
      <c r="AH70" s="81">
        <v>0.34975599999999996</v>
      </c>
      <c r="AI70" s="81">
        <v>0.4</v>
      </c>
      <c r="AJ70" s="24"/>
      <c r="AK70" s="24"/>
      <c r="AL70" s="32" t="s">
        <v>100</v>
      </c>
      <c r="AM70" s="81">
        <f t="shared" si="44"/>
        <v>17.574999999999999</v>
      </c>
      <c r="AN70" s="81">
        <f t="shared" si="35"/>
        <v>18.711945999999998</v>
      </c>
      <c r="AO70" s="81">
        <f t="shared" si="36"/>
        <v>19.12</v>
      </c>
      <c r="AR70" s="32" t="s">
        <v>100</v>
      </c>
      <c r="AS70" s="81">
        <v>0.5</v>
      </c>
      <c r="AT70" s="81">
        <v>0.5</v>
      </c>
      <c r="AU70" s="81">
        <v>0.49</v>
      </c>
      <c r="AV70" s="24"/>
      <c r="AW70" s="24"/>
      <c r="AX70" s="32" t="s">
        <v>100</v>
      </c>
      <c r="AY70" s="108">
        <f t="shared" si="45"/>
        <v>23.75</v>
      </c>
      <c r="AZ70" s="108">
        <f t="shared" si="37"/>
        <v>26.75</v>
      </c>
      <c r="BA70" s="108">
        <f t="shared" si="38"/>
        <v>23.421999999999997</v>
      </c>
    </row>
    <row r="71" spans="2:53" x14ac:dyDescent="0.25">
      <c r="B71" s="32" t="s">
        <v>101</v>
      </c>
      <c r="C71" s="81">
        <v>40.5</v>
      </c>
      <c r="D71" s="81">
        <v>35.799999999999997</v>
      </c>
      <c r="E71" s="81">
        <v>41.6</v>
      </c>
      <c r="H71" s="32" t="s">
        <v>101</v>
      </c>
      <c r="I71" s="81">
        <v>1.28</v>
      </c>
      <c r="J71" s="81">
        <v>1.22</v>
      </c>
      <c r="K71" s="81">
        <v>1.18</v>
      </c>
      <c r="N71" s="32" t="s">
        <v>101</v>
      </c>
      <c r="O71" s="81">
        <f t="shared" si="39"/>
        <v>51.840000000000011</v>
      </c>
      <c r="P71" s="81">
        <f t="shared" si="30"/>
        <v>43.675999999999995</v>
      </c>
      <c r="Q71" s="81">
        <f t="shared" si="31"/>
        <v>49.088000000000001</v>
      </c>
      <c r="T71" s="32" t="s">
        <v>101</v>
      </c>
      <c r="U71" s="81">
        <f t="shared" si="40"/>
        <v>7.36</v>
      </c>
      <c r="V71" s="81">
        <f t="shared" si="41"/>
        <v>7.0149999999999997</v>
      </c>
      <c r="W71" s="81">
        <f t="shared" si="42"/>
        <v>6.7849999999999993</v>
      </c>
      <c r="X71" s="24"/>
      <c r="Y71" s="24"/>
      <c r="Z71" s="32" t="s">
        <v>101</v>
      </c>
      <c r="AA71" s="81">
        <f t="shared" si="43"/>
        <v>298.08000000000004</v>
      </c>
      <c r="AB71" s="81">
        <f t="shared" si="33"/>
        <v>251.137</v>
      </c>
      <c r="AC71" s="81">
        <f t="shared" si="34"/>
        <v>282.25599999999997</v>
      </c>
      <c r="AF71" s="32" t="s">
        <v>101</v>
      </c>
      <c r="AG71" s="81">
        <v>0.33999999999999997</v>
      </c>
      <c r="AH71" s="81">
        <v>0.32999999999999996</v>
      </c>
      <c r="AI71" s="81">
        <v>0.39</v>
      </c>
      <c r="AJ71" s="24"/>
      <c r="AK71" s="24"/>
      <c r="AL71" s="32" t="s">
        <v>101</v>
      </c>
      <c r="AM71" s="81">
        <f t="shared" si="44"/>
        <v>13.77</v>
      </c>
      <c r="AN71" s="81">
        <f t="shared" si="35"/>
        <v>11.813999999999998</v>
      </c>
      <c r="AO71" s="81">
        <f t="shared" si="36"/>
        <v>16.224</v>
      </c>
      <c r="AR71" s="32" t="s">
        <v>101</v>
      </c>
      <c r="AS71" s="81">
        <v>0.41</v>
      </c>
      <c r="AT71" s="81">
        <v>0.4</v>
      </c>
      <c r="AU71" s="81">
        <v>0.42</v>
      </c>
      <c r="AV71" s="24"/>
      <c r="AW71" s="24"/>
      <c r="AX71" s="32" t="s">
        <v>101</v>
      </c>
      <c r="AY71" s="108">
        <f t="shared" si="45"/>
        <v>16.605</v>
      </c>
      <c r="AZ71" s="108">
        <f t="shared" si="37"/>
        <v>14.32</v>
      </c>
      <c r="BA71" s="108">
        <f t="shared" si="38"/>
        <v>17.472000000000001</v>
      </c>
    </row>
    <row r="72" spans="2:53" x14ac:dyDescent="0.25">
      <c r="B72" s="32" t="s">
        <v>102</v>
      </c>
      <c r="C72" s="81">
        <v>41.5</v>
      </c>
      <c r="D72" s="81">
        <v>42.6</v>
      </c>
      <c r="E72" s="81">
        <v>45.3</v>
      </c>
      <c r="H72" s="32" t="s">
        <v>102</v>
      </c>
      <c r="I72" s="81">
        <v>1.25</v>
      </c>
      <c r="J72" s="81">
        <v>1.27</v>
      </c>
      <c r="K72" s="81">
        <v>1.23</v>
      </c>
      <c r="N72" s="32" t="s">
        <v>102</v>
      </c>
      <c r="O72" s="81">
        <f t="shared" si="39"/>
        <v>51.875000000000007</v>
      </c>
      <c r="P72" s="81">
        <f t="shared" si="30"/>
        <v>54.102000000000004</v>
      </c>
      <c r="Q72" s="81">
        <f t="shared" si="31"/>
        <v>55.718999999999994</v>
      </c>
      <c r="T72" s="32" t="s">
        <v>102</v>
      </c>
      <c r="U72" s="81">
        <f t="shared" si="40"/>
        <v>7.1875</v>
      </c>
      <c r="V72" s="81">
        <f t="shared" si="41"/>
        <v>7.3025000000000002</v>
      </c>
      <c r="W72" s="81">
        <f t="shared" si="42"/>
        <v>7.0724999999999998</v>
      </c>
      <c r="X72" s="24"/>
      <c r="Y72" s="24"/>
      <c r="Z72" s="32" t="s">
        <v>102</v>
      </c>
      <c r="AA72" s="81">
        <f t="shared" si="43"/>
        <v>298.28125</v>
      </c>
      <c r="AB72" s="81">
        <f t="shared" si="33"/>
        <v>311.0865</v>
      </c>
      <c r="AC72" s="81">
        <f t="shared" si="34"/>
        <v>320.38424999999995</v>
      </c>
      <c r="AF72" s="32" t="s">
        <v>102</v>
      </c>
      <c r="AG72" s="81">
        <v>0.32999999999999996</v>
      </c>
      <c r="AH72" s="81">
        <v>0.35</v>
      </c>
      <c r="AI72" s="81">
        <v>0.33999999999999997</v>
      </c>
      <c r="AJ72" s="24"/>
      <c r="AK72" s="24"/>
      <c r="AL72" s="32" t="s">
        <v>102</v>
      </c>
      <c r="AM72" s="81">
        <f t="shared" si="44"/>
        <v>13.694999999999999</v>
      </c>
      <c r="AN72" s="81">
        <f t="shared" si="35"/>
        <v>14.91</v>
      </c>
      <c r="AO72" s="81">
        <f t="shared" si="36"/>
        <v>15.401999999999997</v>
      </c>
      <c r="AR72" s="32" t="s">
        <v>102</v>
      </c>
      <c r="AS72" s="81">
        <v>0.45</v>
      </c>
      <c r="AT72" s="81">
        <v>0.41</v>
      </c>
      <c r="AU72" s="81">
        <v>0.41</v>
      </c>
      <c r="AV72" s="24"/>
      <c r="AW72" s="24"/>
      <c r="AX72" s="32" t="s">
        <v>102</v>
      </c>
      <c r="AY72" s="108">
        <f t="shared" si="45"/>
        <v>18.675000000000001</v>
      </c>
      <c r="AZ72" s="108">
        <f t="shared" si="37"/>
        <v>17.466000000000001</v>
      </c>
      <c r="BA72" s="108">
        <f t="shared" si="38"/>
        <v>18.572999999999997</v>
      </c>
    </row>
    <row r="73" spans="2:53" x14ac:dyDescent="0.25">
      <c r="B73" s="32" t="s">
        <v>103</v>
      </c>
      <c r="C73" s="81">
        <v>35.6</v>
      </c>
      <c r="D73" s="81">
        <v>38.6</v>
      </c>
      <c r="E73" s="81">
        <v>34.5</v>
      </c>
      <c r="H73" s="32" t="s">
        <v>103</v>
      </c>
      <c r="I73" s="81">
        <v>1.2</v>
      </c>
      <c r="J73" s="81">
        <v>1.18</v>
      </c>
      <c r="K73" s="81">
        <v>1.24</v>
      </c>
      <c r="N73" s="32" t="s">
        <v>103</v>
      </c>
      <c r="O73" s="81">
        <f t="shared" si="39"/>
        <v>42.72</v>
      </c>
      <c r="P73" s="81">
        <f t="shared" si="30"/>
        <v>45.548000000000002</v>
      </c>
      <c r="Q73" s="81">
        <f t="shared" si="31"/>
        <v>42.78</v>
      </c>
      <c r="T73" s="32" t="s">
        <v>103</v>
      </c>
      <c r="U73" s="81">
        <f t="shared" si="40"/>
        <v>6.8999999999999995</v>
      </c>
      <c r="V73" s="81">
        <f t="shared" si="41"/>
        <v>6.7849999999999993</v>
      </c>
      <c r="W73" s="81">
        <f t="shared" si="42"/>
        <v>7.13</v>
      </c>
      <c r="X73" s="24"/>
      <c r="Y73" s="24"/>
      <c r="Z73" s="32" t="s">
        <v>103</v>
      </c>
      <c r="AA73" s="81">
        <f xml:space="preserve"> ((U73*C73)/100)*100</f>
        <v>245.64</v>
      </c>
      <c r="AB73" s="81">
        <f t="shared" si="33"/>
        <v>261.90099999999995</v>
      </c>
      <c r="AC73" s="81">
        <f t="shared" si="34"/>
        <v>245.98499999999999</v>
      </c>
      <c r="AF73" s="32" t="s">
        <v>103</v>
      </c>
      <c r="AG73" s="81">
        <v>0.32999999999999996</v>
      </c>
      <c r="AH73" s="81">
        <v>0.31</v>
      </c>
      <c r="AI73" s="81">
        <v>0.32</v>
      </c>
      <c r="AJ73" s="24"/>
      <c r="AK73" s="24"/>
      <c r="AL73" s="32" t="s">
        <v>103</v>
      </c>
      <c r="AM73" s="81">
        <f t="shared" si="44"/>
        <v>11.747999999999999</v>
      </c>
      <c r="AN73" s="81">
        <f t="shared" si="35"/>
        <v>11.966000000000001</v>
      </c>
      <c r="AO73" s="81">
        <f t="shared" si="36"/>
        <v>11.040000000000001</v>
      </c>
      <c r="AR73" s="32" t="s">
        <v>103</v>
      </c>
      <c r="AS73" s="81">
        <v>0.36</v>
      </c>
      <c r="AT73" s="81">
        <v>0.4</v>
      </c>
      <c r="AU73" s="81">
        <v>0.42</v>
      </c>
      <c r="AV73" s="24"/>
      <c r="AW73" s="24"/>
      <c r="AX73" s="32" t="s">
        <v>103</v>
      </c>
      <c r="AY73" s="108">
        <f t="shared" si="45"/>
        <v>12.816000000000001</v>
      </c>
      <c r="AZ73" s="108">
        <f t="shared" si="37"/>
        <v>15.440000000000001</v>
      </c>
      <c r="BA73" s="108">
        <f t="shared" si="38"/>
        <v>14.49</v>
      </c>
    </row>
    <row r="74" spans="2:53" x14ac:dyDescent="0.25">
      <c r="T74" s="24"/>
      <c r="U74" s="24"/>
      <c r="V74" s="24"/>
      <c r="W74" s="24"/>
      <c r="X74" s="24"/>
      <c r="Y74" s="24"/>
      <c r="Z74" s="24"/>
      <c r="AA74" s="24"/>
      <c r="AB74" s="24"/>
      <c r="AC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</row>
    <row r="75" spans="2:53" x14ac:dyDescent="0.25">
      <c r="T75" s="24"/>
      <c r="U75" s="24"/>
      <c r="V75" s="24"/>
      <c r="W75" s="24"/>
      <c r="X75" s="24"/>
      <c r="Y75" s="24"/>
      <c r="Z75" s="24"/>
      <c r="AA75" s="24"/>
      <c r="AB75" s="24"/>
      <c r="AC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</row>
    <row r="76" spans="2:53" x14ac:dyDescent="0.25">
      <c r="N76" s="71"/>
      <c r="O76" s="71"/>
      <c r="P76" s="66">
        <v>2019</v>
      </c>
      <c r="Q76" s="71"/>
      <c r="T76" s="24"/>
      <c r="U76" s="24"/>
      <c r="V76" s="24"/>
      <c r="W76" s="24"/>
      <c r="X76" s="24"/>
      <c r="Y76" s="24"/>
      <c r="Z76" s="71"/>
      <c r="AA76" s="71"/>
      <c r="AB76" s="66"/>
      <c r="AC76" s="71"/>
      <c r="AF76" s="24"/>
      <c r="AG76" s="24"/>
      <c r="AH76" s="24"/>
      <c r="AI76" s="24"/>
      <c r="AJ76" s="24"/>
      <c r="AK76" s="24"/>
      <c r="AL76" s="71"/>
      <c r="AM76" s="71"/>
      <c r="AN76" s="66">
        <v>2019</v>
      </c>
      <c r="AO76" s="71"/>
      <c r="AR76" s="24"/>
      <c r="AS76" s="24"/>
      <c r="AT76" s="24"/>
      <c r="AU76" s="24"/>
      <c r="AV76" s="24"/>
      <c r="AW76" s="24"/>
      <c r="AX76" s="71"/>
      <c r="AY76" s="71"/>
      <c r="AZ76" s="66">
        <v>2019</v>
      </c>
      <c r="BA76" s="71"/>
    </row>
    <row r="77" spans="2:53" ht="15.75" x14ac:dyDescent="0.25">
      <c r="C77" s="144" t="s">
        <v>127</v>
      </c>
      <c r="D77" s="144"/>
      <c r="I77" s="56" t="s">
        <v>115</v>
      </c>
      <c r="N77" s="71"/>
      <c r="O77" s="71"/>
      <c r="P77" s="56" t="s">
        <v>130</v>
      </c>
      <c r="Q77" s="71"/>
      <c r="T77" s="24"/>
      <c r="U77" s="56"/>
      <c r="V77" s="24"/>
      <c r="W77" s="24"/>
      <c r="X77" s="24"/>
      <c r="Y77" s="24"/>
      <c r="Z77" s="71"/>
      <c r="AA77" s="71"/>
      <c r="AB77" s="56"/>
      <c r="AC77" s="71"/>
      <c r="AF77" s="24"/>
      <c r="AG77" s="56" t="s">
        <v>120</v>
      </c>
      <c r="AH77" s="24"/>
      <c r="AI77" s="24"/>
      <c r="AJ77" s="24"/>
      <c r="AK77" s="71"/>
      <c r="AL77" s="71"/>
      <c r="AM77" s="56" t="s">
        <v>136</v>
      </c>
      <c r="AN77" s="56"/>
      <c r="AO77" s="71"/>
      <c r="AR77" s="24"/>
      <c r="AT77" s="56" t="s">
        <v>123</v>
      </c>
      <c r="AU77" s="24"/>
      <c r="AV77" s="24"/>
      <c r="AW77" s="24"/>
      <c r="AX77" s="71"/>
      <c r="AY77" s="71"/>
      <c r="AZ77" s="56" t="s">
        <v>137</v>
      </c>
      <c r="BA77" s="71"/>
    </row>
    <row r="78" spans="2:53" ht="15.75" x14ac:dyDescent="0.25">
      <c r="I78" s="65" t="s">
        <v>117</v>
      </c>
      <c r="N78" s="71"/>
      <c r="O78" s="71"/>
      <c r="P78" s="48" t="s">
        <v>132</v>
      </c>
      <c r="Q78" s="71"/>
      <c r="T78" s="24"/>
      <c r="U78" s="83"/>
      <c r="V78" s="24"/>
      <c r="W78" s="24"/>
      <c r="X78" s="24"/>
      <c r="Y78" s="24"/>
      <c r="Z78" s="71"/>
      <c r="AA78" s="71"/>
      <c r="AB78" s="48"/>
      <c r="AC78" s="71"/>
      <c r="AF78" s="24"/>
      <c r="AG78" s="98" t="s">
        <v>117</v>
      </c>
      <c r="AH78" s="24"/>
      <c r="AI78" s="24"/>
      <c r="AJ78" s="24"/>
      <c r="AK78" s="24"/>
      <c r="AL78" s="71"/>
      <c r="AM78" s="71"/>
      <c r="AN78" s="48" t="s">
        <v>132</v>
      </c>
      <c r="AO78" s="71"/>
      <c r="AR78" s="24"/>
      <c r="AS78" s="100" t="s">
        <v>117</v>
      </c>
      <c r="AT78" s="24"/>
      <c r="AU78" s="24"/>
      <c r="AV78" s="24"/>
      <c r="AW78" s="24"/>
      <c r="AX78" s="71"/>
      <c r="AY78" s="71"/>
      <c r="AZ78" s="48" t="s">
        <v>132</v>
      </c>
      <c r="BA78" s="71"/>
    </row>
    <row r="79" spans="2:53" x14ac:dyDescent="0.25">
      <c r="B79" s="46" t="s">
        <v>0</v>
      </c>
      <c r="C79" s="30" t="s">
        <v>1</v>
      </c>
      <c r="D79" s="30" t="s">
        <v>2</v>
      </c>
      <c r="E79" s="30" t="s">
        <v>3</v>
      </c>
      <c r="H79" s="46" t="s">
        <v>0</v>
      </c>
      <c r="I79" s="30" t="s">
        <v>1</v>
      </c>
      <c r="J79" s="30" t="s">
        <v>2</v>
      </c>
      <c r="K79" s="30" t="s">
        <v>3</v>
      </c>
      <c r="N79" s="46" t="s">
        <v>0</v>
      </c>
      <c r="O79" s="30" t="s">
        <v>1</v>
      </c>
      <c r="P79" s="30" t="s">
        <v>2</v>
      </c>
      <c r="Q79" s="30" t="s">
        <v>3</v>
      </c>
      <c r="T79" s="91"/>
      <c r="U79" s="50"/>
      <c r="V79" s="50"/>
      <c r="W79" s="50"/>
      <c r="X79" s="86"/>
      <c r="Y79" s="86"/>
      <c r="Z79" s="91"/>
      <c r="AA79" s="50"/>
      <c r="AB79" s="50"/>
      <c r="AC79" s="50"/>
      <c r="AF79" s="46" t="s">
        <v>0</v>
      </c>
      <c r="AG79" s="30" t="s">
        <v>1</v>
      </c>
      <c r="AH79" s="30" t="s">
        <v>2</v>
      </c>
      <c r="AI79" s="30" t="s">
        <v>3</v>
      </c>
      <c r="AJ79" s="24"/>
      <c r="AK79" s="24"/>
      <c r="AL79" s="46" t="s">
        <v>0</v>
      </c>
      <c r="AM79" s="30" t="s">
        <v>1</v>
      </c>
      <c r="AN79" s="30" t="s">
        <v>2</v>
      </c>
      <c r="AO79" s="30" t="s">
        <v>3</v>
      </c>
      <c r="AR79" s="46" t="s">
        <v>0</v>
      </c>
      <c r="AS79" s="30" t="s">
        <v>1</v>
      </c>
      <c r="AT79" s="30" t="s">
        <v>2</v>
      </c>
      <c r="AU79" s="30" t="s">
        <v>3</v>
      </c>
      <c r="AV79" s="24"/>
      <c r="AW79" s="24"/>
      <c r="AX79" s="46" t="s">
        <v>0</v>
      </c>
      <c r="AY79" s="30" t="s">
        <v>1</v>
      </c>
      <c r="AZ79" s="30" t="s">
        <v>2</v>
      </c>
      <c r="BA79" s="30" t="s">
        <v>3</v>
      </c>
    </row>
    <row r="80" spans="2:53" x14ac:dyDescent="0.25">
      <c r="B80" s="32" t="s">
        <v>86</v>
      </c>
      <c r="C80" s="82">
        <v>39.200000000000003</v>
      </c>
      <c r="D80" s="82">
        <v>38.5</v>
      </c>
      <c r="E80" s="82">
        <v>42.2</v>
      </c>
      <c r="H80" s="32" t="s">
        <v>86</v>
      </c>
      <c r="I80" s="82">
        <v>0.34</v>
      </c>
      <c r="J80" s="82">
        <v>0.42</v>
      </c>
      <c r="K80" s="82">
        <v>0.4</v>
      </c>
      <c r="N80" s="32" t="s">
        <v>86</v>
      </c>
      <c r="O80" s="81">
        <f>((C80*I80)/100)*100</f>
        <v>13.328000000000001</v>
      </c>
      <c r="P80" s="81">
        <f t="shared" ref="P80:P97" si="46">((D80*J80)/100)*100</f>
        <v>16.169999999999998</v>
      </c>
      <c r="Q80" s="81">
        <f t="shared" ref="Q80:Q97" si="47">((E80*K80)/100)*100</f>
        <v>16.880000000000003</v>
      </c>
      <c r="T80" s="92"/>
      <c r="U80" s="79"/>
      <c r="V80" s="79"/>
      <c r="W80" s="79"/>
      <c r="X80" s="86"/>
      <c r="Y80" s="86"/>
      <c r="Z80" s="92"/>
      <c r="AA80" s="94"/>
      <c r="AB80" s="94"/>
      <c r="AC80" s="94"/>
      <c r="AF80" s="32" t="s">
        <v>86</v>
      </c>
      <c r="AG80" s="106">
        <v>0.10200000000000001</v>
      </c>
      <c r="AH80" s="106">
        <v>0.11700000000000001</v>
      </c>
      <c r="AI80" s="106">
        <v>0.10700000000000001</v>
      </c>
      <c r="AJ80" s="24"/>
      <c r="AK80" s="24"/>
      <c r="AL80" s="32" t="s">
        <v>86</v>
      </c>
      <c r="AM80" s="81">
        <f>(C80*AG80)</f>
        <v>3.9984000000000006</v>
      </c>
      <c r="AN80" s="81">
        <f t="shared" ref="AN80:AN97" si="48">(D80*AH80)</f>
        <v>4.5045000000000002</v>
      </c>
      <c r="AO80" s="81">
        <f t="shared" ref="AO80:AO97" si="49">(E80*AI80)</f>
        <v>4.5154000000000005</v>
      </c>
      <c r="AR80" s="32" t="s">
        <v>86</v>
      </c>
      <c r="AS80" s="81">
        <v>1.54</v>
      </c>
      <c r="AT80" s="81">
        <v>1.31</v>
      </c>
      <c r="AU80" s="81">
        <v>1.57</v>
      </c>
      <c r="AV80" s="24"/>
      <c r="AW80" s="24"/>
      <c r="AX80" s="32" t="s">
        <v>86</v>
      </c>
      <c r="AY80" s="108">
        <f>AS80*C80</f>
        <v>60.368000000000009</v>
      </c>
      <c r="AZ80" s="108">
        <f t="shared" ref="AZ80:AZ97" si="50">AT80*D80</f>
        <v>50.435000000000002</v>
      </c>
      <c r="BA80" s="108">
        <f t="shared" ref="BA80:BA97" si="51">AU80*E80</f>
        <v>66.254000000000005</v>
      </c>
    </row>
    <row r="81" spans="2:53" x14ac:dyDescent="0.25">
      <c r="B81" s="32" t="s">
        <v>87</v>
      </c>
      <c r="C81" s="82">
        <v>65.5</v>
      </c>
      <c r="D81" s="82">
        <v>64.099999999999994</v>
      </c>
      <c r="E81" s="82">
        <v>66.5</v>
      </c>
      <c r="H81" s="32" t="s">
        <v>87</v>
      </c>
      <c r="I81" s="82">
        <v>0.47</v>
      </c>
      <c r="J81" s="82">
        <v>0.51</v>
      </c>
      <c r="K81" s="82">
        <v>0.52</v>
      </c>
      <c r="N81" s="32" t="s">
        <v>87</v>
      </c>
      <c r="O81" s="81">
        <f t="shared" ref="O81:O97" si="52">((C81*I81)/100)*100</f>
        <v>30.784999999999997</v>
      </c>
      <c r="P81" s="81">
        <f t="shared" si="46"/>
        <v>32.690999999999995</v>
      </c>
      <c r="Q81" s="81">
        <f t="shared" si="47"/>
        <v>34.58</v>
      </c>
      <c r="T81" s="92"/>
      <c r="U81" s="79"/>
      <c r="V81" s="79"/>
      <c r="W81" s="79"/>
      <c r="X81" s="86"/>
      <c r="Y81" s="86"/>
      <c r="Z81" s="92"/>
      <c r="AA81" s="94"/>
      <c r="AB81" s="94"/>
      <c r="AC81" s="94"/>
      <c r="AF81" s="32" t="s">
        <v>87</v>
      </c>
      <c r="AG81" s="106">
        <v>0.18899999999999997</v>
      </c>
      <c r="AH81" s="106">
        <v>0.222</v>
      </c>
      <c r="AI81" s="106">
        <v>0.20799999999999999</v>
      </c>
      <c r="AJ81" s="24"/>
      <c r="AK81" s="24"/>
      <c r="AL81" s="32" t="s">
        <v>87</v>
      </c>
      <c r="AM81" s="81">
        <f t="shared" ref="AM81:AM97" si="53">(C81*AG81)</f>
        <v>12.379499999999998</v>
      </c>
      <c r="AN81" s="81">
        <f t="shared" si="48"/>
        <v>14.230199999999998</v>
      </c>
      <c r="AO81" s="81">
        <f t="shared" si="49"/>
        <v>13.831999999999999</v>
      </c>
      <c r="AR81" s="32" t="s">
        <v>87</v>
      </c>
      <c r="AS81" s="81">
        <v>1.6300000000000001</v>
      </c>
      <c r="AT81" s="81">
        <v>1.6300000000000001</v>
      </c>
      <c r="AU81" s="81">
        <v>1.6500000000000001</v>
      </c>
      <c r="AV81" s="24"/>
      <c r="AW81" s="24"/>
      <c r="AX81" s="32" t="s">
        <v>87</v>
      </c>
      <c r="AY81" s="108">
        <f t="shared" ref="AY81:AY97" si="54">AS81*C81</f>
        <v>106.765</v>
      </c>
      <c r="AZ81" s="108">
        <f t="shared" si="50"/>
        <v>104.483</v>
      </c>
      <c r="BA81" s="108">
        <f t="shared" si="51"/>
        <v>109.72500000000001</v>
      </c>
    </row>
    <row r="82" spans="2:53" x14ac:dyDescent="0.25">
      <c r="B82" s="32" t="s">
        <v>88</v>
      </c>
      <c r="C82" s="82">
        <v>69.2</v>
      </c>
      <c r="D82" s="82">
        <v>71.8</v>
      </c>
      <c r="E82" s="82">
        <v>73.8</v>
      </c>
      <c r="H82" s="32" t="s">
        <v>88</v>
      </c>
      <c r="I82" s="82">
        <v>0.56999999999999995</v>
      </c>
      <c r="J82" s="82">
        <v>0.52</v>
      </c>
      <c r="K82" s="82">
        <v>0.59</v>
      </c>
      <c r="N82" s="32" t="s">
        <v>88</v>
      </c>
      <c r="O82" s="81">
        <f t="shared" si="52"/>
        <v>39.443999999999996</v>
      </c>
      <c r="P82" s="81">
        <f t="shared" si="46"/>
        <v>37.335999999999999</v>
      </c>
      <c r="Q82" s="81">
        <f t="shared" si="47"/>
        <v>43.541999999999994</v>
      </c>
      <c r="T82" s="92"/>
      <c r="U82" s="79"/>
      <c r="V82" s="79"/>
      <c r="W82" s="79"/>
      <c r="X82" s="86"/>
      <c r="Y82" s="86"/>
      <c r="Z82" s="92"/>
      <c r="AA82" s="94"/>
      <c r="AB82" s="94"/>
      <c r="AC82" s="94"/>
      <c r="AF82" s="32" t="s">
        <v>88</v>
      </c>
      <c r="AG82" s="106">
        <v>0.22199999999999998</v>
      </c>
      <c r="AH82" s="106">
        <v>0.20199999999999999</v>
      </c>
      <c r="AI82" s="106">
        <v>0.24199999999999999</v>
      </c>
      <c r="AJ82" s="24"/>
      <c r="AK82" s="24"/>
      <c r="AL82" s="32" t="s">
        <v>88</v>
      </c>
      <c r="AM82" s="81">
        <f t="shared" si="53"/>
        <v>15.362399999999999</v>
      </c>
      <c r="AN82" s="81">
        <f t="shared" si="48"/>
        <v>14.503599999999999</v>
      </c>
      <c r="AO82" s="81">
        <f t="shared" si="49"/>
        <v>17.8596</v>
      </c>
      <c r="AR82" s="32" t="s">
        <v>88</v>
      </c>
      <c r="AS82" s="81">
        <v>1.75</v>
      </c>
      <c r="AT82" s="81">
        <v>1.54</v>
      </c>
      <c r="AU82" s="81">
        <v>1.85</v>
      </c>
      <c r="AV82" s="24"/>
      <c r="AW82" s="24"/>
      <c r="AX82" s="32" t="s">
        <v>88</v>
      </c>
      <c r="AY82" s="108">
        <f t="shared" si="54"/>
        <v>121.10000000000001</v>
      </c>
      <c r="AZ82" s="108">
        <f t="shared" si="50"/>
        <v>110.572</v>
      </c>
      <c r="BA82" s="108">
        <f t="shared" si="51"/>
        <v>136.53</v>
      </c>
    </row>
    <row r="83" spans="2:53" x14ac:dyDescent="0.25">
      <c r="B83" s="32" t="s">
        <v>89</v>
      </c>
      <c r="C83" s="82">
        <v>61.900000000000006</v>
      </c>
      <c r="D83" s="82">
        <v>60.900000000000006</v>
      </c>
      <c r="E83" s="82">
        <v>63.900000000000006</v>
      </c>
      <c r="H83" s="32" t="s">
        <v>89</v>
      </c>
      <c r="I83" s="82">
        <v>0.4</v>
      </c>
      <c r="J83" s="82">
        <v>0.48</v>
      </c>
      <c r="K83" s="82">
        <v>0.43</v>
      </c>
      <c r="N83" s="32" t="s">
        <v>89</v>
      </c>
      <c r="O83" s="81">
        <f t="shared" si="52"/>
        <v>24.760000000000005</v>
      </c>
      <c r="P83" s="81">
        <f t="shared" si="46"/>
        <v>29.232000000000003</v>
      </c>
      <c r="Q83" s="81">
        <f t="shared" si="47"/>
        <v>27.477</v>
      </c>
      <c r="T83" s="92"/>
      <c r="U83" s="79"/>
      <c r="V83" s="79"/>
      <c r="W83" s="79"/>
      <c r="X83" s="86"/>
      <c r="Y83" s="86"/>
      <c r="Z83" s="92"/>
      <c r="AA83" s="94"/>
      <c r="AB83" s="94"/>
      <c r="AC83" s="94"/>
      <c r="AF83" s="32" t="s">
        <v>89</v>
      </c>
      <c r="AG83" s="106">
        <v>0.16199999999999995</v>
      </c>
      <c r="AH83" s="106">
        <v>0.17199999999999996</v>
      </c>
      <c r="AI83" s="106">
        <v>0.19199999999999998</v>
      </c>
      <c r="AJ83" s="24"/>
      <c r="AK83" s="24"/>
      <c r="AL83" s="32" t="s">
        <v>89</v>
      </c>
      <c r="AM83" s="81">
        <f t="shared" si="53"/>
        <v>10.027799999999997</v>
      </c>
      <c r="AN83" s="81">
        <f t="shared" si="48"/>
        <v>10.474799999999998</v>
      </c>
      <c r="AO83" s="81">
        <f t="shared" si="49"/>
        <v>12.268799999999999</v>
      </c>
      <c r="AR83" s="32" t="s">
        <v>89</v>
      </c>
      <c r="AS83" s="81">
        <v>1.62</v>
      </c>
      <c r="AT83" s="81">
        <v>1.6</v>
      </c>
      <c r="AU83" s="81">
        <v>1.6500000000000001</v>
      </c>
      <c r="AV83" s="24"/>
      <c r="AW83" s="24"/>
      <c r="AX83" s="32" t="s">
        <v>89</v>
      </c>
      <c r="AY83" s="108">
        <f t="shared" si="54"/>
        <v>100.27800000000002</v>
      </c>
      <c r="AZ83" s="108">
        <f t="shared" si="50"/>
        <v>97.440000000000012</v>
      </c>
      <c r="BA83" s="108">
        <f t="shared" si="51"/>
        <v>105.43500000000002</v>
      </c>
    </row>
    <row r="84" spans="2:53" x14ac:dyDescent="0.25">
      <c r="B84" s="32" t="s">
        <v>90</v>
      </c>
      <c r="C84" s="82">
        <v>70.2</v>
      </c>
      <c r="D84" s="82">
        <v>68.900000000000006</v>
      </c>
      <c r="E84" s="82">
        <v>67.8</v>
      </c>
      <c r="H84" s="32" t="s">
        <v>90</v>
      </c>
      <c r="I84" s="82">
        <v>0.56000000000000005</v>
      </c>
      <c r="J84" s="82">
        <v>0.54</v>
      </c>
      <c r="K84" s="82">
        <v>0.56000000000000005</v>
      </c>
      <c r="N84" s="32" t="s">
        <v>90</v>
      </c>
      <c r="O84" s="81">
        <f t="shared" si="52"/>
        <v>39.312000000000005</v>
      </c>
      <c r="P84" s="81">
        <f t="shared" si="46"/>
        <v>37.206000000000003</v>
      </c>
      <c r="Q84" s="81">
        <f t="shared" si="47"/>
        <v>37.968000000000004</v>
      </c>
      <c r="T84" s="92"/>
      <c r="U84" s="79"/>
      <c r="V84" s="79"/>
      <c r="W84" s="79"/>
      <c r="X84" s="86"/>
      <c r="Y84" s="86"/>
      <c r="Z84" s="92"/>
      <c r="AA84" s="94"/>
      <c r="AB84" s="94"/>
      <c r="AC84" s="94"/>
      <c r="AF84" s="32" t="s">
        <v>90</v>
      </c>
      <c r="AG84" s="106">
        <v>0.20499999999999999</v>
      </c>
      <c r="AH84" s="106">
        <v>0.22500000000000001</v>
      </c>
      <c r="AI84" s="106">
        <v>0.23375199999999996</v>
      </c>
      <c r="AJ84" s="24"/>
      <c r="AK84" s="24"/>
      <c r="AL84" s="32" t="s">
        <v>90</v>
      </c>
      <c r="AM84" s="81">
        <f t="shared" si="53"/>
        <v>14.391</v>
      </c>
      <c r="AN84" s="81">
        <f t="shared" si="48"/>
        <v>15.502500000000001</v>
      </c>
      <c r="AO84" s="81">
        <f t="shared" si="49"/>
        <v>15.848385599999997</v>
      </c>
      <c r="AR84" s="32" t="s">
        <v>90</v>
      </c>
      <c r="AS84" s="81">
        <v>1.62</v>
      </c>
      <c r="AT84" s="81">
        <v>1.77</v>
      </c>
      <c r="AU84" s="81">
        <v>1.71</v>
      </c>
      <c r="AV84" s="24"/>
      <c r="AW84" s="24"/>
      <c r="AX84" s="32" t="s">
        <v>90</v>
      </c>
      <c r="AY84" s="108">
        <f t="shared" si="54"/>
        <v>113.72400000000002</v>
      </c>
      <c r="AZ84" s="108">
        <f t="shared" si="50"/>
        <v>121.95300000000002</v>
      </c>
      <c r="BA84" s="108">
        <f t="shared" si="51"/>
        <v>115.93799999999999</v>
      </c>
    </row>
    <row r="85" spans="2:53" x14ac:dyDescent="0.25">
      <c r="B85" s="32" t="s">
        <v>91</v>
      </c>
      <c r="C85" s="82">
        <v>72.5</v>
      </c>
      <c r="D85" s="82">
        <v>76.5</v>
      </c>
      <c r="E85" s="82">
        <v>69.8</v>
      </c>
      <c r="H85" s="32" t="s">
        <v>91</v>
      </c>
      <c r="I85" s="82">
        <v>0.61</v>
      </c>
      <c r="J85" s="82">
        <v>0.64</v>
      </c>
      <c r="K85" s="82">
        <v>0.6</v>
      </c>
      <c r="N85" s="32" t="s">
        <v>91</v>
      </c>
      <c r="O85" s="81">
        <f t="shared" si="52"/>
        <v>44.225000000000001</v>
      </c>
      <c r="P85" s="81">
        <f t="shared" si="46"/>
        <v>48.96</v>
      </c>
      <c r="Q85" s="81">
        <f t="shared" si="47"/>
        <v>41.879999999999995</v>
      </c>
      <c r="T85" s="92"/>
      <c r="U85" s="79"/>
      <c r="V85" s="79"/>
      <c r="W85" s="79"/>
      <c r="X85" s="86"/>
      <c r="Y85" s="86"/>
      <c r="Z85" s="92"/>
      <c r="AA85" s="94"/>
      <c r="AB85" s="94"/>
      <c r="AC85" s="94"/>
      <c r="AF85" s="32" t="s">
        <v>91</v>
      </c>
      <c r="AG85" s="106">
        <v>0.21199999999999999</v>
      </c>
      <c r="AH85" s="106">
        <v>0.20199999999999999</v>
      </c>
      <c r="AI85" s="106">
        <v>0.23199999999999998</v>
      </c>
      <c r="AJ85" s="24"/>
      <c r="AK85" s="24"/>
      <c r="AL85" s="32" t="s">
        <v>91</v>
      </c>
      <c r="AM85" s="81">
        <f t="shared" si="53"/>
        <v>15.37</v>
      </c>
      <c r="AN85" s="81">
        <f t="shared" si="48"/>
        <v>15.452999999999999</v>
      </c>
      <c r="AO85" s="81">
        <f t="shared" si="49"/>
        <v>16.1936</v>
      </c>
      <c r="AR85" s="32" t="s">
        <v>91</v>
      </c>
      <c r="AS85" s="81">
        <v>1.71</v>
      </c>
      <c r="AT85" s="81">
        <v>1.79</v>
      </c>
      <c r="AU85" s="81">
        <v>1.73</v>
      </c>
      <c r="AV85" s="24"/>
      <c r="AW85" s="24"/>
      <c r="AX85" s="32" t="s">
        <v>91</v>
      </c>
      <c r="AY85" s="108">
        <f t="shared" si="54"/>
        <v>123.97499999999999</v>
      </c>
      <c r="AZ85" s="108">
        <f t="shared" si="50"/>
        <v>136.935</v>
      </c>
      <c r="BA85" s="108">
        <f t="shared" si="51"/>
        <v>120.75399999999999</v>
      </c>
    </row>
    <row r="86" spans="2:53" x14ac:dyDescent="0.25">
      <c r="B86" s="32" t="s">
        <v>92</v>
      </c>
      <c r="C86" s="82">
        <v>65.2</v>
      </c>
      <c r="D86" s="82">
        <v>62.5</v>
      </c>
      <c r="E86" s="82">
        <v>65.2</v>
      </c>
      <c r="H86" s="32" t="s">
        <v>92</v>
      </c>
      <c r="I86" s="82">
        <v>0.48</v>
      </c>
      <c r="J86" s="82">
        <v>0.47</v>
      </c>
      <c r="K86" s="82">
        <v>0.42</v>
      </c>
      <c r="N86" s="32" t="s">
        <v>92</v>
      </c>
      <c r="O86" s="81">
        <f t="shared" si="52"/>
        <v>31.296000000000003</v>
      </c>
      <c r="P86" s="81">
        <f t="shared" si="46"/>
        <v>29.375</v>
      </c>
      <c r="Q86" s="81">
        <f t="shared" si="47"/>
        <v>27.384000000000004</v>
      </c>
      <c r="T86" s="92"/>
      <c r="U86" s="79"/>
      <c r="V86" s="79"/>
      <c r="W86" s="79"/>
      <c r="X86" s="86"/>
      <c r="Y86" s="86"/>
      <c r="Z86" s="92"/>
      <c r="AA86" s="94"/>
      <c r="AB86" s="94"/>
      <c r="AC86" s="94"/>
      <c r="AF86" s="32" t="s">
        <v>92</v>
      </c>
      <c r="AG86" s="106">
        <v>0.20014799999999991</v>
      </c>
      <c r="AH86" s="106">
        <v>0.17410799999999996</v>
      </c>
      <c r="AI86" s="106">
        <v>0.20015199999999991</v>
      </c>
      <c r="AJ86" s="24"/>
      <c r="AK86" s="24"/>
      <c r="AL86" s="32" t="s">
        <v>92</v>
      </c>
      <c r="AM86" s="81">
        <f t="shared" si="53"/>
        <v>13.049649599999995</v>
      </c>
      <c r="AN86" s="81">
        <f t="shared" si="48"/>
        <v>10.881749999999997</v>
      </c>
      <c r="AO86" s="81">
        <f t="shared" si="49"/>
        <v>13.049910399999995</v>
      </c>
      <c r="AR86" s="32" t="s">
        <v>92</v>
      </c>
      <c r="AS86" s="81">
        <v>1.69</v>
      </c>
      <c r="AT86" s="81">
        <v>1.62</v>
      </c>
      <c r="AU86" s="81">
        <v>1.58</v>
      </c>
      <c r="AV86" s="24"/>
      <c r="AW86" s="24"/>
      <c r="AX86" s="32" t="s">
        <v>92</v>
      </c>
      <c r="AY86" s="108">
        <f t="shared" si="54"/>
        <v>110.188</v>
      </c>
      <c r="AZ86" s="108">
        <f t="shared" si="50"/>
        <v>101.25</v>
      </c>
      <c r="BA86" s="108">
        <f t="shared" si="51"/>
        <v>103.01600000000001</v>
      </c>
    </row>
    <row r="87" spans="2:53" x14ac:dyDescent="0.25">
      <c r="B87" s="32" t="s">
        <v>93</v>
      </c>
      <c r="C87" s="82">
        <v>70.8</v>
      </c>
      <c r="D87" s="82">
        <v>62.9</v>
      </c>
      <c r="E87" s="82">
        <v>68.8</v>
      </c>
      <c r="H87" s="32" t="s">
        <v>93</v>
      </c>
      <c r="I87" s="82">
        <v>0.51</v>
      </c>
      <c r="J87" s="82">
        <v>0.49</v>
      </c>
      <c r="K87" s="82">
        <v>0.51</v>
      </c>
      <c r="N87" s="32" t="s">
        <v>93</v>
      </c>
      <c r="O87" s="81">
        <f t="shared" si="52"/>
        <v>36.107999999999997</v>
      </c>
      <c r="P87" s="81">
        <f t="shared" si="46"/>
        <v>30.820999999999998</v>
      </c>
      <c r="Q87" s="81">
        <f t="shared" si="47"/>
        <v>35.088000000000001</v>
      </c>
      <c r="T87" s="92"/>
      <c r="U87" s="79"/>
      <c r="V87" s="79"/>
      <c r="W87" s="79"/>
      <c r="X87" s="86"/>
      <c r="Y87" s="86"/>
      <c r="Z87" s="92"/>
      <c r="AA87" s="94"/>
      <c r="AB87" s="94"/>
      <c r="AC87" s="94"/>
      <c r="AF87" s="32" t="s">
        <v>93</v>
      </c>
      <c r="AG87" s="106">
        <v>0.21199999999999999</v>
      </c>
      <c r="AH87" s="106">
        <v>0.222</v>
      </c>
      <c r="AI87" s="106">
        <v>0.21199999999999999</v>
      </c>
      <c r="AJ87" s="24"/>
      <c r="AK87" s="24"/>
      <c r="AL87" s="32" t="s">
        <v>93</v>
      </c>
      <c r="AM87" s="81">
        <f t="shared" si="53"/>
        <v>15.009599999999999</v>
      </c>
      <c r="AN87" s="81">
        <f t="shared" si="48"/>
        <v>13.963799999999999</v>
      </c>
      <c r="AO87" s="81">
        <f t="shared" si="49"/>
        <v>14.585599999999999</v>
      </c>
      <c r="AR87" s="32" t="s">
        <v>93</v>
      </c>
      <c r="AS87" s="81">
        <v>1.77</v>
      </c>
      <c r="AT87" s="81">
        <v>1.6</v>
      </c>
      <c r="AU87" s="81">
        <v>1.6300000000000001</v>
      </c>
      <c r="AV87" s="24"/>
      <c r="AW87" s="24"/>
      <c r="AX87" s="32" t="s">
        <v>93</v>
      </c>
      <c r="AY87" s="108">
        <f t="shared" si="54"/>
        <v>125.316</v>
      </c>
      <c r="AZ87" s="108">
        <f t="shared" si="50"/>
        <v>100.64</v>
      </c>
      <c r="BA87" s="108">
        <f t="shared" si="51"/>
        <v>112.14400000000001</v>
      </c>
    </row>
    <row r="88" spans="2:53" x14ac:dyDescent="0.25">
      <c r="B88" s="32" t="s">
        <v>94</v>
      </c>
      <c r="C88" s="82">
        <v>60.1</v>
      </c>
      <c r="D88" s="82">
        <v>64.2</v>
      </c>
      <c r="E88" s="82">
        <v>59.5</v>
      </c>
      <c r="H88" s="32" t="s">
        <v>94</v>
      </c>
      <c r="I88" s="82">
        <v>0.45</v>
      </c>
      <c r="J88" s="82">
        <v>0.41</v>
      </c>
      <c r="K88" s="82">
        <v>0.42</v>
      </c>
      <c r="N88" s="32" t="s">
        <v>94</v>
      </c>
      <c r="O88" s="81">
        <f t="shared" si="52"/>
        <v>27.045000000000002</v>
      </c>
      <c r="P88" s="81">
        <f t="shared" si="46"/>
        <v>26.322000000000003</v>
      </c>
      <c r="Q88" s="81">
        <f t="shared" si="47"/>
        <v>24.99</v>
      </c>
      <c r="T88" s="92"/>
      <c r="U88" s="79"/>
      <c r="V88" s="79"/>
      <c r="W88" s="79"/>
      <c r="X88" s="86"/>
      <c r="Y88" s="86"/>
      <c r="Z88" s="92"/>
      <c r="AA88" s="94"/>
      <c r="AB88" s="94"/>
      <c r="AC88" s="94"/>
      <c r="AF88" s="32" t="s">
        <v>94</v>
      </c>
      <c r="AG88" s="106">
        <v>0.17499999999999999</v>
      </c>
      <c r="AH88" s="106">
        <v>0.20199999999999999</v>
      </c>
      <c r="AI88" s="106">
        <v>0.222</v>
      </c>
      <c r="AJ88" s="24"/>
      <c r="AK88" s="24"/>
      <c r="AL88" s="32" t="s">
        <v>94</v>
      </c>
      <c r="AM88" s="81">
        <f t="shared" si="53"/>
        <v>10.5175</v>
      </c>
      <c r="AN88" s="81">
        <f t="shared" si="48"/>
        <v>12.968399999999999</v>
      </c>
      <c r="AO88" s="81">
        <f t="shared" si="49"/>
        <v>13.209</v>
      </c>
      <c r="AR88" s="32" t="s">
        <v>94</v>
      </c>
      <c r="AS88" s="81">
        <v>1.6700000000000002</v>
      </c>
      <c r="AT88" s="81">
        <v>1.62</v>
      </c>
      <c r="AU88" s="81">
        <v>1.54</v>
      </c>
      <c r="AV88" s="24"/>
      <c r="AW88" s="24"/>
      <c r="AX88" s="32" t="s">
        <v>94</v>
      </c>
      <c r="AY88" s="108">
        <f t="shared" si="54"/>
        <v>100.367</v>
      </c>
      <c r="AZ88" s="108">
        <f t="shared" si="50"/>
        <v>104.004</v>
      </c>
      <c r="BA88" s="108">
        <f t="shared" si="51"/>
        <v>91.63</v>
      </c>
    </row>
    <row r="89" spans="2:53" x14ac:dyDescent="0.25">
      <c r="B89" s="32" t="s">
        <v>95</v>
      </c>
      <c r="C89" s="82">
        <v>36.5</v>
      </c>
      <c r="D89" s="82">
        <v>35.5</v>
      </c>
      <c r="E89" s="82">
        <v>40.4</v>
      </c>
      <c r="H89" s="32" t="s">
        <v>95</v>
      </c>
      <c r="I89" s="82">
        <v>0.31</v>
      </c>
      <c r="J89" s="82">
        <v>0.41</v>
      </c>
      <c r="K89" s="82">
        <v>0.36</v>
      </c>
      <c r="N89" s="32" t="s">
        <v>95</v>
      </c>
      <c r="O89" s="81">
        <f t="shared" si="52"/>
        <v>11.315</v>
      </c>
      <c r="P89" s="81">
        <f t="shared" si="46"/>
        <v>14.554999999999998</v>
      </c>
      <c r="Q89" s="81">
        <f t="shared" si="47"/>
        <v>14.543999999999999</v>
      </c>
      <c r="T89" s="92"/>
      <c r="U89" s="79"/>
      <c r="V89" s="79"/>
      <c r="W89" s="79"/>
      <c r="X89" s="86"/>
      <c r="Y89" s="86"/>
      <c r="Z89" s="92"/>
      <c r="AA89" s="94"/>
      <c r="AB89" s="94"/>
      <c r="AC89" s="94"/>
      <c r="AF89" s="32" t="s">
        <v>95</v>
      </c>
      <c r="AG89" s="106">
        <v>0.105</v>
      </c>
      <c r="AH89" s="106">
        <v>0.105</v>
      </c>
      <c r="AI89" s="106">
        <v>0.112</v>
      </c>
      <c r="AJ89" s="24"/>
      <c r="AK89" s="24"/>
      <c r="AL89" s="32" t="s">
        <v>95</v>
      </c>
      <c r="AM89" s="81">
        <f t="shared" si="53"/>
        <v>3.8325</v>
      </c>
      <c r="AN89" s="81">
        <f t="shared" si="48"/>
        <v>3.7275</v>
      </c>
      <c r="AO89" s="81">
        <f t="shared" si="49"/>
        <v>4.5247999999999999</v>
      </c>
      <c r="AR89" s="32" t="s">
        <v>95</v>
      </c>
      <c r="AS89" s="81">
        <v>1.4</v>
      </c>
      <c r="AT89" s="81">
        <v>1.1499999999999999</v>
      </c>
      <c r="AU89" s="81">
        <v>1.68</v>
      </c>
      <c r="AV89" s="24"/>
      <c r="AW89" s="24"/>
      <c r="AX89" s="32" t="s">
        <v>95</v>
      </c>
      <c r="AY89" s="108">
        <f t="shared" si="54"/>
        <v>51.099999999999994</v>
      </c>
      <c r="AZ89" s="108">
        <f t="shared" si="50"/>
        <v>40.824999999999996</v>
      </c>
      <c r="BA89" s="108">
        <f t="shared" si="51"/>
        <v>67.872</v>
      </c>
    </row>
    <row r="90" spans="2:53" x14ac:dyDescent="0.25">
      <c r="B90" s="32" t="s">
        <v>96</v>
      </c>
      <c r="C90" s="82">
        <v>63.6</v>
      </c>
      <c r="D90" s="82">
        <v>64.099999999999994</v>
      </c>
      <c r="E90" s="82">
        <v>62.5</v>
      </c>
      <c r="H90" s="32" t="s">
        <v>96</v>
      </c>
      <c r="I90" s="82">
        <v>0.5</v>
      </c>
      <c r="J90" s="82">
        <v>0.47</v>
      </c>
      <c r="K90" s="82">
        <v>0.47</v>
      </c>
      <c r="N90" s="32" t="s">
        <v>96</v>
      </c>
      <c r="O90" s="81">
        <f t="shared" si="52"/>
        <v>31.8</v>
      </c>
      <c r="P90" s="81">
        <f t="shared" si="46"/>
        <v>30.126999999999992</v>
      </c>
      <c r="Q90" s="81">
        <f t="shared" si="47"/>
        <v>29.375</v>
      </c>
      <c r="T90" s="92"/>
      <c r="U90" s="79"/>
      <c r="V90" s="79"/>
      <c r="W90" s="79"/>
      <c r="X90" s="86"/>
      <c r="Y90" s="86"/>
      <c r="Z90" s="92"/>
      <c r="AA90" s="94"/>
      <c r="AB90" s="94"/>
      <c r="AC90" s="94"/>
      <c r="AF90" s="32" t="s">
        <v>96</v>
      </c>
      <c r="AG90" s="106">
        <v>0.17799999999999999</v>
      </c>
      <c r="AH90" s="106">
        <v>0.18299999999999997</v>
      </c>
      <c r="AI90" s="106">
        <v>0.17499999999999999</v>
      </c>
      <c r="AJ90" s="24"/>
      <c r="AK90" s="24"/>
      <c r="AL90" s="32" t="s">
        <v>96</v>
      </c>
      <c r="AM90" s="81">
        <f t="shared" si="53"/>
        <v>11.3208</v>
      </c>
      <c r="AN90" s="81">
        <f t="shared" si="48"/>
        <v>11.730299999999996</v>
      </c>
      <c r="AO90" s="81">
        <f t="shared" si="49"/>
        <v>10.9375</v>
      </c>
      <c r="AR90" s="32" t="s">
        <v>96</v>
      </c>
      <c r="AS90" s="81">
        <v>1.61</v>
      </c>
      <c r="AT90" s="81">
        <v>1.6600000000000001</v>
      </c>
      <c r="AU90" s="81">
        <v>1.54</v>
      </c>
      <c r="AV90" s="24"/>
      <c r="AW90" s="24"/>
      <c r="AX90" s="32" t="s">
        <v>96</v>
      </c>
      <c r="AY90" s="108">
        <f t="shared" si="54"/>
        <v>102.39600000000002</v>
      </c>
      <c r="AZ90" s="108">
        <f t="shared" si="50"/>
        <v>106.40600000000001</v>
      </c>
      <c r="BA90" s="108">
        <f t="shared" si="51"/>
        <v>96.25</v>
      </c>
    </row>
    <row r="91" spans="2:53" x14ac:dyDescent="0.25">
      <c r="B91" s="32" t="s">
        <v>97</v>
      </c>
      <c r="C91" s="82">
        <v>71.5</v>
      </c>
      <c r="D91" s="82">
        <v>62.5</v>
      </c>
      <c r="E91" s="82">
        <v>69.8</v>
      </c>
      <c r="H91" s="32" t="s">
        <v>97</v>
      </c>
      <c r="I91" s="82">
        <v>0.55000000000000004</v>
      </c>
      <c r="J91" s="82">
        <v>0.54</v>
      </c>
      <c r="K91" s="82">
        <v>0.53</v>
      </c>
      <c r="N91" s="32" t="s">
        <v>97</v>
      </c>
      <c r="O91" s="81">
        <f t="shared" si="52"/>
        <v>39.325000000000003</v>
      </c>
      <c r="P91" s="81">
        <f t="shared" si="46"/>
        <v>33.75</v>
      </c>
      <c r="Q91" s="81">
        <f t="shared" si="47"/>
        <v>36.994</v>
      </c>
      <c r="T91" s="92"/>
      <c r="U91" s="79"/>
      <c r="V91" s="79"/>
      <c r="W91" s="79"/>
      <c r="X91" s="86"/>
      <c r="Y91" s="86"/>
      <c r="Z91" s="92"/>
      <c r="AA91" s="94"/>
      <c r="AB91" s="94"/>
      <c r="AC91" s="94"/>
      <c r="AF91" s="32" t="s">
        <v>97</v>
      </c>
      <c r="AG91" s="106">
        <v>0.184</v>
      </c>
      <c r="AH91" s="106">
        <v>0.17299999999999999</v>
      </c>
      <c r="AI91" s="106">
        <v>0.19500000000000001</v>
      </c>
      <c r="AJ91" s="24"/>
      <c r="AK91" s="24"/>
      <c r="AL91" s="32" t="s">
        <v>97</v>
      </c>
      <c r="AM91" s="81">
        <f t="shared" si="53"/>
        <v>13.156000000000001</v>
      </c>
      <c r="AN91" s="81">
        <f t="shared" si="48"/>
        <v>10.8125</v>
      </c>
      <c r="AO91" s="81">
        <f t="shared" si="49"/>
        <v>13.611000000000001</v>
      </c>
      <c r="AR91" s="32" t="s">
        <v>97</v>
      </c>
      <c r="AS91" s="81">
        <v>1.72</v>
      </c>
      <c r="AT91" s="81">
        <v>1.6500000000000001</v>
      </c>
      <c r="AU91" s="81">
        <v>1.6</v>
      </c>
      <c r="AV91" s="24"/>
      <c r="AW91" s="24"/>
      <c r="AX91" s="32" t="s">
        <v>97</v>
      </c>
      <c r="AY91" s="108">
        <f t="shared" si="54"/>
        <v>122.98</v>
      </c>
      <c r="AZ91" s="108">
        <f t="shared" si="50"/>
        <v>103.12500000000001</v>
      </c>
      <c r="BA91" s="108">
        <f t="shared" si="51"/>
        <v>111.68</v>
      </c>
    </row>
    <row r="92" spans="2:53" x14ac:dyDescent="0.25">
      <c r="B92" s="32" t="s">
        <v>98</v>
      </c>
      <c r="C92" s="82">
        <v>61.5</v>
      </c>
      <c r="D92" s="82">
        <v>58.5</v>
      </c>
      <c r="E92" s="82">
        <v>62.5</v>
      </c>
      <c r="H92" s="32" t="s">
        <v>98</v>
      </c>
      <c r="I92" s="82">
        <v>0.44</v>
      </c>
      <c r="J92" s="82">
        <v>0.37</v>
      </c>
      <c r="K92" s="82">
        <v>0.43</v>
      </c>
      <c r="N92" s="32" t="s">
        <v>98</v>
      </c>
      <c r="O92" s="81">
        <f t="shared" si="52"/>
        <v>27.060000000000002</v>
      </c>
      <c r="P92" s="81">
        <f t="shared" si="46"/>
        <v>21.645</v>
      </c>
      <c r="Q92" s="81">
        <f t="shared" si="47"/>
        <v>26.875</v>
      </c>
      <c r="T92" s="92"/>
      <c r="U92" s="79"/>
      <c r="V92" s="79"/>
      <c r="W92" s="79"/>
      <c r="X92" s="86"/>
      <c r="Y92" s="86"/>
      <c r="Z92" s="92"/>
      <c r="AA92" s="94"/>
      <c r="AB92" s="94"/>
      <c r="AC92" s="94"/>
      <c r="AF92" s="32" t="s">
        <v>98</v>
      </c>
      <c r="AG92" s="106">
        <v>0.17299999999999999</v>
      </c>
      <c r="AH92" s="106">
        <v>0.18</v>
      </c>
      <c r="AI92" s="106">
        <v>0.18299999999999997</v>
      </c>
      <c r="AJ92" s="24"/>
      <c r="AK92" s="24"/>
      <c r="AL92" s="32" t="s">
        <v>98</v>
      </c>
      <c r="AM92" s="81">
        <f t="shared" si="53"/>
        <v>10.6395</v>
      </c>
      <c r="AN92" s="81">
        <f t="shared" si="48"/>
        <v>10.53</v>
      </c>
      <c r="AO92" s="81">
        <f t="shared" si="49"/>
        <v>11.437499999999998</v>
      </c>
      <c r="AR92" s="32" t="s">
        <v>98</v>
      </c>
      <c r="AS92" s="81">
        <v>1.61</v>
      </c>
      <c r="AT92" s="81">
        <v>1.56</v>
      </c>
      <c r="AU92" s="81">
        <v>1.54</v>
      </c>
      <c r="AV92" s="24"/>
      <c r="AW92" s="24"/>
      <c r="AX92" s="32" t="s">
        <v>98</v>
      </c>
      <c r="AY92" s="108">
        <f t="shared" si="54"/>
        <v>99.015000000000001</v>
      </c>
      <c r="AZ92" s="108">
        <f t="shared" si="50"/>
        <v>91.26</v>
      </c>
      <c r="BA92" s="108">
        <f t="shared" si="51"/>
        <v>96.25</v>
      </c>
    </row>
    <row r="93" spans="2:53" x14ac:dyDescent="0.25">
      <c r="B93" s="32" t="s">
        <v>99</v>
      </c>
      <c r="C93" s="82">
        <v>63.6</v>
      </c>
      <c r="D93" s="82">
        <v>71.7</v>
      </c>
      <c r="E93" s="82">
        <v>67.900000000000006</v>
      </c>
      <c r="H93" s="32" t="s">
        <v>99</v>
      </c>
      <c r="I93" s="82">
        <v>0.4</v>
      </c>
      <c r="J93" s="82">
        <v>0.5</v>
      </c>
      <c r="K93" s="82">
        <v>0.53</v>
      </c>
      <c r="N93" s="32" t="s">
        <v>99</v>
      </c>
      <c r="O93" s="81">
        <f t="shared" si="52"/>
        <v>25.44</v>
      </c>
      <c r="P93" s="81">
        <f t="shared" si="46"/>
        <v>35.85</v>
      </c>
      <c r="Q93" s="81">
        <f t="shared" si="47"/>
        <v>35.987000000000002</v>
      </c>
      <c r="T93" s="92"/>
      <c r="U93" s="79"/>
      <c r="V93" s="79"/>
      <c r="W93" s="79"/>
      <c r="X93" s="86"/>
      <c r="Y93" s="86"/>
      <c r="Z93" s="92"/>
      <c r="AA93" s="94"/>
      <c r="AB93" s="94"/>
      <c r="AC93" s="94"/>
      <c r="AF93" s="32" t="s">
        <v>99</v>
      </c>
      <c r="AG93" s="106">
        <v>0.185</v>
      </c>
      <c r="AH93" s="106">
        <v>0.17699999999999999</v>
      </c>
      <c r="AI93" s="106">
        <v>0.18973199999999993</v>
      </c>
      <c r="AJ93" s="24"/>
      <c r="AK93" s="24"/>
      <c r="AL93" s="32" t="s">
        <v>99</v>
      </c>
      <c r="AM93" s="81">
        <f t="shared" si="53"/>
        <v>11.766</v>
      </c>
      <c r="AN93" s="81">
        <f t="shared" si="48"/>
        <v>12.690899999999999</v>
      </c>
      <c r="AO93" s="81">
        <f t="shared" si="49"/>
        <v>12.882802799999997</v>
      </c>
      <c r="AR93" s="32" t="s">
        <v>99</v>
      </c>
      <c r="AS93" s="81">
        <v>1.7</v>
      </c>
      <c r="AT93" s="81">
        <v>1.59</v>
      </c>
      <c r="AU93" s="81">
        <v>1.62</v>
      </c>
      <c r="AV93" s="24"/>
      <c r="AW93" s="24"/>
      <c r="AX93" s="32" t="s">
        <v>99</v>
      </c>
      <c r="AY93" s="108">
        <f t="shared" si="54"/>
        <v>108.12</v>
      </c>
      <c r="AZ93" s="108">
        <f t="shared" si="50"/>
        <v>114.00300000000001</v>
      </c>
      <c r="BA93" s="108">
        <f t="shared" si="51"/>
        <v>109.99800000000002</v>
      </c>
    </row>
    <row r="94" spans="2:53" x14ac:dyDescent="0.25">
      <c r="B94" s="32" t="s">
        <v>100</v>
      </c>
      <c r="C94" s="82">
        <v>72.599999999999994</v>
      </c>
      <c r="D94" s="82">
        <v>75.2</v>
      </c>
      <c r="E94" s="82">
        <v>68.599999999999994</v>
      </c>
      <c r="H94" s="32" t="s">
        <v>100</v>
      </c>
      <c r="I94" s="82">
        <v>0.6</v>
      </c>
      <c r="J94" s="82">
        <v>0.56000000000000005</v>
      </c>
      <c r="K94" s="82">
        <v>0.63</v>
      </c>
      <c r="N94" s="32" t="s">
        <v>100</v>
      </c>
      <c r="O94" s="81">
        <f t="shared" si="52"/>
        <v>43.559999999999995</v>
      </c>
      <c r="P94" s="81">
        <f t="shared" si="46"/>
        <v>42.112000000000009</v>
      </c>
      <c r="Q94" s="81">
        <f t="shared" si="47"/>
        <v>43.217999999999996</v>
      </c>
      <c r="T94" s="92"/>
      <c r="U94" s="79"/>
      <c r="V94" s="79"/>
      <c r="W94" s="79"/>
      <c r="X94" s="86"/>
      <c r="Y94" s="86"/>
      <c r="Z94" s="92"/>
      <c r="AA94" s="94"/>
      <c r="AB94" s="94"/>
      <c r="AC94" s="94"/>
      <c r="AF94" s="32" t="s">
        <v>100</v>
      </c>
      <c r="AG94" s="106">
        <v>0.20299999999999999</v>
      </c>
      <c r="AH94" s="106">
        <v>0.18275599999999995</v>
      </c>
      <c r="AI94" s="106">
        <v>0.23300000000000001</v>
      </c>
      <c r="AJ94" s="24"/>
      <c r="AK94" s="24"/>
      <c r="AL94" s="32" t="s">
        <v>100</v>
      </c>
      <c r="AM94" s="81">
        <f t="shared" si="53"/>
        <v>14.737799999999998</v>
      </c>
      <c r="AN94" s="81">
        <f t="shared" si="48"/>
        <v>13.743251199999996</v>
      </c>
      <c r="AO94" s="81">
        <f t="shared" si="49"/>
        <v>15.983799999999999</v>
      </c>
      <c r="AR94" s="32" t="s">
        <v>100</v>
      </c>
      <c r="AS94" s="81">
        <v>1.82</v>
      </c>
      <c r="AT94" s="81">
        <v>1.54</v>
      </c>
      <c r="AU94" s="81">
        <v>1.68</v>
      </c>
      <c r="AV94" s="24"/>
      <c r="AW94" s="24"/>
      <c r="AX94" s="32" t="s">
        <v>100</v>
      </c>
      <c r="AY94" s="108">
        <f t="shared" si="54"/>
        <v>132.13200000000001</v>
      </c>
      <c r="AZ94" s="108">
        <f t="shared" si="50"/>
        <v>115.80800000000001</v>
      </c>
      <c r="BA94" s="108">
        <f t="shared" si="51"/>
        <v>115.24799999999999</v>
      </c>
    </row>
    <row r="95" spans="2:53" x14ac:dyDescent="0.25">
      <c r="B95" s="32" t="s">
        <v>101</v>
      </c>
      <c r="C95" s="82">
        <v>63.2</v>
      </c>
      <c r="D95" s="82">
        <v>65.5</v>
      </c>
      <c r="E95" s="82">
        <v>60.900000000000006</v>
      </c>
      <c r="H95" s="32" t="s">
        <v>101</v>
      </c>
      <c r="I95" s="82">
        <v>0.46</v>
      </c>
      <c r="J95" s="82">
        <v>0.37</v>
      </c>
      <c r="K95" s="82">
        <v>0.46</v>
      </c>
      <c r="N95" s="32" t="s">
        <v>101</v>
      </c>
      <c r="O95" s="81">
        <f t="shared" si="52"/>
        <v>29.072000000000003</v>
      </c>
      <c r="P95" s="81">
        <f t="shared" si="46"/>
        <v>24.234999999999999</v>
      </c>
      <c r="Q95" s="81">
        <f t="shared" si="47"/>
        <v>28.014000000000006</v>
      </c>
      <c r="T95" s="92"/>
      <c r="U95" s="79"/>
      <c r="V95" s="79"/>
      <c r="W95" s="79"/>
      <c r="X95" s="86"/>
      <c r="Y95" s="86"/>
      <c r="Z95" s="92"/>
      <c r="AA95" s="94"/>
      <c r="AB95" s="94"/>
      <c r="AC95" s="94"/>
      <c r="AF95" s="32" t="s">
        <v>101</v>
      </c>
      <c r="AG95" s="106">
        <v>0.17299999999999996</v>
      </c>
      <c r="AH95" s="106">
        <v>0.16299999999999995</v>
      </c>
      <c r="AI95" s="106">
        <v>0.223</v>
      </c>
      <c r="AJ95" s="24"/>
      <c r="AK95" s="24"/>
      <c r="AL95" s="32" t="s">
        <v>101</v>
      </c>
      <c r="AM95" s="81">
        <f t="shared" si="53"/>
        <v>10.933599999999998</v>
      </c>
      <c r="AN95" s="81">
        <f t="shared" si="48"/>
        <v>10.676499999999997</v>
      </c>
      <c r="AO95" s="81">
        <f t="shared" si="49"/>
        <v>13.580700000000002</v>
      </c>
      <c r="AR95" s="32" t="s">
        <v>101</v>
      </c>
      <c r="AS95" s="81">
        <v>1.62</v>
      </c>
      <c r="AT95" s="81">
        <v>1.6</v>
      </c>
      <c r="AU95" s="81">
        <v>1.54</v>
      </c>
      <c r="AV95" s="24"/>
      <c r="AW95" s="24"/>
      <c r="AX95" s="32" t="s">
        <v>101</v>
      </c>
      <c r="AY95" s="108">
        <f t="shared" si="54"/>
        <v>102.38400000000001</v>
      </c>
      <c r="AZ95" s="108">
        <f t="shared" si="50"/>
        <v>104.80000000000001</v>
      </c>
      <c r="BA95" s="108">
        <f t="shared" si="51"/>
        <v>93.786000000000016</v>
      </c>
    </row>
    <row r="96" spans="2:53" x14ac:dyDescent="0.25">
      <c r="B96" s="32" t="s">
        <v>102</v>
      </c>
      <c r="C96" s="82">
        <v>62.8</v>
      </c>
      <c r="D96" s="82">
        <v>70.900000000000006</v>
      </c>
      <c r="E96" s="82">
        <v>67.099999999999994</v>
      </c>
      <c r="H96" s="32" t="s">
        <v>102</v>
      </c>
      <c r="I96" s="82">
        <v>0.46</v>
      </c>
      <c r="J96" s="82">
        <v>0.5</v>
      </c>
      <c r="K96" s="82">
        <v>0.48</v>
      </c>
      <c r="N96" s="32" t="s">
        <v>102</v>
      </c>
      <c r="O96" s="81">
        <f t="shared" si="52"/>
        <v>28.888000000000002</v>
      </c>
      <c r="P96" s="81">
        <f t="shared" si="46"/>
        <v>35.450000000000003</v>
      </c>
      <c r="Q96" s="81">
        <f t="shared" si="47"/>
        <v>32.207999999999998</v>
      </c>
      <c r="T96" s="92"/>
      <c r="U96" s="79"/>
      <c r="V96" s="79"/>
      <c r="W96" s="79"/>
      <c r="X96" s="86"/>
      <c r="Y96" s="86"/>
      <c r="Z96" s="92"/>
      <c r="AA96" s="94"/>
      <c r="AB96" s="94"/>
      <c r="AC96" s="94"/>
      <c r="AF96" s="32" t="s">
        <v>102</v>
      </c>
      <c r="AG96" s="106">
        <v>0.16299999999999995</v>
      </c>
      <c r="AH96" s="106">
        <v>0.18299999999999997</v>
      </c>
      <c r="AI96" s="106">
        <v>0.17299999999999996</v>
      </c>
      <c r="AJ96" s="24"/>
      <c r="AK96" s="24"/>
      <c r="AL96" s="32" t="s">
        <v>102</v>
      </c>
      <c r="AM96" s="81">
        <f t="shared" si="53"/>
        <v>10.236399999999996</v>
      </c>
      <c r="AN96" s="81">
        <f t="shared" si="48"/>
        <v>12.974699999999999</v>
      </c>
      <c r="AO96" s="81">
        <f t="shared" si="49"/>
        <v>11.608299999999996</v>
      </c>
      <c r="AR96" s="32" t="s">
        <v>102</v>
      </c>
      <c r="AS96" s="81">
        <v>1.59</v>
      </c>
      <c r="AT96" s="81">
        <v>1.63</v>
      </c>
      <c r="AU96" s="81">
        <v>1.59</v>
      </c>
      <c r="AV96" s="24"/>
      <c r="AW96" s="24"/>
      <c r="AX96" s="32" t="s">
        <v>102</v>
      </c>
      <c r="AY96" s="108">
        <f t="shared" si="54"/>
        <v>99.852000000000004</v>
      </c>
      <c r="AZ96" s="108">
        <f t="shared" si="50"/>
        <v>115.56700000000001</v>
      </c>
      <c r="BA96" s="108">
        <f t="shared" si="51"/>
        <v>106.68899999999999</v>
      </c>
    </row>
    <row r="97" spans="2:53" x14ac:dyDescent="0.25">
      <c r="B97" s="32" t="s">
        <v>103</v>
      </c>
      <c r="C97" s="82">
        <v>66.5</v>
      </c>
      <c r="D97" s="82">
        <v>59.8</v>
      </c>
      <c r="E97" s="82">
        <v>51.4</v>
      </c>
      <c r="H97" s="32" t="s">
        <v>103</v>
      </c>
      <c r="I97" s="82">
        <v>0.41</v>
      </c>
      <c r="J97" s="82">
        <v>0.45</v>
      </c>
      <c r="K97" s="82">
        <v>0.36</v>
      </c>
      <c r="N97" s="32" t="s">
        <v>103</v>
      </c>
      <c r="O97" s="81">
        <f t="shared" si="52"/>
        <v>27.264999999999993</v>
      </c>
      <c r="P97" s="81">
        <f t="shared" si="46"/>
        <v>26.91</v>
      </c>
      <c r="Q97" s="81">
        <f t="shared" si="47"/>
        <v>18.503999999999998</v>
      </c>
      <c r="T97" s="92"/>
      <c r="U97" s="79"/>
      <c r="V97" s="79"/>
      <c r="W97" s="79"/>
      <c r="X97" s="86"/>
      <c r="Y97" s="86"/>
      <c r="Z97" s="92"/>
      <c r="AA97" s="94"/>
      <c r="AB97" s="94"/>
      <c r="AC97" s="94"/>
      <c r="AF97" s="32" t="s">
        <v>103</v>
      </c>
      <c r="AG97" s="106">
        <v>0.16299999999999995</v>
      </c>
      <c r="AH97" s="106">
        <v>0.14299999999999999</v>
      </c>
      <c r="AI97" s="106">
        <v>0.153</v>
      </c>
      <c r="AJ97" s="24"/>
      <c r="AK97" s="24"/>
      <c r="AL97" s="32" t="s">
        <v>103</v>
      </c>
      <c r="AM97" s="81">
        <f t="shared" si="53"/>
        <v>10.839499999999997</v>
      </c>
      <c r="AN97" s="81">
        <f t="shared" si="48"/>
        <v>8.5513999999999992</v>
      </c>
      <c r="AO97" s="81">
        <f t="shared" si="49"/>
        <v>7.8641999999999994</v>
      </c>
      <c r="AR97" s="32" t="s">
        <v>103</v>
      </c>
      <c r="AS97" s="81">
        <v>1.53</v>
      </c>
      <c r="AT97" s="81">
        <v>1.52</v>
      </c>
      <c r="AU97" s="81">
        <v>1.51</v>
      </c>
      <c r="AV97" s="24"/>
      <c r="AW97" s="24"/>
      <c r="AX97" s="32" t="s">
        <v>103</v>
      </c>
      <c r="AY97" s="108">
        <f t="shared" si="54"/>
        <v>101.745</v>
      </c>
      <c r="AZ97" s="108">
        <f t="shared" si="50"/>
        <v>90.896000000000001</v>
      </c>
      <c r="BA97" s="108">
        <f t="shared" si="51"/>
        <v>77.614000000000004</v>
      </c>
    </row>
    <row r="98" spans="2:53" x14ac:dyDescent="0.25">
      <c r="AR98" s="24"/>
      <c r="AS98" s="24"/>
      <c r="AT98" s="24"/>
      <c r="AU98" s="24"/>
      <c r="AV98" s="24"/>
      <c r="AW98" s="24"/>
      <c r="AX98" s="24"/>
      <c r="AY98" s="24"/>
      <c r="AZ98" s="24"/>
      <c r="BA98" s="24"/>
    </row>
    <row r="99" spans="2:53" x14ac:dyDescent="0.25">
      <c r="AR99" s="24"/>
      <c r="AS99" s="24"/>
      <c r="AT99" s="24"/>
      <c r="AU99" s="24"/>
      <c r="AV99" s="24"/>
      <c r="AW99" s="24"/>
      <c r="AX99" s="24"/>
      <c r="AY99" s="24"/>
      <c r="AZ99" s="24"/>
      <c r="BA99" s="24"/>
    </row>
    <row r="101" spans="2:53" x14ac:dyDescent="0.25">
      <c r="B101" s="118"/>
      <c r="C101" s="118" t="s">
        <v>151</v>
      </c>
    </row>
    <row r="102" spans="2:53" x14ac:dyDescent="0.25">
      <c r="B102" s="32" t="s">
        <v>140</v>
      </c>
      <c r="C102" s="81">
        <v>0</v>
      </c>
    </row>
    <row r="103" spans="2:53" x14ac:dyDescent="0.25">
      <c r="B103" s="32" t="s">
        <v>141</v>
      </c>
      <c r="C103" s="81">
        <v>150</v>
      </c>
    </row>
    <row r="104" spans="2:53" x14ac:dyDescent="0.25">
      <c r="B104" s="32" t="s">
        <v>142</v>
      </c>
      <c r="C104" s="81">
        <v>187.5</v>
      </c>
    </row>
    <row r="105" spans="2:53" x14ac:dyDescent="0.25">
      <c r="B105" s="32" t="s">
        <v>143</v>
      </c>
      <c r="C105" s="81">
        <v>71.599999999999994</v>
      </c>
    </row>
    <row r="106" spans="2:53" x14ac:dyDescent="0.25">
      <c r="B106" s="32" t="s">
        <v>144</v>
      </c>
      <c r="C106" s="81">
        <f>150+E106</f>
        <v>172.67500000000001</v>
      </c>
      <c r="D106" s="119" t="s">
        <v>149</v>
      </c>
      <c r="E106" s="119">
        <f>((5*907)*0.5)/100</f>
        <v>22.675000000000001</v>
      </c>
      <c r="F106">
        <f>((30*907)*0.5)/100</f>
        <v>136.05000000000001</v>
      </c>
    </row>
    <row r="107" spans="2:53" x14ac:dyDescent="0.25">
      <c r="B107" s="32" t="s">
        <v>145</v>
      </c>
      <c r="C107" s="81">
        <f>150+E106+20</f>
        <v>192.67500000000001</v>
      </c>
      <c r="D107" s="119" t="s">
        <v>150</v>
      </c>
      <c r="E107">
        <v>20</v>
      </c>
    </row>
    <row r="108" spans="2:53" x14ac:dyDescent="0.25">
      <c r="B108" s="32" t="s">
        <v>146</v>
      </c>
      <c r="C108" s="81">
        <f>112.5+E106</f>
        <v>135.17500000000001</v>
      </c>
    </row>
    <row r="109" spans="2:53" x14ac:dyDescent="0.25">
      <c r="B109" s="32" t="s">
        <v>147</v>
      </c>
      <c r="C109" s="81">
        <f>112.5+E106+20</f>
        <v>155.17500000000001</v>
      </c>
    </row>
    <row r="110" spans="2:53" x14ac:dyDescent="0.25">
      <c r="B110" s="32" t="s">
        <v>148</v>
      </c>
      <c r="C110" s="81">
        <f>F106+20</f>
        <v>156.05000000000001</v>
      </c>
    </row>
    <row r="111" spans="2:53" s="130" customFormat="1" x14ac:dyDescent="0.25"/>
    <row r="112" spans="2:53" s="130" customFormat="1" x14ac:dyDescent="0.25"/>
    <row r="113" spans="2:17" x14ac:dyDescent="0.25">
      <c r="B113" s="71"/>
      <c r="C113" s="24"/>
      <c r="D113" s="66">
        <v>2019</v>
      </c>
      <c r="E113" s="73"/>
      <c r="N113" s="71"/>
      <c r="O113" s="24"/>
      <c r="P113" s="66">
        <v>2019</v>
      </c>
      <c r="Q113" s="73"/>
    </row>
    <row r="114" spans="2:17" ht="15.75" x14ac:dyDescent="0.25">
      <c r="B114" s="71"/>
      <c r="C114" s="24"/>
      <c r="D114" s="56" t="s">
        <v>126</v>
      </c>
      <c r="E114" s="73"/>
      <c r="I114" s="125" t="s">
        <v>151</v>
      </c>
      <c r="N114" s="71"/>
      <c r="O114" s="24"/>
      <c r="P114" s="56" t="s">
        <v>157</v>
      </c>
      <c r="Q114" s="73"/>
    </row>
    <row r="115" spans="2:17" x14ac:dyDescent="0.25">
      <c r="B115" s="71"/>
      <c r="C115" s="24"/>
      <c r="D115" s="24"/>
      <c r="E115" s="73"/>
      <c r="N115" s="71"/>
      <c r="O115" s="24"/>
      <c r="P115" s="24"/>
      <c r="Q115" s="73"/>
    </row>
    <row r="116" spans="2:17" x14ac:dyDescent="0.25">
      <c r="B116" s="46" t="s">
        <v>0</v>
      </c>
      <c r="C116" s="30" t="s">
        <v>1</v>
      </c>
      <c r="D116" s="30" t="s">
        <v>2</v>
      </c>
      <c r="E116" s="30" t="s">
        <v>3</v>
      </c>
      <c r="H116" s="46" t="s">
        <v>0</v>
      </c>
      <c r="I116" s="30" t="s">
        <v>1</v>
      </c>
      <c r="J116" s="30" t="s">
        <v>2</v>
      </c>
      <c r="K116" s="30" t="s">
        <v>3</v>
      </c>
      <c r="N116" s="46" t="s">
        <v>0</v>
      </c>
      <c r="O116" s="30" t="s">
        <v>1</v>
      </c>
      <c r="P116" s="30" t="s">
        <v>2</v>
      </c>
      <c r="Q116" s="30" t="s">
        <v>3</v>
      </c>
    </row>
    <row r="117" spans="2:17" x14ac:dyDescent="0.25">
      <c r="B117" s="32" t="s">
        <v>86</v>
      </c>
      <c r="C117" s="126">
        <f>C8*100</f>
        <v>2650</v>
      </c>
      <c r="D117" s="126">
        <f t="shared" ref="D117:E117" si="55">D8*100</f>
        <v>2360</v>
      </c>
      <c r="E117" s="126">
        <f t="shared" si="55"/>
        <v>2156</v>
      </c>
      <c r="H117" s="32" t="s">
        <v>86</v>
      </c>
      <c r="I117" s="81">
        <v>0</v>
      </c>
      <c r="J117" s="81">
        <v>0</v>
      </c>
      <c r="K117" s="81">
        <v>0</v>
      </c>
      <c r="N117" s="32" t="s">
        <v>86</v>
      </c>
      <c r="O117" s="126">
        <v>0</v>
      </c>
      <c r="P117" s="126">
        <v>0</v>
      </c>
      <c r="Q117" s="126">
        <v>0</v>
      </c>
    </row>
    <row r="118" spans="2:17" x14ac:dyDescent="0.25">
      <c r="B118" s="32" t="s">
        <v>87</v>
      </c>
      <c r="C118" s="126">
        <f t="shared" ref="C118:E118" si="56">C9*100</f>
        <v>3890</v>
      </c>
      <c r="D118" s="126">
        <f t="shared" si="56"/>
        <v>4220</v>
      </c>
      <c r="E118" s="126">
        <f t="shared" si="56"/>
        <v>4350</v>
      </c>
      <c r="H118" s="32" t="s">
        <v>87</v>
      </c>
      <c r="I118" s="81">
        <v>150</v>
      </c>
      <c r="J118" s="81">
        <v>150</v>
      </c>
      <c r="K118" s="81">
        <v>150</v>
      </c>
      <c r="N118" s="32" t="s">
        <v>87</v>
      </c>
      <c r="O118" s="108">
        <f>(C118-C117)/I118</f>
        <v>8.2666666666666675</v>
      </c>
      <c r="P118" s="108">
        <f t="shared" ref="P118:Q118" si="57">(D118-D117)/J118</f>
        <v>12.4</v>
      </c>
      <c r="Q118" s="108">
        <f t="shared" si="57"/>
        <v>14.626666666666667</v>
      </c>
    </row>
    <row r="119" spans="2:17" x14ac:dyDescent="0.25">
      <c r="B119" s="32" t="s">
        <v>88</v>
      </c>
      <c r="C119" s="126">
        <f t="shared" ref="C119:E119" si="58">C10*100</f>
        <v>4860</v>
      </c>
      <c r="D119" s="126">
        <f t="shared" si="58"/>
        <v>4756</v>
      </c>
      <c r="E119" s="126">
        <f t="shared" si="58"/>
        <v>4580</v>
      </c>
      <c r="H119" s="32" t="s">
        <v>88</v>
      </c>
      <c r="I119" s="81">
        <v>187.5</v>
      </c>
      <c r="J119" s="81">
        <v>187.5</v>
      </c>
      <c r="K119" s="81">
        <v>187.5</v>
      </c>
      <c r="N119" s="32" t="s">
        <v>88</v>
      </c>
      <c r="O119" s="108">
        <f>(C119-C117)/I119</f>
        <v>11.786666666666667</v>
      </c>
      <c r="P119" s="108">
        <f t="shared" ref="P119" si="59">(D119-D118)/J119</f>
        <v>2.8586666666666667</v>
      </c>
      <c r="Q119" s="108">
        <f t="shared" ref="Q119" si="60">(E119-E118)/K119</f>
        <v>1.2266666666666666</v>
      </c>
    </row>
    <row r="120" spans="2:17" x14ac:dyDescent="0.25">
      <c r="B120" s="32" t="s">
        <v>89</v>
      </c>
      <c r="C120" s="126">
        <f t="shared" ref="C120:E120" si="61">C11*100</f>
        <v>3860</v>
      </c>
      <c r="D120" s="126">
        <f t="shared" si="61"/>
        <v>3779.9999999999995</v>
      </c>
      <c r="E120" s="126">
        <f t="shared" si="61"/>
        <v>3620.0000000000005</v>
      </c>
      <c r="H120" s="32" t="s">
        <v>89</v>
      </c>
      <c r="I120" s="81">
        <v>71.599999999999994</v>
      </c>
      <c r="J120" s="81">
        <v>71.599999999999994</v>
      </c>
      <c r="K120" s="81">
        <v>71.599999999999994</v>
      </c>
      <c r="N120" s="32" t="s">
        <v>89</v>
      </c>
      <c r="O120" s="108">
        <f>(C120-C117)/I120</f>
        <v>16.899441340782126</v>
      </c>
      <c r="P120" s="108">
        <f>(D120-D117)/J120</f>
        <v>19.832402234636866</v>
      </c>
      <c r="Q120" s="108">
        <f>(E120-E117)/K120</f>
        <v>20.446927374301683</v>
      </c>
    </row>
    <row r="121" spans="2:17" x14ac:dyDescent="0.25">
      <c r="B121" s="32" t="s">
        <v>90</v>
      </c>
      <c r="C121" s="126">
        <f t="shared" ref="C121:E121" si="62">C12*100</f>
        <v>4580</v>
      </c>
      <c r="D121" s="126">
        <f t="shared" si="62"/>
        <v>4760</v>
      </c>
      <c r="E121" s="126">
        <f t="shared" si="62"/>
        <v>4450</v>
      </c>
      <c r="H121" s="32" t="s">
        <v>90</v>
      </c>
      <c r="I121" s="81">
        <v>172.67500000000001</v>
      </c>
      <c r="J121" s="81">
        <v>172.67500000000001</v>
      </c>
      <c r="K121" s="81">
        <v>172.67500000000001</v>
      </c>
      <c r="N121" s="32" t="s">
        <v>90</v>
      </c>
      <c r="O121" s="108">
        <f>(C121-C117)/I121</f>
        <v>11.177066743883017</v>
      </c>
      <c r="P121" s="108">
        <f>(D121-D117)/J121</f>
        <v>13.898943101201679</v>
      </c>
      <c r="Q121" s="108">
        <f>(E121-E117)/K121</f>
        <v>13.285073114231938</v>
      </c>
    </row>
    <row r="122" spans="2:17" x14ac:dyDescent="0.25">
      <c r="B122" s="32" t="s">
        <v>91</v>
      </c>
      <c r="C122" s="126">
        <f t="shared" ref="C122:E122" si="63">C13*100</f>
        <v>5180</v>
      </c>
      <c r="D122" s="126">
        <f t="shared" si="63"/>
        <v>4980</v>
      </c>
      <c r="E122" s="126">
        <f t="shared" si="63"/>
        <v>4780</v>
      </c>
      <c r="H122" s="32" t="s">
        <v>91</v>
      </c>
      <c r="I122" s="81">
        <v>192.67500000000001</v>
      </c>
      <c r="J122" s="81">
        <v>192.67500000000001</v>
      </c>
      <c r="K122" s="81">
        <v>192.67500000000001</v>
      </c>
      <c r="N122" s="32" t="s">
        <v>91</v>
      </c>
      <c r="O122" s="108">
        <f>(C122-C117)/I122</f>
        <v>13.130919942909044</v>
      </c>
      <c r="P122" s="108">
        <f>(D122-D117)/J122</f>
        <v>13.598027766965096</v>
      </c>
      <c r="Q122" s="108">
        <f>(E122-E117)/K122</f>
        <v>13.618788114700921</v>
      </c>
    </row>
    <row r="123" spans="2:17" x14ac:dyDescent="0.25">
      <c r="B123" s="32" t="s">
        <v>92</v>
      </c>
      <c r="C123" s="126">
        <f t="shared" ref="C123:E123" si="64">C14*100</f>
        <v>4020.0000000000005</v>
      </c>
      <c r="D123" s="126">
        <f t="shared" si="64"/>
        <v>3950</v>
      </c>
      <c r="E123" s="126">
        <f t="shared" si="64"/>
        <v>3890</v>
      </c>
      <c r="H123" s="32" t="s">
        <v>92</v>
      </c>
      <c r="I123" s="81">
        <v>135.17500000000001</v>
      </c>
      <c r="J123" s="81">
        <v>135.17500000000001</v>
      </c>
      <c r="K123" s="81">
        <v>135.17500000000001</v>
      </c>
      <c r="N123" s="32" t="s">
        <v>92</v>
      </c>
      <c r="O123" s="108">
        <f>(C123-C117)/I123</f>
        <v>10.135010171999262</v>
      </c>
      <c r="P123" s="108">
        <f>(D123-D117)/J123</f>
        <v>11.762530053634176</v>
      </c>
      <c r="Q123" s="108">
        <f>(E123-E117)/K123</f>
        <v>12.827815794340669</v>
      </c>
    </row>
    <row r="124" spans="2:17" x14ac:dyDescent="0.25">
      <c r="B124" s="32" t="s">
        <v>93</v>
      </c>
      <c r="C124" s="126">
        <f t="shared" ref="C124:E124" si="65">C15*100</f>
        <v>4350</v>
      </c>
      <c r="D124" s="126">
        <f t="shared" si="65"/>
        <v>4250</v>
      </c>
      <c r="E124" s="126">
        <f t="shared" si="65"/>
        <v>4190</v>
      </c>
      <c r="H124" s="32" t="s">
        <v>93</v>
      </c>
      <c r="I124" s="81">
        <v>155.17500000000001</v>
      </c>
      <c r="J124" s="81">
        <v>155.17500000000001</v>
      </c>
      <c r="K124" s="81">
        <v>155.17500000000001</v>
      </c>
      <c r="N124" s="32" t="s">
        <v>93</v>
      </c>
      <c r="O124" s="108">
        <f>(C124-C117)/I124</f>
        <v>10.955372966006122</v>
      </c>
      <c r="P124" s="108">
        <f>(D124-D117)/J124</f>
        <v>12.179797003383277</v>
      </c>
      <c r="Q124" s="108">
        <f>(E124-E117)/K124</f>
        <v>13.107781536974382</v>
      </c>
    </row>
    <row r="125" spans="2:17" x14ac:dyDescent="0.25">
      <c r="B125" s="32" t="s">
        <v>94</v>
      </c>
      <c r="C125" s="126">
        <f t="shared" ref="C125:E125" si="66">C16*100</f>
        <v>3650</v>
      </c>
      <c r="D125" s="126">
        <f t="shared" si="66"/>
        <v>3570.0000000000005</v>
      </c>
      <c r="E125" s="126">
        <f t="shared" si="66"/>
        <v>3479.9999999999995</v>
      </c>
      <c r="H125" s="32" t="s">
        <v>94</v>
      </c>
      <c r="I125" s="81">
        <v>156.05000000000001</v>
      </c>
      <c r="J125" s="81">
        <v>156.05000000000001</v>
      </c>
      <c r="K125" s="81">
        <v>156.05000000000001</v>
      </c>
      <c r="N125" s="32" t="s">
        <v>94</v>
      </c>
      <c r="O125" s="108">
        <f>(C125-C117)/I125</f>
        <v>6.4082024991989739</v>
      </c>
      <c r="P125" s="108">
        <f>(D125-D117)/J125</f>
        <v>7.753925024030762</v>
      </c>
      <c r="Q125" s="108">
        <f>(E125-E117)/K125</f>
        <v>8.4844601089394391</v>
      </c>
    </row>
    <row r="126" spans="2:17" x14ac:dyDescent="0.25">
      <c r="B126" s="32" t="s">
        <v>95</v>
      </c>
      <c r="C126" s="126">
        <f t="shared" ref="C126:E126" si="67">C17*100</f>
        <v>2650</v>
      </c>
      <c r="D126" s="126">
        <f t="shared" si="67"/>
        <v>1560</v>
      </c>
      <c r="E126" s="126">
        <f t="shared" si="67"/>
        <v>2260</v>
      </c>
      <c r="H126" s="32" t="s">
        <v>95</v>
      </c>
      <c r="I126" s="81">
        <v>0</v>
      </c>
      <c r="J126" s="81">
        <v>0</v>
      </c>
      <c r="K126" s="81">
        <v>0</v>
      </c>
      <c r="N126" s="32" t="s">
        <v>95</v>
      </c>
      <c r="O126" s="126">
        <v>0</v>
      </c>
      <c r="P126" s="126">
        <v>0</v>
      </c>
      <c r="Q126" s="126">
        <v>0</v>
      </c>
    </row>
    <row r="127" spans="2:17" x14ac:dyDescent="0.25">
      <c r="B127" s="32" t="s">
        <v>96</v>
      </c>
      <c r="C127" s="126">
        <f t="shared" ref="C127:E127" si="68">C18*100</f>
        <v>3850</v>
      </c>
      <c r="D127" s="126">
        <f t="shared" si="68"/>
        <v>3640</v>
      </c>
      <c r="E127" s="126">
        <f t="shared" si="68"/>
        <v>3779.9999999999995</v>
      </c>
      <c r="H127" s="32" t="s">
        <v>96</v>
      </c>
      <c r="I127" s="81">
        <v>150</v>
      </c>
      <c r="J127" s="81">
        <v>150</v>
      </c>
      <c r="K127" s="81">
        <v>150</v>
      </c>
      <c r="N127" s="32" t="s">
        <v>96</v>
      </c>
      <c r="O127" s="108">
        <f>(C127-C126)/I127</f>
        <v>8</v>
      </c>
      <c r="P127" s="108">
        <f t="shared" ref="P127:P128" si="69">(D127-D126)/J127</f>
        <v>13.866666666666667</v>
      </c>
      <c r="Q127" s="108">
        <f t="shared" ref="Q127:Q128" si="70">(E127-E126)/K127</f>
        <v>10.133333333333331</v>
      </c>
    </row>
    <row r="128" spans="2:17" x14ac:dyDescent="0.25">
      <c r="B128" s="32" t="s">
        <v>97</v>
      </c>
      <c r="C128" s="126">
        <f t="shared" ref="C128:E128" si="71">C19*100</f>
        <v>4780</v>
      </c>
      <c r="D128" s="126">
        <f t="shared" si="71"/>
        <v>4680</v>
      </c>
      <c r="E128" s="126">
        <f t="shared" si="71"/>
        <v>4480</v>
      </c>
      <c r="H128" s="32" t="s">
        <v>97</v>
      </c>
      <c r="I128" s="81">
        <v>187.5</v>
      </c>
      <c r="J128" s="81">
        <v>187.5</v>
      </c>
      <c r="K128" s="81">
        <v>187.5</v>
      </c>
      <c r="N128" s="32" t="s">
        <v>97</v>
      </c>
      <c r="O128" s="108">
        <f>(C128-C126)/I128</f>
        <v>11.36</v>
      </c>
      <c r="P128" s="108">
        <f t="shared" si="69"/>
        <v>5.5466666666666669</v>
      </c>
      <c r="Q128" s="108">
        <f t="shared" si="70"/>
        <v>3.7333333333333356</v>
      </c>
    </row>
    <row r="129" spans="1:17" x14ac:dyDescent="0.25">
      <c r="B129" s="32" t="s">
        <v>98</v>
      </c>
      <c r="C129" s="126">
        <f t="shared" ref="C129:E129" si="72">C20*100</f>
        <v>3679.9999999999995</v>
      </c>
      <c r="D129" s="126">
        <f t="shared" si="72"/>
        <v>3590</v>
      </c>
      <c r="E129" s="126">
        <f t="shared" si="72"/>
        <v>3979.9999999999995</v>
      </c>
      <c r="H129" s="32" t="s">
        <v>98</v>
      </c>
      <c r="I129" s="81">
        <v>71.599999999999994</v>
      </c>
      <c r="J129" s="81">
        <v>71.599999999999994</v>
      </c>
      <c r="K129" s="81">
        <v>71.599999999999994</v>
      </c>
      <c r="N129" s="32" t="s">
        <v>98</v>
      </c>
      <c r="O129" s="108">
        <f>(C129-C126)/I129</f>
        <v>14.38547486033519</v>
      </c>
      <c r="P129" s="108">
        <f>(D129-D126)/J129</f>
        <v>28.351955307262571</v>
      </c>
      <c r="Q129" s="108">
        <f>(E129-E126)/K129</f>
        <v>24.02234636871508</v>
      </c>
    </row>
    <row r="130" spans="1:17" x14ac:dyDescent="0.25">
      <c r="B130" s="32" t="s">
        <v>99</v>
      </c>
      <c r="C130" s="126">
        <f t="shared" ref="C130:E130" si="73">C21*100</f>
        <v>3650</v>
      </c>
      <c r="D130" s="126">
        <f t="shared" si="73"/>
        <v>4560</v>
      </c>
      <c r="E130" s="126">
        <f t="shared" si="73"/>
        <v>4250</v>
      </c>
      <c r="H130" s="32" t="s">
        <v>99</v>
      </c>
      <c r="I130" s="81">
        <v>172.67500000000001</v>
      </c>
      <c r="J130" s="81">
        <v>172.67500000000001</v>
      </c>
      <c r="K130" s="81">
        <v>172.67500000000001</v>
      </c>
      <c r="N130" s="32" t="s">
        <v>99</v>
      </c>
      <c r="O130" s="108">
        <f>(C130-C126)/I130</f>
        <v>5.7912262921673658</v>
      </c>
      <c r="P130" s="108">
        <f>(D130-D126)/J130</f>
        <v>17.373678876502098</v>
      </c>
      <c r="Q130" s="108">
        <f>(E130-E126)/K130</f>
        <v>11.524540321413058</v>
      </c>
    </row>
    <row r="131" spans="1:17" x14ac:dyDescent="0.25">
      <c r="B131" s="32" t="s">
        <v>100</v>
      </c>
      <c r="C131" s="126">
        <f t="shared" ref="C131:E131" si="74">C22*100</f>
        <v>4680</v>
      </c>
      <c r="D131" s="126">
        <f t="shared" si="74"/>
        <v>5080</v>
      </c>
      <c r="E131" s="126">
        <f t="shared" si="74"/>
        <v>4720</v>
      </c>
      <c r="H131" s="32" t="s">
        <v>100</v>
      </c>
      <c r="I131" s="81">
        <v>192.67500000000001</v>
      </c>
      <c r="J131" s="81">
        <v>192.67500000000001</v>
      </c>
      <c r="K131" s="81">
        <v>192.67500000000001</v>
      </c>
      <c r="N131" s="32" t="s">
        <v>100</v>
      </c>
      <c r="O131" s="108">
        <f>(C131-C126)/I131</f>
        <v>10.535876475930971</v>
      </c>
      <c r="P131" s="108">
        <f>(D131-D126)/J131</f>
        <v>18.269106007525625</v>
      </c>
      <c r="Q131" s="108">
        <f>(E131-E126)/K131</f>
        <v>12.767613857532114</v>
      </c>
    </row>
    <row r="132" spans="1:17" x14ac:dyDescent="0.25">
      <c r="B132" s="32" t="s">
        <v>101</v>
      </c>
      <c r="C132" s="126">
        <f t="shared" ref="C132:E132" si="75">C23*100</f>
        <v>3790</v>
      </c>
      <c r="D132" s="126">
        <f t="shared" si="75"/>
        <v>3779.9999999999995</v>
      </c>
      <c r="E132" s="126">
        <f t="shared" si="75"/>
        <v>3679.9999999999995</v>
      </c>
      <c r="H132" s="32" t="s">
        <v>101</v>
      </c>
      <c r="I132" s="81">
        <v>135.17500000000001</v>
      </c>
      <c r="J132" s="81">
        <v>135.17500000000001</v>
      </c>
      <c r="K132" s="81">
        <v>135.17500000000001</v>
      </c>
      <c r="N132" s="32" t="s">
        <v>101</v>
      </c>
      <c r="O132" s="108">
        <f>(C132-C126)/I132</f>
        <v>8.4335121139263904</v>
      </c>
      <c r="P132" s="108">
        <f>(D132-D126)/J132</f>
        <v>16.423155169225073</v>
      </c>
      <c r="Q132" s="108">
        <f>(E132-E126)/K132</f>
        <v>10.504901054189011</v>
      </c>
    </row>
    <row r="133" spans="1:17" x14ac:dyDescent="0.25">
      <c r="B133" s="32" t="s">
        <v>102</v>
      </c>
      <c r="C133" s="126">
        <f t="shared" ref="C133:E133" si="76">C24*100</f>
        <v>4090</v>
      </c>
      <c r="D133" s="126">
        <f t="shared" si="76"/>
        <v>4180</v>
      </c>
      <c r="E133" s="126">
        <f t="shared" si="76"/>
        <v>4320</v>
      </c>
      <c r="H133" s="32" t="s">
        <v>102</v>
      </c>
      <c r="I133" s="81">
        <v>155.17500000000001</v>
      </c>
      <c r="J133" s="81">
        <v>155.17500000000001</v>
      </c>
      <c r="K133" s="81">
        <v>155.17500000000001</v>
      </c>
      <c r="N133" s="32" t="s">
        <v>102</v>
      </c>
      <c r="O133" s="108">
        <f>(C133-C126)/I133</f>
        <v>9.2798453359110677</v>
      </c>
      <c r="P133" s="108">
        <f>(D133-D126)/J133</f>
        <v>16.884163041727081</v>
      </c>
      <c r="Q133" s="108">
        <f>(E133-E126)/K133</f>
        <v>13.275334299983887</v>
      </c>
    </row>
    <row r="134" spans="1:17" x14ac:dyDescent="0.25">
      <c r="B134" s="32" t="s">
        <v>103</v>
      </c>
      <c r="C134" s="126">
        <f t="shared" ref="C134:E134" si="77">C25*100</f>
        <v>3479.9999999999995</v>
      </c>
      <c r="D134" s="126">
        <f t="shared" si="77"/>
        <v>3760</v>
      </c>
      <c r="E134" s="126">
        <f t="shared" si="77"/>
        <v>3520.0000000000005</v>
      </c>
      <c r="H134" s="32" t="s">
        <v>103</v>
      </c>
      <c r="I134" s="81">
        <v>156.05000000000001</v>
      </c>
      <c r="J134" s="81">
        <v>156.05000000000001</v>
      </c>
      <c r="K134" s="81">
        <v>156.05000000000001</v>
      </c>
      <c r="N134" s="32" t="s">
        <v>103</v>
      </c>
      <c r="O134" s="108">
        <f>(C134-C126)/I134</f>
        <v>5.3188080743351458</v>
      </c>
      <c r="P134" s="108">
        <f>(D134-D126)/J134</f>
        <v>14.098045498237743</v>
      </c>
      <c r="Q134" s="108">
        <f>(E134-E126)/K134</f>
        <v>8.0743351489907109</v>
      </c>
    </row>
    <row r="137" spans="1:17" x14ac:dyDescent="0.25">
      <c r="A137" s="24"/>
      <c r="B137" s="71"/>
      <c r="C137" s="24"/>
      <c r="D137" s="66">
        <v>2020</v>
      </c>
      <c r="E137" s="73"/>
      <c r="F137" s="24"/>
      <c r="G137" s="24"/>
      <c r="H137" s="24"/>
      <c r="I137" s="24"/>
      <c r="J137" s="24"/>
      <c r="K137" s="24"/>
      <c r="L137" s="24"/>
      <c r="M137" s="24"/>
      <c r="N137" s="71"/>
      <c r="O137" s="24"/>
      <c r="P137" s="66">
        <v>2020</v>
      </c>
      <c r="Q137" s="73"/>
    </row>
    <row r="138" spans="1:17" ht="15.75" x14ac:dyDescent="0.25">
      <c r="A138" s="24"/>
      <c r="B138" s="71"/>
      <c r="C138" s="24"/>
      <c r="D138" s="56" t="s">
        <v>126</v>
      </c>
      <c r="E138" s="73"/>
      <c r="F138" s="24"/>
      <c r="G138" s="24"/>
      <c r="H138" s="24"/>
      <c r="I138" s="125" t="s">
        <v>151</v>
      </c>
      <c r="J138" s="24"/>
      <c r="K138" s="24"/>
      <c r="L138" s="24"/>
      <c r="M138" s="24"/>
      <c r="N138" s="71"/>
      <c r="O138" s="24"/>
      <c r="P138" s="56" t="s">
        <v>157</v>
      </c>
      <c r="Q138" s="73"/>
    </row>
    <row r="139" spans="1:17" x14ac:dyDescent="0.25">
      <c r="A139" s="24"/>
      <c r="B139" s="71"/>
      <c r="C139" s="24"/>
      <c r="D139" s="24"/>
      <c r="E139" s="73"/>
      <c r="F139" s="24"/>
      <c r="G139" s="24"/>
      <c r="H139" s="24"/>
      <c r="I139" s="24"/>
      <c r="J139" s="24"/>
      <c r="K139" s="24"/>
      <c r="L139" s="24"/>
      <c r="M139" s="24"/>
      <c r="N139" s="71"/>
      <c r="O139" s="24"/>
      <c r="P139" s="24"/>
      <c r="Q139" s="73"/>
    </row>
    <row r="140" spans="1:17" x14ac:dyDescent="0.25">
      <c r="A140" s="24"/>
      <c r="B140" s="46" t="s">
        <v>0</v>
      </c>
      <c r="C140" s="30" t="s">
        <v>1</v>
      </c>
      <c r="D140" s="30" t="s">
        <v>2</v>
      </c>
      <c r="E140" s="30" t="s">
        <v>3</v>
      </c>
      <c r="F140" s="24"/>
      <c r="G140" s="24"/>
      <c r="H140" s="46" t="s">
        <v>0</v>
      </c>
      <c r="I140" s="30" t="s">
        <v>1</v>
      </c>
      <c r="J140" s="30" t="s">
        <v>2</v>
      </c>
      <c r="K140" s="30" t="s">
        <v>3</v>
      </c>
      <c r="L140" s="24"/>
      <c r="M140" s="24"/>
      <c r="N140" s="46" t="s">
        <v>0</v>
      </c>
      <c r="O140" s="30" t="s">
        <v>1</v>
      </c>
      <c r="P140" s="30" t="s">
        <v>2</v>
      </c>
      <c r="Q140" s="30" t="s">
        <v>3</v>
      </c>
    </row>
    <row r="141" spans="1:17" x14ac:dyDescent="0.25">
      <c r="A141" s="24"/>
      <c r="B141" s="32" t="s">
        <v>86</v>
      </c>
      <c r="C141" s="126">
        <f>C56*100</f>
        <v>2650</v>
      </c>
      <c r="D141" s="126">
        <f t="shared" ref="D141:E141" si="78">D56*100</f>
        <v>2180</v>
      </c>
      <c r="E141" s="126">
        <f t="shared" si="78"/>
        <v>2356</v>
      </c>
      <c r="F141" s="24"/>
      <c r="G141" s="24"/>
      <c r="H141" s="32" t="s">
        <v>86</v>
      </c>
      <c r="I141" s="81">
        <v>0</v>
      </c>
      <c r="J141" s="81">
        <v>0</v>
      </c>
      <c r="K141" s="81">
        <v>0</v>
      </c>
      <c r="L141" s="24"/>
      <c r="M141" s="24"/>
      <c r="N141" s="32" t="s">
        <v>86</v>
      </c>
      <c r="O141" s="126">
        <v>0</v>
      </c>
      <c r="P141" s="126">
        <v>0</v>
      </c>
      <c r="Q141" s="126">
        <v>0</v>
      </c>
    </row>
    <row r="142" spans="1:17" x14ac:dyDescent="0.25">
      <c r="A142" s="24"/>
      <c r="B142" s="32" t="s">
        <v>87</v>
      </c>
      <c r="C142" s="126">
        <f t="shared" ref="C142:E142" si="79">C57*100</f>
        <v>3956</v>
      </c>
      <c r="D142" s="126">
        <f t="shared" si="79"/>
        <v>4360</v>
      </c>
      <c r="E142" s="126">
        <f t="shared" si="79"/>
        <v>4450</v>
      </c>
      <c r="F142" s="24"/>
      <c r="G142" s="24"/>
      <c r="H142" s="32" t="s">
        <v>87</v>
      </c>
      <c r="I142" s="81">
        <v>150</v>
      </c>
      <c r="J142" s="81">
        <v>150</v>
      </c>
      <c r="K142" s="81">
        <v>150</v>
      </c>
      <c r="L142" s="24"/>
      <c r="M142" s="24"/>
      <c r="N142" s="32" t="s">
        <v>87</v>
      </c>
      <c r="O142" s="108">
        <f>(C142-C141)/I142</f>
        <v>8.706666666666667</v>
      </c>
      <c r="P142" s="108">
        <f t="shared" ref="P142:P143" si="80">(D142-D141)/J142</f>
        <v>14.533333333333333</v>
      </c>
      <c r="Q142" s="108">
        <f t="shared" ref="Q142:Q143" si="81">(E142-E141)/K142</f>
        <v>13.96</v>
      </c>
    </row>
    <row r="143" spans="1:17" x14ac:dyDescent="0.25">
      <c r="A143" s="24"/>
      <c r="B143" s="32" t="s">
        <v>88</v>
      </c>
      <c r="C143" s="126">
        <f t="shared" ref="C143:E143" si="82">C58*100</f>
        <v>4950</v>
      </c>
      <c r="D143" s="126">
        <f t="shared" si="82"/>
        <v>4860</v>
      </c>
      <c r="E143" s="126">
        <f t="shared" si="82"/>
        <v>4650</v>
      </c>
      <c r="F143" s="24"/>
      <c r="G143" s="24"/>
      <c r="H143" s="32" t="s">
        <v>88</v>
      </c>
      <c r="I143" s="81">
        <v>187.5</v>
      </c>
      <c r="J143" s="81">
        <v>187.5</v>
      </c>
      <c r="K143" s="81">
        <v>187.5</v>
      </c>
      <c r="L143" s="24"/>
      <c r="M143" s="24"/>
      <c r="N143" s="32" t="s">
        <v>88</v>
      </c>
      <c r="O143" s="108">
        <f>(C143-C141)/I143</f>
        <v>12.266666666666667</v>
      </c>
      <c r="P143" s="108">
        <f t="shared" si="80"/>
        <v>2.6666666666666665</v>
      </c>
      <c r="Q143" s="108">
        <f t="shared" si="81"/>
        <v>1.0666666666666667</v>
      </c>
    </row>
    <row r="144" spans="1:17" x14ac:dyDescent="0.25">
      <c r="A144" s="24"/>
      <c r="B144" s="32" t="s">
        <v>89</v>
      </c>
      <c r="C144" s="126">
        <f t="shared" ref="C144:E144" si="83">C59*100</f>
        <v>3960</v>
      </c>
      <c r="D144" s="126">
        <f t="shared" si="83"/>
        <v>3890</v>
      </c>
      <c r="E144" s="126">
        <f t="shared" si="83"/>
        <v>3679.9999999999995</v>
      </c>
      <c r="F144" s="24"/>
      <c r="G144" s="24"/>
      <c r="H144" s="32" t="s">
        <v>89</v>
      </c>
      <c r="I144" s="81">
        <v>71.599999999999994</v>
      </c>
      <c r="J144" s="81">
        <v>71.599999999999994</v>
      </c>
      <c r="K144" s="81">
        <v>71.599999999999994</v>
      </c>
      <c r="L144" s="24"/>
      <c r="M144" s="24"/>
      <c r="N144" s="32" t="s">
        <v>89</v>
      </c>
      <c r="O144" s="108">
        <f>(C144-C141)/I144</f>
        <v>18.296089385474861</v>
      </c>
      <c r="P144" s="108">
        <f>(D144-D141)/J144</f>
        <v>23.882681564245811</v>
      </c>
      <c r="Q144" s="108">
        <f>(E144-E141)/K144</f>
        <v>18.491620111731837</v>
      </c>
    </row>
    <row r="145" spans="1:17" x14ac:dyDescent="0.25">
      <c r="A145" s="24"/>
      <c r="B145" s="32" t="s">
        <v>90</v>
      </c>
      <c r="C145" s="126">
        <f t="shared" ref="C145:E145" si="84">C60*100</f>
        <v>4650</v>
      </c>
      <c r="D145" s="126">
        <f t="shared" si="84"/>
        <v>4890</v>
      </c>
      <c r="E145" s="126">
        <f t="shared" si="84"/>
        <v>4560</v>
      </c>
      <c r="F145" s="24"/>
      <c r="G145" s="24"/>
      <c r="H145" s="32" t="s">
        <v>90</v>
      </c>
      <c r="I145" s="81">
        <v>172.67500000000001</v>
      </c>
      <c r="J145" s="81">
        <v>172.67500000000001</v>
      </c>
      <c r="K145" s="81">
        <v>172.67500000000001</v>
      </c>
      <c r="L145" s="24"/>
      <c r="M145" s="24"/>
      <c r="N145" s="32" t="s">
        <v>90</v>
      </c>
      <c r="O145" s="108">
        <f>(C145-C141)/I145</f>
        <v>11.582452584334732</v>
      </c>
      <c r="P145" s="108">
        <f>(D145-D141)/J145</f>
        <v>15.694223251773561</v>
      </c>
      <c r="Q145" s="108">
        <f>(E145-E141)/K145</f>
        <v>12.763862747936875</v>
      </c>
    </row>
    <row r="146" spans="1:17" x14ac:dyDescent="0.25">
      <c r="A146" s="24"/>
      <c r="B146" s="32" t="s">
        <v>91</v>
      </c>
      <c r="C146" s="126">
        <f t="shared" ref="C146:E146" si="85">C61*100</f>
        <v>5260</v>
      </c>
      <c r="D146" s="126">
        <f t="shared" si="85"/>
        <v>5080</v>
      </c>
      <c r="E146" s="126">
        <f t="shared" si="85"/>
        <v>4890</v>
      </c>
      <c r="F146" s="24"/>
      <c r="G146" s="24"/>
      <c r="H146" s="32" t="s">
        <v>91</v>
      </c>
      <c r="I146" s="81">
        <v>192.67500000000001</v>
      </c>
      <c r="J146" s="81">
        <v>192.67500000000001</v>
      </c>
      <c r="K146" s="81">
        <v>192.67500000000001</v>
      </c>
      <c r="L146" s="24"/>
      <c r="M146" s="24"/>
      <c r="N146" s="32" t="s">
        <v>91</v>
      </c>
      <c r="O146" s="108">
        <f>(C146-C141)/I146</f>
        <v>13.546126897625534</v>
      </c>
      <c r="P146" s="108">
        <f>(D146-D141)/J146</f>
        <v>15.051252108472816</v>
      </c>
      <c r="Q146" s="108">
        <f>(E146-E141)/K146</f>
        <v>13.151680290644867</v>
      </c>
    </row>
    <row r="147" spans="1:17" x14ac:dyDescent="0.25">
      <c r="A147" s="24"/>
      <c r="B147" s="32" t="s">
        <v>92</v>
      </c>
      <c r="C147" s="126">
        <f t="shared" ref="C147:E147" si="86">C62*100</f>
        <v>3979.9999999999995</v>
      </c>
      <c r="D147" s="126">
        <f t="shared" si="86"/>
        <v>3940</v>
      </c>
      <c r="E147" s="126">
        <f t="shared" si="86"/>
        <v>4079.9999999999995</v>
      </c>
      <c r="F147" s="24"/>
      <c r="G147" s="24"/>
      <c r="H147" s="32" t="s">
        <v>92</v>
      </c>
      <c r="I147" s="81">
        <v>135.17500000000001</v>
      </c>
      <c r="J147" s="81">
        <v>135.17500000000001</v>
      </c>
      <c r="K147" s="81">
        <v>135.17500000000001</v>
      </c>
      <c r="L147" s="24"/>
      <c r="M147" s="24"/>
      <c r="N147" s="32" t="s">
        <v>92</v>
      </c>
      <c r="O147" s="108">
        <f>(C147-C141)/I147</f>
        <v>9.839097466247452</v>
      </c>
      <c r="P147" s="108">
        <f>(D147-D141)/J147</f>
        <v>13.02015905307934</v>
      </c>
      <c r="Q147" s="108">
        <f>(E147-E141)/K147</f>
        <v>12.753837617902715</v>
      </c>
    </row>
    <row r="148" spans="1:17" x14ac:dyDescent="0.25">
      <c r="A148" s="24"/>
      <c r="B148" s="32" t="s">
        <v>93</v>
      </c>
      <c r="C148" s="126">
        <f t="shared" ref="C148:E148" si="87">C63*100</f>
        <v>4460</v>
      </c>
      <c r="D148" s="126">
        <f t="shared" si="87"/>
        <v>4380</v>
      </c>
      <c r="E148" s="126">
        <f t="shared" si="87"/>
        <v>4280</v>
      </c>
      <c r="F148" s="24"/>
      <c r="G148" s="24"/>
      <c r="H148" s="32" t="s">
        <v>93</v>
      </c>
      <c r="I148" s="81">
        <v>155.17500000000001</v>
      </c>
      <c r="J148" s="81">
        <v>155.17500000000001</v>
      </c>
      <c r="K148" s="81">
        <v>155.17500000000001</v>
      </c>
      <c r="L148" s="24"/>
      <c r="M148" s="24"/>
      <c r="N148" s="32" t="s">
        <v>93</v>
      </c>
      <c r="O148" s="108">
        <f>(C148-C141)/I148</f>
        <v>11.664250040277105</v>
      </c>
      <c r="P148" s="108">
        <f>(D148-D141)/J148</f>
        <v>14.177541485419686</v>
      </c>
      <c r="Q148" s="108">
        <f>(E148-E141)/K148</f>
        <v>12.398904462703399</v>
      </c>
    </row>
    <row r="149" spans="1:17" x14ac:dyDescent="0.25">
      <c r="A149" s="24"/>
      <c r="B149" s="32" t="s">
        <v>94</v>
      </c>
      <c r="C149" s="126">
        <f t="shared" ref="C149:E149" si="88">C64*100</f>
        <v>3950</v>
      </c>
      <c r="D149" s="126">
        <f t="shared" si="88"/>
        <v>3679.9999999999995</v>
      </c>
      <c r="E149" s="126">
        <f t="shared" si="88"/>
        <v>3450</v>
      </c>
      <c r="F149" s="24"/>
      <c r="G149" s="24"/>
      <c r="H149" s="32" t="s">
        <v>94</v>
      </c>
      <c r="I149" s="81">
        <v>156.05000000000001</v>
      </c>
      <c r="J149" s="81">
        <v>156.05000000000001</v>
      </c>
      <c r="K149" s="81">
        <v>156.05000000000001</v>
      </c>
      <c r="L149" s="24"/>
      <c r="M149" s="24"/>
      <c r="N149" s="32" t="s">
        <v>94</v>
      </c>
      <c r="O149" s="108">
        <f>(C149-C141)/I149</f>
        <v>8.3306632489586665</v>
      </c>
      <c r="P149" s="108">
        <f>(D149-D141)/J149</f>
        <v>9.6123037487984586</v>
      </c>
      <c r="Q149" s="108">
        <f>(E149-E141)/K149</f>
        <v>7.0105735341236777</v>
      </c>
    </row>
    <row r="150" spans="1:17" x14ac:dyDescent="0.25">
      <c r="A150" s="24"/>
      <c r="B150" s="32" t="s">
        <v>95</v>
      </c>
      <c r="C150" s="126">
        <f t="shared" ref="C150:E150" si="89">C65*100</f>
        <v>2010.0000000000002</v>
      </c>
      <c r="D150" s="126">
        <f t="shared" si="89"/>
        <v>2260</v>
      </c>
      <c r="E150" s="126">
        <f t="shared" si="89"/>
        <v>2650</v>
      </c>
      <c r="F150" s="24"/>
      <c r="G150" s="24"/>
      <c r="H150" s="32" t="s">
        <v>95</v>
      </c>
      <c r="I150" s="81">
        <v>0</v>
      </c>
      <c r="J150" s="81">
        <v>0</v>
      </c>
      <c r="K150" s="81">
        <v>0</v>
      </c>
      <c r="L150" s="24"/>
      <c r="M150" s="24"/>
      <c r="N150" s="32" t="s">
        <v>95</v>
      </c>
      <c r="O150" s="126">
        <v>0</v>
      </c>
      <c r="P150" s="126">
        <v>0</v>
      </c>
      <c r="Q150" s="126">
        <v>0</v>
      </c>
    </row>
    <row r="151" spans="1:17" x14ac:dyDescent="0.25">
      <c r="A151" s="24"/>
      <c r="B151" s="32" t="s">
        <v>96</v>
      </c>
      <c r="C151" s="126">
        <f t="shared" ref="C151:E151" si="90">C66*100</f>
        <v>3979.9999999999995</v>
      </c>
      <c r="D151" s="126">
        <f t="shared" si="90"/>
        <v>3510</v>
      </c>
      <c r="E151" s="126">
        <f t="shared" si="90"/>
        <v>3950</v>
      </c>
      <c r="F151" s="24"/>
      <c r="G151" s="24"/>
      <c r="H151" s="32" t="s">
        <v>96</v>
      </c>
      <c r="I151" s="81">
        <v>150</v>
      </c>
      <c r="J151" s="81">
        <v>150</v>
      </c>
      <c r="K151" s="81">
        <v>150</v>
      </c>
      <c r="L151" s="24"/>
      <c r="M151" s="24"/>
      <c r="N151" s="32" t="s">
        <v>96</v>
      </c>
      <c r="O151" s="108">
        <f>(C151-C150)/I151</f>
        <v>13.133333333333329</v>
      </c>
      <c r="P151" s="108">
        <f t="shared" ref="P151:P152" si="91">(D151-D150)/J151</f>
        <v>8.3333333333333339</v>
      </c>
      <c r="Q151" s="108">
        <f t="shared" ref="Q151:Q152" si="92">(E151-E150)/K151</f>
        <v>8.6666666666666661</v>
      </c>
    </row>
    <row r="152" spans="1:17" x14ac:dyDescent="0.25">
      <c r="A152" s="24"/>
      <c r="B152" s="32" t="s">
        <v>97</v>
      </c>
      <c r="C152" s="126">
        <f t="shared" ref="C152:E152" si="93">C67*100</f>
        <v>4895</v>
      </c>
      <c r="D152" s="126">
        <f t="shared" si="93"/>
        <v>4950</v>
      </c>
      <c r="E152" s="126">
        <f t="shared" si="93"/>
        <v>4450</v>
      </c>
      <c r="F152" s="24"/>
      <c r="G152" s="24"/>
      <c r="H152" s="32" t="s">
        <v>97</v>
      </c>
      <c r="I152" s="81">
        <v>187.5</v>
      </c>
      <c r="J152" s="81">
        <v>187.5</v>
      </c>
      <c r="K152" s="81">
        <v>187.5</v>
      </c>
      <c r="L152" s="24"/>
      <c r="M152" s="24"/>
      <c r="N152" s="32" t="s">
        <v>97</v>
      </c>
      <c r="O152" s="108">
        <f>(C152-C150)/I152</f>
        <v>15.386666666666667</v>
      </c>
      <c r="P152" s="108">
        <f t="shared" si="91"/>
        <v>7.68</v>
      </c>
      <c r="Q152" s="108">
        <f t="shared" si="92"/>
        <v>2.6666666666666665</v>
      </c>
    </row>
    <row r="153" spans="1:17" x14ac:dyDescent="0.25">
      <c r="A153" s="24"/>
      <c r="B153" s="32" t="s">
        <v>98</v>
      </c>
      <c r="C153" s="126">
        <f t="shared" ref="C153:E153" si="94">C68*100</f>
        <v>3840</v>
      </c>
      <c r="D153" s="126">
        <f t="shared" si="94"/>
        <v>3779.9999999999995</v>
      </c>
      <c r="E153" s="126">
        <f t="shared" si="94"/>
        <v>3540</v>
      </c>
      <c r="F153" s="24"/>
      <c r="G153" s="24"/>
      <c r="H153" s="32" t="s">
        <v>98</v>
      </c>
      <c r="I153" s="81">
        <v>71.599999999999994</v>
      </c>
      <c r="J153" s="81">
        <v>71.599999999999994</v>
      </c>
      <c r="K153" s="81">
        <v>71.599999999999994</v>
      </c>
      <c r="L153" s="24"/>
      <c r="M153" s="24"/>
      <c r="N153" s="32" t="s">
        <v>98</v>
      </c>
      <c r="O153" s="108">
        <f>(C153-C150)/I153</f>
        <v>25.558659217877093</v>
      </c>
      <c r="P153" s="108">
        <f>(D153-D150)/J153</f>
        <v>21.229050279329606</v>
      </c>
      <c r="Q153" s="108">
        <f>(E153-E150)/K153</f>
        <v>12.430167597765363</v>
      </c>
    </row>
    <row r="154" spans="1:17" x14ac:dyDescent="0.25">
      <c r="A154" s="24"/>
      <c r="B154" s="32" t="s">
        <v>99</v>
      </c>
      <c r="C154" s="126">
        <f t="shared" ref="C154:E154" si="95">C69*100</f>
        <v>3750</v>
      </c>
      <c r="D154" s="126">
        <f t="shared" si="95"/>
        <v>4750</v>
      </c>
      <c r="E154" s="126">
        <f t="shared" si="95"/>
        <v>4350</v>
      </c>
      <c r="F154" s="24"/>
      <c r="G154" s="24"/>
      <c r="H154" s="32" t="s">
        <v>99</v>
      </c>
      <c r="I154" s="81">
        <v>172.67500000000001</v>
      </c>
      <c r="J154" s="81">
        <v>172.67500000000001</v>
      </c>
      <c r="K154" s="81">
        <v>172.67500000000001</v>
      </c>
      <c r="L154" s="24"/>
      <c r="M154" s="24"/>
      <c r="N154" s="32" t="s">
        <v>99</v>
      </c>
      <c r="O154" s="108">
        <f>(C154-C150)/I154</f>
        <v>10.076733748371216</v>
      </c>
      <c r="P154" s="108">
        <f>(D154-D150)/J154</f>
        <v>14.420153467496741</v>
      </c>
      <c r="Q154" s="108">
        <f>(E154-E150)/K154</f>
        <v>9.8450846966845216</v>
      </c>
    </row>
    <row r="155" spans="1:17" x14ac:dyDescent="0.25">
      <c r="A155" s="24"/>
      <c r="B155" s="32" t="s">
        <v>100</v>
      </c>
      <c r="C155" s="126">
        <f t="shared" ref="C155:E155" si="96">C70*100</f>
        <v>4750</v>
      </c>
      <c r="D155" s="126">
        <f t="shared" si="96"/>
        <v>5350</v>
      </c>
      <c r="E155" s="126">
        <f t="shared" si="96"/>
        <v>4780</v>
      </c>
      <c r="F155" s="24"/>
      <c r="G155" s="24"/>
      <c r="H155" s="32" t="s">
        <v>100</v>
      </c>
      <c r="I155" s="81">
        <v>192.67500000000001</v>
      </c>
      <c r="J155" s="81">
        <v>192.67500000000001</v>
      </c>
      <c r="K155" s="81">
        <v>192.67500000000001</v>
      </c>
      <c r="L155" s="24"/>
      <c r="M155" s="24"/>
      <c r="N155" s="32" t="s">
        <v>100</v>
      </c>
      <c r="O155" s="108">
        <f>(C155-C150)/I155</f>
        <v>14.220838199039832</v>
      </c>
      <c r="P155" s="108">
        <f>(D155-D150)/J155</f>
        <v>16.037368625924483</v>
      </c>
      <c r="Q155" s="108">
        <f>(E155-E150)/K155</f>
        <v>11.054885169326585</v>
      </c>
    </row>
    <row r="156" spans="1:17" x14ac:dyDescent="0.25">
      <c r="A156" s="24"/>
      <c r="B156" s="32" t="s">
        <v>101</v>
      </c>
      <c r="C156" s="126">
        <f t="shared" ref="C156:E156" si="97">C71*100</f>
        <v>4050</v>
      </c>
      <c r="D156" s="126">
        <f t="shared" si="97"/>
        <v>3579.9999999999995</v>
      </c>
      <c r="E156" s="126">
        <f t="shared" si="97"/>
        <v>4160</v>
      </c>
      <c r="F156" s="24"/>
      <c r="G156" s="24"/>
      <c r="H156" s="32" t="s">
        <v>101</v>
      </c>
      <c r="I156" s="81">
        <v>135.17500000000001</v>
      </c>
      <c r="J156" s="81">
        <v>135.17500000000001</v>
      </c>
      <c r="K156" s="81">
        <v>135.17500000000001</v>
      </c>
      <c r="L156" s="24"/>
      <c r="M156" s="24"/>
      <c r="N156" s="32" t="s">
        <v>101</v>
      </c>
      <c r="O156" s="108">
        <f>(C156-C150)/I156</f>
        <v>15.091547993341962</v>
      </c>
      <c r="P156" s="108">
        <f>(D156-D150)/J156</f>
        <v>9.7651192898095012</v>
      </c>
      <c r="Q156" s="108">
        <f>(E156-E150)/K156</f>
        <v>11.17070464213057</v>
      </c>
    </row>
    <row r="157" spans="1:17" x14ac:dyDescent="0.25">
      <c r="A157" s="24"/>
      <c r="B157" s="32" t="s">
        <v>102</v>
      </c>
      <c r="C157" s="126">
        <f t="shared" ref="C157:E157" si="98">C72*100</f>
        <v>4150</v>
      </c>
      <c r="D157" s="126">
        <f t="shared" si="98"/>
        <v>4260</v>
      </c>
      <c r="E157" s="126">
        <f t="shared" si="98"/>
        <v>4530</v>
      </c>
      <c r="F157" s="24"/>
      <c r="G157" s="24"/>
      <c r="H157" s="32" t="s">
        <v>102</v>
      </c>
      <c r="I157" s="81">
        <v>155.17500000000001</v>
      </c>
      <c r="J157" s="81">
        <v>155.17500000000001</v>
      </c>
      <c r="K157" s="81">
        <v>155.17500000000001</v>
      </c>
      <c r="L157" s="24"/>
      <c r="M157" s="24"/>
      <c r="N157" s="32" t="s">
        <v>102</v>
      </c>
      <c r="O157" s="108">
        <f>(C157-C150)/I157</f>
        <v>13.790881263090059</v>
      </c>
      <c r="P157" s="108">
        <f>(D157-D150)/J157</f>
        <v>12.88867407765426</v>
      </c>
      <c r="Q157" s="108">
        <f>(E157-E150)/K157</f>
        <v>12.115353632995005</v>
      </c>
    </row>
    <row r="158" spans="1:17" x14ac:dyDescent="0.25">
      <c r="A158" s="24"/>
      <c r="B158" s="32" t="s">
        <v>103</v>
      </c>
      <c r="C158" s="126">
        <f t="shared" ref="C158:E158" si="99">C73*100</f>
        <v>3560</v>
      </c>
      <c r="D158" s="126">
        <f t="shared" si="99"/>
        <v>3860</v>
      </c>
      <c r="E158" s="126">
        <f t="shared" si="99"/>
        <v>3450</v>
      </c>
      <c r="F158" s="24"/>
      <c r="G158" s="24"/>
      <c r="H158" s="32" t="s">
        <v>103</v>
      </c>
      <c r="I158" s="81">
        <v>156.05000000000001</v>
      </c>
      <c r="J158" s="81">
        <v>156.05000000000001</v>
      </c>
      <c r="K158" s="81">
        <v>156.05000000000001</v>
      </c>
      <c r="L158" s="24"/>
      <c r="M158" s="24"/>
      <c r="N158" s="32" t="s">
        <v>103</v>
      </c>
      <c r="O158" s="108">
        <f>(C158-C150)/I158</f>
        <v>9.9327138737584093</v>
      </c>
      <c r="P158" s="108">
        <f>(D158-D150)/J158</f>
        <v>10.253123998718358</v>
      </c>
      <c r="Q158" s="108">
        <f>(E158-E150)/K158</f>
        <v>5.1265619993591791</v>
      </c>
    </row>
    <row r="159" spans="1:17" s="131" customFormat="1" x14ac:dyDescent="0.25"/>
    <row r="160" spans="1:17" s="131" customFormat="1" x14ac:dyDescent="0.25"/>
    <row r="161" spans="2:17" x14ac:dyDescent="0.25">
      <c r="B161" s="71"/>
      <c r="C161" s="24"/>
      <c r="D161" s="66">
        <v>2019</v>
      </c>
      <c r="E161" s="73"/>
      <c r="F161" s="24"/>
      <c r="G161" s="24"/>
      <c r="H161" s="24"/>
      <c r="I161" s="24"/>
      <c r="J161" s="24"/>
      <c r="K161" s="24"/>
      <c r="L161" s="24"/>
      <c r="M161" s="24"/>
      <c r="N161" s="71"/>
      <c r="O161" s="24"/>
      <c r="P161" s="66">
        <v>2019</v>
      </c>
      <c r="Q161" s="73"/>
    </row>
    <row r="162" spans="2:17" ht="15.75" x14ac:dyDescent="0.25">
      <c r="B162" s="71"/>
      <c r="C162" s="24"/>
      <c r="D162" s="56" t="s">
        <v>126</v>
      </c>
      <c r="E162" s="73"/>
      <c r="F162" s="24"/>
      <c r="G162" s="24"/>
      <c r="H162" s="24"/>
      <c r="I162" s="125" t="s">
        <v>151</v>
      </c>
      <c r="J162" s="24"/>
      <c r="K162" s="24"/>
      <c r="L162" s="24"/>
      <c r="M162" s="24"/>
      <c r="N162" s="71"/>
      <c r="O162" s="24"/>
      <c r="P162" s="122" t="s">
        <v>158</v>
      </c>
      <c r="Q162" s="73"/>
    </row>
    <row r="163" spans="2:17" x14ac:dyDescent="0.25">
      <c r="B163" s="71"/>
      <c r="C163" s="24"/>
      <c r="D163" s="24"/>
      <c r="E163" s="73"/>
      <c r="F163" s="24"/>
      <c r="G163" s="24"/>
      <c r="H163" s="24"/>
      <c r="I163" s="24"/>
      <c r="J163" s="24"/>
      <c r="K163" s="24"/>
      <c r="L163" s="24"/>
      <c r="M163" s="24"/>
      <c r="N163" s="71"/>
      <c r="O163" s="24"/>
      <c r="P163" s="24"/>
      <c r="Q163" s="73"/>
    </row>
    <row r="164" spans="2:17" x14ac:dyDescent="0.25">
      <c r="B164" s="46" t="s">
        <v>0</v>
      </c>
      <c r="C164" s="30" t="s">
        <v>1</v>
      </c>
      <c r="D164" s="30" t="s">
        <v>2</v>
      </c>
      <c r="E164" s="30" t="s">
        <v>3</v>
      </c>
      <c r="F164" s="24"/>
      <c r="G164" s="24"/>
      <c r="H164" s="46" t="s">
        <v>0</v>
      </c>
      <c r="I164" s="30" t="s">
        <v>1</v>
      </c>
      <c r="J164" s="30" t="s">
        <v>2</v>
      </c>
      <c r="K164" s="30" t="s">
        <v>3</v>
      </c>
      <c r="L164" s="24"/>
      <c r="M164" s="24"/>
      <c r="N164" s="46" t="s">
        <v>0</v>
      </c>
      <c r="O164" s="30" t="s">
        <v>1</v>
      </c>
      <c r="P164" s="30" t="s">
        <v>2</v>
      </c>
      <c r="Q164" s="30" t="s">
        <v>3</v>
      </c>
    </row>
    <row r="165" spans="2:17" x14ac:dyDescent="0.25">
      <c r="B165" s="32" t="s">
        <v>86</v>
      </c>
      <c r="C165" s="126">
        <f>C117</f>
        <v>2650</v>
      </c>
      <c r="D165" s="126">
        <f t="shared" ref="D165:E165" si="100">D117</f>
        <v>2360</v>
      </c>
      <c r="E165" s="126">
        <f t="shared" si="100"/>
        <v>2156</v>
      </c>
      <c r="F165" s="24"/>
      <c r="G165" s="24"/>
      <c r="H165" s="32" t="s">
        <v>86</v>
      </c>
      <c r="I165" s="81">
        <v>0</v>
      </c>
      <c r="J165" s="81">
        <v>0</v>
      </c>
      <c r="K165" s="81">
        <v>0</v>
      </c>
      <c r="L165" s="24"/>
      <c r="M165" s="24"/>
      <c r="N165" s="32" t="s">
        <v>86</v>
      </c>
      <c r="O165" s="108">
        <v>0</v>
      </c>
      <c r="P165" s="108">
        <v>0</v>
      </c>
      <c r="Q165" s="108">
        <v>0</v>
      </c>
    </row>
    <row r="166" spans="2:17" x14ac:dyDescent="0.25">
      <c r="B166" s="32" t="s">
        <v>87</v>
      </c>
      <c r="C166" s="126">
        <f t="shared" ref="C166:E166" si="101">C118</f>
        <v>3890</v>
      </c>
      <c r="D166" s="126">
        <f t="shared" si="101"/>
        <v>4220</v>
      </c>
      <c r="E166" s="126">
        <f t="shared" si="101"/>
        <v>4350</v>
      </c>
      <c r="F166" s="24"/>
      <c r="G166" s="24"/>
      <c r="H166" s="32" t="s">
        <v>87</v>
      </c>
      <c r="I166" s="81">
        <v>150</v>
      </c>
      <c r="J166" s="81">
        <v>150</v>
      </c>
      <c r="K166" s="81">
        <v>150</v>
      </c>
      <c r="L166" s="24"/>
      <c r="M166" s="24"/>
      <c r="N166" s="32" t="s">
        <v>87</v>
      </c>
      <c r="O166" s="108">
        <f>C166/I166</f>
        <v>25.933333333333334</v>
      </c>
      <c r="P166" s="108">
        <f t="shared" ref="P166:P182" si="102">D166/J166</f>
        <v>28.133333333333333</v>
      </c>
      <c r="Q166" s="108">
        <f t="shared" ref="Q166:Q182" si="103">E166/K166</f>
        <v>29</v>
      </c>
    </row>
    <row r="167" spans="2:17" x14ac:dyDescent="0.25">
      <c r="B167" s="32" t="s">
        <v>88</v>
      </c>
      <c r="C167" s="126">
        <f t="shared" ref="C167:E167" si="104">C119</f>
        <v>4860</v>
      </c>
      <c r="D167" s="126">
        <f t="shared" si="104"/>
        <v>4756</v>
      </c>
      <c r="E167" s="126">
        <f t="shared" si="104"/>
        <v>4580</v>
      </c>
      <c r="F167" s="24"/>
      <c r="G167" s="24"/>
      <c r="H167" s="32" t="s">
        <v>88</v>
      </c>
      <c r="I167" s="81">
        <v>187.5</v>
      </c>
      <c r="J167" s="81">
        <v>187.5</v>
      </c>
      <c r="K167" s="81">
        <v>187.5</v>
      </c>
      <c r="L167" s="24"/>
      <c r="M167" s="24"/>
      <c r="N167" s="32" t="s">
        <v>88</v>
      </c>
      <c r="O167" s="108">
        <f t="shared" ref="O167:O182" si="105">C167/I167</f>
        <v>25.92</v>
      </c>
      <c r="P167" s="108">
        <f t="shared" si="102"/>
        <v>25.365333333333332</v>
      </c>
      <c r="Q167" s="108">
        <f t="shared" si="103"/>
        <v>24.426666666666666</v>
      </c>
    </row>
    <row r="168" spans="2:17" x14ac:dyDescent="0.25">
      <c r="B168" s="32" t="s">
        <v>89</v>
      </c>
      <c r="C168" s="126">
        <f t="shared" ref="C168:E168" si="106">C120</f>
        <v>3860</v>
      </c>
      <c r="D168" s="126">
        <f t="shared" si="106"/>
        <v>3779.9999999999995</v>
      </c>
      <c r="E168" s="126">
        <f t="shared" si="106"/>
        <v>3620.0000000000005</v>
      </c>
      <c r="F168" s="24"/>
      <c r="G168" s="24"/>
      <c r="H168" s="32" t="s">
        <v>89</v>
      </c>
      <c r="I168" s="81">
        <v>71.599999999999994</v>
      </c>
      <c r="J168" s="81">
        <v>71.599999999999994</v>
      </c>
      <c r="K168" s="81">
        <v>71.599999999999994</v>
      </c>
      <c r="L168" s="24"/>
      <c r="M168" s="24"/>
      <c r="N168" s="32" t="s">
        <v>89</v>
      </c>
      <c r="O168" s="108">
        <f>C168/I168</f>
        <v>53.910614525139671</v>
      </c>
      <c r="P168" s="108">
        <f t="shared" si="102"/>
        <v>52.793296089385471</v>
      </c>
      <c r="Q168" s="108">
        <f t="shared" si="103"/>
        <v>50.558659217877107</v>
      </c>
    </row>
    <row r="169" spans="2:17" x14ac:dyDescent="0.25">
      <c r="B169" s="32" t="s">
        <v>90</v>
      </c>
      <c r="C169" s="126">
        <f t="shared" ref="C169:E169" si="107">C121</f>
        <v>4580</v>
      </c>
      <c r="D169" s="126">
        <f t="shared" si="107"/>
        <v>4760</v>
      </c>
      <c r="E169" s="126">
        <f t="shared" si="107"/>
        <v>4450</v>
      </c>
      <c r="F169" s="24"/>
      <c r="G169" s="24"/>
      <c r="H169" s="32" t="s">
        <v>90</v>
      </c>
      <c r="I169" s="81">
        <v>172.67500000000001</v>
      </c>
      <c r="J169" s="81">
        <v>172.67500000000001</v>
      </c>
      <c r="K169" s="81">
        <v>172.67500000000001</v>
      </c>
      <c r="L169" s="24"/>
      <c r="M169" s="24"/>
      <c r="N169" s="32" t="s">
        <v>90</v>
      </c>
      <c r="O169" s="108">
        <f t="shared" si="105"/>
        <v>26.523816418126536</v>
      </c>
      <c r="P169" s="108">
        <f t="shared" si="102"/>
        <v>27.566237150716663</v>
      </c>
      <c r="Q169" s="108">
        <f t="shared" si="103"/>
        <v>25.770957000144779</v>
      </c>
    </row>
    <row r="170" spans="2:17" x14ac:dyDescent="0.25">
      <c r="B170" s="32" t="s">
        <v>91</v>
      </c>
      <c r="C170" s="126">
        <f t="shared" ref="C170:E170" si="108">C122</f>
        <v>5180</v>
      </c>
      <c r="D170" s="126">
        <f t="shared" si="108"/>
        <v>4980</v>
      </c>
      <c r="E170" s="126">
        <f t="shared" si="108"/>
        <v>4780</v>
      </c>
      <c r="F170" s="24"/>
      <c r="G170" s="24"/>
      <c r="H170" s="32" t="s">
        <v>91</v>
      </c>
      <c r="I170" s="81">
        <v>192.67500000000001</v>
      </c>
      <c r="J170" s="81">
        <v>192.67500000000001</v>
      </c>
      <c r="K170" s="81">
        <v>192.67500000000001</v>
      </c>
      <c r="L170" s="24"/>
      <c r="M170" s="24"/>
      <c r="N170" s="32" t="s">
        <v>91</v>
      </c>
      <c r="O170" s="108">
        <f t="shared" si="105"/>
        <v>26.884650317892824</v>
      </c>
      <c r="P170" s="108">
        <f t="shared" si="102"/>
        <v>25.846632931101595</v>
      </c>
      <c r="Q170" s="108">
        <f t="shared" si="103"/>
        <v>24.808615544310367</v>
      </c>
    </row>
    <row r="171" spans="2:17" x14ac:dyDescent="0.25">
      <c r="B171" s="32" t="s">
        <v>92</v>
      </c>
      <c r="C171" s="126">
        <f t="shared" ref="C171:E171" si="109">C123</f>
        <v>4020.0000000000005</v>
      </c>
      <c r="D171" s="126">
        <f t="shared" si="109"/>
        <v>3950</v>
      </c>
      <c r="E171" s="126">
        <f t="shared" si="109"/>
        <v>3890</v>
      </c>
      <c r="F171" s="24"/>
      <c r="G171" s="24"/>
      <c r="H171" s="32" t="s">
        <v>92</v>
      </c>
      <c r="I171" s="81">
        <v>135.17500000000001</v>
      </c>
      <c r="J171" s="81">
        <v>135.17500000000001</v>
      </c>
      <c r="K171" s="81">
        <v>135.17500000000001</v>
      </c>
      <c r="L171" s="24"/>
      <c r="M171" s="24"/>
      <c r="N171" s="32" t="s">
        <v>92</v>
      </c>
      <c r="O171" s="108">
        <f t="shared" si="105"/>
        <v>29.739226928056226</v>
      </c>
      <c r="P171" s="108">
        <f t="shared" si="102"/>
        <v>29.221379692990567</v>
      </c>
      <c r="Q171" s="108">
        <f t="shared" si="103"/>
        <v>28.777510634362862</v>
      </c>
    </row>
    <row r="172" spans="2:17" x14ac:dyDescent="0.25">
      <c r="B172" s="32" t="s">
        <v>93</v>
      </c>
      <c r="C172" s="126">
        <f t="shared" ref="C172:E172" si="110">C124</f>
        <v>4350</v>
      </c>
      <c r="D172" s="126">
        <f t="shared" si="110"/>
        <v>4250</v>
      </c>
      <c r="E172" s="126">
        <f t="shared" si="110"/>
        <v>4190</v>
      </c>
      <c r="F172" s="24"/>
      <c r="G172" s="24"/>
      <c r="H172" s="32" t="s">
        <v>93</v>
      </c>
      <c r="I172" s="81">
        <v>155.17500000000001</v>
      </c>
      <c r="J172" s="81">
        <v>155.17500000000001</v>
      </c>
      <c r="K172" s="81">
        <v>155.17500000000001</v>
      </c>
      <c r="L172" s="24"/>
      <c r="M172" s="24"/>
      <c r="N172" s="32" t="s">
        <v>93</v>
      </c>
      <c r="O172" s="108">
        <f t="shared" si="105"/>
        <v>28.032866118898017</v>
      </c>
      <c r="P172" s="108">
        <f t="shared" si="102"/>
        <v>27.388432415015302</v>
      </c>
      <c r="Q172" s="108">
        <f t="shared" si="103"/>
        <v>27.001772192685674</v>
      </c>
    </row>
    <row r="173" spans="2:17" x14ac:dyDescent="0.25">
      <c r="B173" s="32" t="s">
        <v>94</v>
      </c>
      <c r="C173" s="126">
        <f t="shared" ref="C173:E173" si="111">C125</f>
        <v>3650</v>
      </c>
      <c r="D173" s="126">
        <f t="shared" si="111"/>
        <v>3570.0000000000005</v>
      </c>
      <c r="E173" s="126">
        <f t="shared" si="111"/>
        <v>3479.9999999999995</v>
      </c>
      <c r="F173" s="24"/>
      <c r="G173" s="24"/>
      <c r="H173" s="32" t="s">
        <v>94</v>
      </c>
      <c r="I173" s="81">
        <v>156.05000000000001</v>
      </c>
      <c r="J173" s="81">
        <v>156.05000000000001</v>
      </c>
      <c r="K173" s="81">
        <v>156.05000000000001</v>
      </c>
      <c r="L173" s="24"/>
      <c r="M173" s="24"/>
      <c r="N173" s="32" t="s">
        <v>94</v>
      </c>
      <c r="O173" s="108">
        <f t="shared" si="105"/>
        <v>23.389939122076257</v>
      </c>
      <c r="P173" s="108">
        <f t="shared" si="102"/>
        <v>22.877282922140342</v>
      </c>
      <c r="Q173" s="108">
        <f t="shared" si="103"/>
        <v>22.300544697212427</v>
      </c>
    </row>
    <row r="174" spans="2:17" x14ac:dyDescent="0.25">
      <c r="B174" s="32" t="s">
        <v>95</v>
      </c>
      <c r="C174" s="126">
        <f t="shared" ref="C174:E174" si="112">C126</f>
        <v>2650</v>
      </c>
      <c r="D174" s="126">
        <f t="shared" si="112"/>
        <v>1560</v>
      </c>
      <c r="E174" s="126">
        <f t="shared" si="112"/>
        <v>2260</v>
      </c>
      <c r="F174" s="24"/>
      <c r="G174" s="24"/>
      <c r="H174" s="32" t="s">
        <v>95</v>
      </c>
      <c r="I174" s="81">
        <v>0</v>
      </c>
      <c r="J174" s="81">
        <v>0</v>
      </c>
      <c r="K174" s="81">
        <v>0</v>
      </c>
      <c r="L174" s="24"/>
      <c r="M174" s="24"/>
      <c r="N174" s="32" t="s">
        <v>95</v>
      </c>
      <c r="O174" s="108">
        <v>0</v>
      </c>
      <c r="P174" s="108">
        <v>0</v>
      </c>
      <c r="Q174" s="108">
        <v>0</v>
      </c>
    </row>
    <row r="175" spans="2:17" x14ac:dyDescent="0.25">
      <c r="B175" s="32" t="s">
        <v>96</v>
      </c>
      <c r="C175" s="126">
        <f t="shared" ref="C175:E175" si="113">C127</f>
        <v>3850</v>
      </c>
      <c r="D175" s="126">
        <f t="shared" si="113"/>
        <v>3640</v>
      </c>
      <c r="E175" s="126">
        <f t="shared" si="113"/>
        <v>3779.9999999999995</v>
      </c>
      <c r="F175" s="24"/>
      <c r="G175" s="24"/>
      <c r="H175" s="32" t="s">
        <v>96</v>
      </c>
      <c r="I175" s="81">
        <v>150</v>
      </c>
      <c r="J175" s="81">
        <v>150</v>
      </c>
      <c r="K175" s="81">
        <v>150</v>
      </c>
      <c r="L175" s="24"/>
      <c r="M175" s="24"/>
      <c r="N175" s="32" t="s">
        <v>96</v>
      </c>
      <c r="O175" s="108">
        <f t="shared" si="105"/>
        <v>25.666666666666668</v>
      </c>
      <c r="P175" s="108">
        <f t="shared" si="102"/>
        <v>24.266666666666666</v>
      </c>
      <c r="Q175" s="108">
        <f t="shared" si="103"/>
        <v>25.199999999999996</v>
      </c>
    </row>
    <row r="176" spans="2:17" x14ac:dyDescent="0.25">
      <c r="B176" s="32" t="s">
        <v>97</v>
      </c>
      <c r="C176" s="126">
        <f t="shared" ref="C176:E176" si="114">C128</f>
        <v>4780</v>
      </c>
      <c r="D176" s="126">
        <f t="shared" si="114"/>
        <v>4680</v>
      </c>
      <c r="E176" s="126">
        <f t="shared" si="114"/>
        <v>4480</v>
      </c>
      <c r="F176" s="24"/>
      <c r="G176" s="24"/>
      <c r="H176" s="32" t="s">
        <v>97</v>
      </c>
      <c r="I176" s="81">
        <v>187.5</v>
      </c>
      <c r="J176" s="81">
        <v>187.5</v>
      </c>
      <c r="K176" s="81">
        <v>187.5</v>
      </c>
      <c r="L176" s="24"/>
      <c r="M176" s="24"/>
      <c r="N176" s="32" t="s">
        <v>97</v>
      </c>
      <c r="O176" s="108">
        <f t="shared" si="105"/>
        <v>25.493333333333332</v>
      </c>
      <c r="P176" s="108">
        <f t="shared" si="102"/>
        <v>24.96</v>
      </c>
      <c r="Q176" s="108">
        <f t="shared" si="103"/>
        <v>23.893333333333334</v>
      </c>
    </row>
    <row r="177" spans="2:17" x14ac:dyDescent="0.25">
      <c r="B177" s="32" t="s">
        <v>98</v>
      </c>
      <c r="C177" s="126">
        <f t="shared" ref="C177:E177" si="115">C129</f>
        <v>3679.9999999999995</v>
      </c>
      <c r="D177" s="126">
        <f t="shared" si="115"/>
        <v>3590</v>
      </c>
      <c r="E177" s="126">
        <f t="shared" si="115"/>
        <v>3979.9999999999995</v>
      </c>
      <c r="F177" s="24"/>
      <c r="G177" s="24"/>
      <c r="H177" s="32" t="s">
        <v>98</v>
      </c>
      <c r="I177" s="81">
        <v>71.599999999999994</v>
      </c>
      <c r="J177" s="81">
        <v>71.599999999999994</v>
      </c>
      <c r="K177" s="81">
        <v>71.599999999999994</v>
      </c>
      <c r="L177" s="24"/>
      <c r="M177" s="24"/>
      <c r="N177" s="32" t="s">
        <v>98</v>
      </c>
      <c r="O177" s="108">
        <f t="shared" si="105"/>
        <v>51.396648044692732</v>
      </c>
      <c r="P177" s="108">
        <f t="shared" si="102"/>
        <v>50.139664804469277</v>
      </c>
      <c r="Q177" s="108">
        <f t="shared" si="103"/>
        <v>55.58659217877095</v>
      </c>
    </row>
    <row r="178" spans="2:17" x14ac:dyDescent="0.25">
      <c r="B178" s="32" t="s">
        <v>99</v>
      </c>
      <c r="C178" s="126">
        <f t="shared" ref="C178:E178" si="116">C130</f>
        <v>3650</v>
      </c>
      <c r="D178" s="126">
        <f t="shared" si="116"/>
        <v>4560</v>
      </c>
      <c r="E178" s="126">
        <f t="shared" si="116"/>
        <v>4250</v>
      </c>
      <c r="F178" s="24"/>
      <c r="G178" s="24"/>
      <c r="H178" s="32" t="s">
        <v>99</v>
      </c>
      <c r="I178" s="81">
        <v>172.67500000000001</v>
      </c>
      <c r="J178" s="81">
        <v>172.67500000000001</v>
      </c>
      <c r="K178" s="81">
        <v>172.67500000000001</v>
      </c>
      <c r="L178" s="24"/>
      <c r="M178" s="24"/>
      <c r="N178" s="32" t="s">
        <v>99</v>
      </c>
      <c r="O178" s="108">
        <f t="shared" si="105"/>
        <v>21.137975966410885</v>
      </c>
      <c r="P178" s="108">
        <f t="shared" si="102"/>
        <v>26.407991892283189</v>
      </c>
      <c r="Q178" s="108">
        <f t="shared" si="103"/>
        <v>24.612711741711305</v>
      </c>
    </row>
    <row r="179" spans="2:17" x14ac:dyDescent="0.25">
      <c r="B179" s="32" t="s">
        <v>100</v>
      </c>
      <c r="C179" s="126">
        <f t="shared" ref="C179:E179" si="117">C131</f>
        <v>4680</v>
      </c>
      <c r="D179" s="126">
        <f t="shared" si="117"/>
        <v>5080</v>
      </c>
      <c r="E179" s="126">
        <f t="shared" si="117"/>
        <v>4720</v>
      </c>
      <c r="F179" s="24"/>
      <c r="G179" s="24"/>
      <c r="H179" s="32" t="s">
        <v>100</v>
      </c>
      <c r="I179" s="81">
        <v>192.67500000000001</v>
      </c>
      <c r="J179" s="81">
        <v>192.67500000000001</v>
      </c>
      <c r="K179" s="81">
        <v>192.67500000000001</v>
      </c>
      <c r="L179" s="24"/>
      <c r="M179" s="24"/>
      <c r="N179" s="32" t="s">
        <v>100</v>
      </c>
      <c r="O179" s="108">
        <f t="shared" si="105"/>
        <v>24.289606850914751</v>
      </c>
      <c r="P179" s="108">
        <f t="shared" si="102"/>
        <v>26.365641624497208</v>
      </c>
      <c r="Q179" s="108">
        <f t="shared" si="103"/>
        <v>24.497210328272995</v>
      </c>
    </row>
    <row r="180" spans="2:17" x14ac:dyDescent="0.25">
      <c r="B180" s="32" t="s">
        <v>101</v>
      </c>
      <c r="C180" s="126">
        <f t="shared" ref="C180:E180" si="118">C132</f>
        <v>3790</v>
      </c>
      <c r="D180" s="126">
        <f t="shared" si="118"/>
        <v>3779.9999999999995</v>
      </c>
      <c r="E180" s="126">
        <f t="shared" si="118"/>
        <v>3679.9999999999995</v>
      </c>
      <c r="F180" s="24"/>
      <c r="G180" s="24"/>
      <c r="H180" s="32" t="s">
        <v>101</v>
      </c>
      <c r="I180" s="81">
        <v>135.17500000000001</v>
      </c>
      <c r="J180" s="81">
        <v>135.17500000000001</v>
      </c>
      <c r="K180" s="81">
        <v>135.17500000000001</v>
      </c>
      <c r="L180" s="24"/>
      <c r="M180" s="24"/>
      <c r="N180" s="32" t="s">
        <v>101</v>
      </c>
      <c r="O180" s="108">
        <f t="shared" si="105"/>
        <v>28.037728869983354</v>
      </c>
      <c r="P180" s="108">
        <f t="shared" si="102"/>
        <v>27.9637506935454</v>
      </c>
      <c r="Q180" s="108">
        <f t="shared" si="103"/>
        <v>27.223968929165892</v>
      </c>
    </row>
    <row r="181" spans="2:17" x14ac:dyDescent="0.25">
      <c r="B181" s="32" t="s">
        <v>102</v>
      </c>
      <c r="C181" s="126">
        <f t="shared" ref="C181:E181" si="119">C133</f>
        <v>4090</v>
      </c>
      <c r="D181" s="126">
        <f t="shared" si="119"/>
        <v>4180</v>
      </c>
      <c r="E181" s="126">
        <f t="shared" si="119"/>
        <v>4320</v>
      </c>
      <c r="F181" s="24"/>
      <c r="G181" s="24"/>
      <c r="H181" s="32" t="s">
        <v>102</v>
      </c>
      <c r="I181" s="81">
        <v>155.17500000000001</v>
      </c>
      <c r="J181" s="81">
        <v>155.17500000000001</v>
      </c>
      <c r="K181" s="81">
        <v>155.17500000000001</v>
      </c>
      <c r="L181" s="24"/>
      <c r="M181" s="24"/>
      <c r="N181" s="32" t="s">
        <v>102</v>
      </c>
      <c r="O181" s="108">
        <f t="shared" si="105"/>
        <v>26.357338488802963</v>
      </c>
      <c r="P181" s="108">
        <f t="shared" si="102"/>
        <v>26.937328822297403</v>
      </c>
      <c r="Q181" s="108">
        <f t="shared" si="103"/>
        <v>27.839536007733201</v>
      </c>
    </row>
    <row r="182" spans="2:17" x14ac:dyDescent="0.25">
      <c r="B182" s="32" t="s">
        <v>103</v>
      </c>
      <c r="C182" s="126">
        <f t="shared" ref="C182:E182" si="120">C134</f>
        <v>3479.9999999999995</v>
      </c>
      <c r="D182" s="126">
        <f t="shared" si="120"/>
        <v>3760</v>
      </c>
      <c r="E182" s="126">
        <f t="shared" si="120"/>
        <v>3520.0000000000005</v>
      </c>
      <c r="F182" s="24"/>
      <c r="G182" s="24"/>
      <c r="H182" s="32" t="s">
        <v>103</v>
      </c>
      <c r="I182" s="81">
        <v>156.05000000000001</v>
      </c>
      <c r="J182" s="81">
        <v>156.05000000000001</v>
      </c>
      <c r="K182" s="81">
        <v>156.05000000000001</v>
      </c>
      <c r="L182" s="24"/>
      <c r="M182" s="24"/>
      <c r="N182" s="32" t="s">
        <v>103</v>
      </c>
      <c r="O182" s="108">
        <f t="shared" si="105"/>
        <v>22.300544697212427</v>
      </c>
      <c r="P182" s="108">
        <f t="shared" si="102"/>
        <v>24.094841396988144</v>
      </c>
      <c r="Q182" s="108">
        <f t="shared" si="103"/>
        <v>22.556872797180393</v>
      </c>
    </row>
    <row r="183" spans="2:17" x14ac:dyDescent="0.25"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</row>
    <row r="184" spans="2:17" x14ac:dyDescent="0.25"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</row>
    <row r="185" spans="2:17" x14ac:dyDescent="0.25">
      <c r="B185" s="71"/>
      <c r="C185" s="24"/>
      <c r="D185" s="66">
        <v>2020</v>
      </c>
      <c r="E185" s="73"/>
      <c r="F185" s="24"/>
      <c r="G185" s="24"/>
      <c r="H185" s="24"/>
      <c r="I185" s="24"/>
      <c r="J185" s="24"/>
      <c r="K185" s="24"/>
      <c r="L185" s="24"/>
      <c r="M185" s="24"/>
      <c r="N185" s="71"/>
      <c r="O185" s="24"/>
      <c r="P185" s="66">
        <v>2020</v>
      </c>
      <c r="Q185" s="73"/>
    </row>
    <row r="186" spans="2:17" ht="15.75" x14ac:dyDescent="0.25">
      <c r="B186" s="71"/>
      <c r="C186" s="24"/>
      <c r="D186" s="56" t="s">
        <v>126</v>
      </c>
      <c r="E186" s="73"/>
      <c r="F186" s="24"/>
      <c r="G186" s="24"/>
      <c r="H186" s="24"/>
      <c r="I186" s="125" t="s">
        <v>151</v>
      </c>
      <c r="J186" s="24"/>
      <c r="K186" s="24"/>
      <c r="L186" s="24"/>
      <c r="M186" s="24"/>
      <c r="N186" s="71"/>
      <c r="O186" s="24"/>
      <c r="P186" s="56" t="s">
        <v>158</v>
      </c>
      <c r="Q186" s="73"/>
    </row>
    <row r="187" spans="2:17" x14ac:dyDescent="0.25">
      <c r="B187" s="71"/>
      <c r="C187" s="24"/>
      <c r="D187" s="24"/>
      <c r="E187" s="73"/>
      <c r="F187" s="24"/>
      <c r="G187" s="24"/>
      <c r="H187" s="24"/>
      <c r="I187" s="24"/>
      <c r="J187" s="24"/>
      <c r="K187" s="24"/>
      <c r="L187" s="24"/>
      <c r="M187" s="24"/>
      <c r="N187" s="71"/>
      <c r="O187" s="24"/>
      <c r="P187" s="24"/>
      <c r="Q187" s="73"/>
    </row>
    <row r="188" spans="2:17" x14ac:dyDescent="0.25">
      <c r="B188" s="46" t="s">
        <v>0</v>
      </c>
      <c r="C188" s="30" t="s">
        <v>1</v>
      </c>
      <c r="D188" s="30" t="s">
        <v>2</v>
      </c>
      <c r="E188" s="30" t="s">
        <v>3</v>
      </c>
      <c r="F188" s="24"/>
      <c r="G188" s="24"/>
      <c r="H188" s="46" t="s">
        <v>0</v>
      </c>
      <c r="I188" s="30" t="s">
        <v>1</v>
      </c>
      <c r="J188" s="30" t="s">
        <v>2</v>
      </c>
      <c r="K188" s="30" t="s">
        <v>3</v>
      </c>
      <c r="L188" s="24"/>
      <c r="M188" s="24"/>
      <c r="N188" s="46" t="s">
        <v>0</v>
      </c>
      <c r="O188" s="30" t="s">
        <v>1</v>
      </c>
      <c r="P188" s="30" t="s">
        <v>2</v>
      </c>
      <c r="Q188" s="30" t="s">
        <v>3</v>
      </c>
    </row>
    <row r="189" spans="2:17" x14ac:dyDescent="0.25">
      <c r="B189" s="32" t="s">
        <v>86</v>
      </c>
      <c r="C189" s="126">
        <f>C141</f>
        <v>2650</v>
      </c>
      <c r="D189" s="126">
        <f t="shared" ref="D189:E189" si="121">D141</f>
        <v>2180</v>
      </c>
      <c r="E189" s="126">
        <f t="shared" si="121"/>
        <v>2356</v>
      </c>
      <c r="F189" s="24"/>
      <c r="G189" s="24"/>
      <c r="H189" s="32" t="s">
        <v>86</v>
      </c>
      <c r="I189" s="81">
        <v>0</v>
      </c>
      <c r="J189" s="81">
        <v>0</v>
      </c>
      <c r="K189" s="81">
        <v>0</v>
      </c>
      <c r="L189" s="24"/>
      <c r="M189" s="24"/>
      <c r="N189" s="32" t="s">
        <v>86</v>
      </c>
      <c r="O189" s="108">
        <v>0</v>
      </c>
      <c r="P189" s="108">
        <v>0</v>
      </c>
      <c r="Q189" s="108">
        <v>0</v>
      </c>
    </row>
    <row r="190" spans="2:17" x14ac:dyDescent="0.25">
      <c r="B190" s="32" t="s">
        <v>87</v>
      </c>
      <c r="C190" s="126">
        <f t="shared" ref="C190:E190" si="122">C142</f>
        <v>3956</v>
      </c>
      <c r="D190" s="126">
        <f t="shared" si="122"/>
        <v>4360</v>
      </c>
      <c r="E190" s="126">
        <f t="shared" si="122"/>
        <v>4450</v>
      </c>
      <c r="F190" s="24"/>
      <c r="G190" s="24"/>
      <c r="H190" s="32" t="s">
        <v>87</v>
      </c>
      <c r="I190" s="81">
        <v>150</v>
      </c>
      <c r="J190" s="81">
        <v>150</v>
      </c>
      <c r="K190" s="81">
        <v>150</v>
      </c>
      <c r="L190" s="24"/>
      <c r="M190" s="24"/>
      <c r="N190" s="32" t="s">
        <v>87</v>
      </c>
      <c r="O190" s="108">
        <f t="shared" ref="O190:O206" si="123">C190/I190</f>
        <v>26.373333333333335</v>
      </c>
      <c r="P190" s="108">
        <f t="shared" ref="P190:P206" si="124">D190/J190</f>
        <v>29.066666666666666</v>
      </c>
      <c r="Q190" s="108">
        <f t="shared" ref="Q190:Q206" si="125">E190/K190</f>
        <v>29.666666666666668</v>
      </c>
    </row>
    <row r="191" spans="2:17" x14ac:dyDescent="0.25">
      <c r="B191" s="32" t="s">
        <v>88</v>
      </c>
      <c r="C191" s="126">
        <f t="shared" ref="C191:E191" si="126">C143</f>
        <v>4950</v>
      </c>
      <c r="D191" s="126">
        <f t="shared" si="126"/>
        <v>4860</v>
      </c>
      <c r="E191" s="126">
        <f t="shared" si="126"/>
        <v>4650</v>
      </c>
      <c r="F191" s="24"/>
      <c r="G191" s="24"/>
      <c r="H191" s="32" t="s">
        <v>88</v>
      </c>
      <c r="I191" s="81">
        <v>187.5</v>
      </c>
      <c r="J191" s="81">
        <v>187.5</v>
      </c>
      <c r="K191" s="81">
        <v>187.5</v>
      </c>
      <c r="L191" s="24"/>
      <c r="M191" s="24"/>
      <c r="N191" s="32" t="s">
        <v>88</v>
      </c>
      <c r="O191" s="108">
        <f t="shared" si="123"/>
        <v>26.4</v>
      </c>
      <c r="P191" s="108">
        <f t="shared" si="124"/>
        <v>25.92</v>
      </c>
      <c r="Q191" s="108">
        <f t="shared" si="125"/>
        <v>24.8</v>
      </c>
    </row>
    <row r="192" spans="2:17" x14ac:dyDescent="0.25">
      <c r="B192" s="32" t="s">
        <v>89</v>
      </c>
      <c r="C192" s="126">
        <f t="shared" ref="C192:E192" si="127">C144</f>
        <v>3960</v>
      </c>
      <c r="D192" s="126">
        <f t="shared" si="127"/>
        <v>3890</v>
      </c>
      <c r="E192" s="126">
        <f t="shared" si="127"/>
        <v>3679.9999999999995</v>
      </c>
      <c r="F192" s="24"/>
      <c r="G192" s="24"/>
      <c r="H192" s="32" t="s">
        <v>89</v>
      </c>
      <c r="I192" s="81">
        <v>71.599999999999994</v>
      </c>
      <c r="J192" s="81">
        <v>71.599999999999994</v>
      </c>
      <c r="K192" s="81">
        <v>71.599999999999994</v>
      </c>
      <c r="L192" s="24"/>
      <c r="M192" s="24"/>
      <c r="N192" s="32" t="s">
        <v>89</v>
      </c>
      <c r="O192" s="108">
        <f t="shared" si="123"/>
        <v>55.307262569832403</v>
      </c>
      <c r="P192" s="108">
        <f t="shared" si="124"/>
        <v>54.329608938547487</v>
      </c>
      <c r="Q192" s="108">
        <f t="shared" si="125"/>
        <v>51.396648044692732</v>
      </c>
    </row>
    <row r="193" spans="2:17" x14ac:dyDescent="0.25">
      <c r="B193" s="32" t="s">
        <v>90</v>
      </c>
      <c r="C193" s="126">
        <f t="shared" ref="C193:E193" si="128">C145</f>
        <v>4650</v>
      </c>
      <c r="D193" s="126">
        <f t="shared" si="128"/>
        <v>4890</v>
      </c>
      <c r="E193" s="126">
        <f t="shared" si="128"/>
        <v>4560</v>
      </c>
      <c r="F193" s="24"/>
      <c r="G193" s="24"/>
      <c r="H193" s="32" t="s">
        <v>90</v>
      </c>
      <c r="I193" s="81">
        <v>172.67500000000001</v>
      </c>
      <c r="J193" s="81">
        <v>172.67500000000001</v>
      </c>
      <c r="K193" s="81">
        <v>172.67500000000001</v>
      </c>
      <c r="L193" s="24"/>
      <c r="M193" s="24"/>
      <c r="N193" s="32" t="s">
        <v>90</v>
      </c>
      <c r="O193" s="108">
        <f t="shared" si="123"/>
        <v>26.92920225857825</v>
      </c>
      <c r="P193" s="108">
        <f t="shared" si="124"/>
        <v>28.31909656869842</v>
      </c>
      <c r="Q193" s="108">
        <f t="shared" si="125"/>
        <v>26.407991892283189</v>
      </c>
    </row>
    <row r="194" spans="2:17" x14ac:dyDescent="0.25">
      <c r="B194" s="32" t="s">
        <v>91</v>
      </c>
      <c r="C194" s="126">
        <f t="shared" ref="C194:E194" si="129">C146</f>
        <v>5260</v>
      </c>
      <c r="D194" s="126">
        <f t="shared" si="129"/>
        <v>5080</v>
      </c>
      <c r="E194" s="126">
        <f t="shared" si="129"/>
        <v>4890</v>
      </c>
      <c r="F194" s="24"/>
      <c r="G194" s="24"/>
      <c r="H194" s="32" t="s">
        <v>91</v>
      </c>
      <c r="I194" s="81">
        <v>192.67500000000001</v>
      </c>
      <c r="J194" s="81">
        <v>192.67500000000001</v>
      </c>
      <c r="K194" s="81">
        <v>192.67500000000001</v>
      </c>
      <c r="L194" s="24"/>
      <c r="M194" s="24"/>
      <c r="N194" s="32" t="s">
        <v>91</v>
      </c>
      <c r="O194" s="108">
        <f t="shared" si="123"/>
        <v>27.299857272609316</v>
      </c>
      <c r="P194" s="108">
        <f t="shared" si="124"/>
        <v>26.365641624497208</v>
      </c>
      <c r="Q194" s="108">
        <f t="shared" si="125"/>
        <v>25.379525107045541</v>
      </c>
    </row>
    <row r="195" spans="2:17" x14ac:dyDescent="0.25">
      <c r="B195" s="32" t="s">
        <v>92</v>
      </c>
      <c r="C195" s="126">
        <f t="shared" ref="C195:E195" si="130">C147</f>
        <v>3979.9999999999995</v>
      </c>
      <c r="D195" s="126">
        <f t="shared" si="130"/>
        <v>3940</v>
      </c>
      <c r="E195" s="126">
        <f t="shared" si="130"/>
        <v>4079.9999999999995</v>
      </c>
      <c r="F195" s="24"/>
      <c r="G195" s="24"/>
      <c r="H195" s="32" t="s">
        <v>92</v>
      </c>
      <c r="I195" s="81">
        <v>135.17500000000001</v>
      </c>
      <c r="J195" s="81">
        <v>135.17500000000001</v>
      </c>
      <c r="K195" s="81">
        <v>135.17500000000001</v>
      </c>
      <c r="L195" s="24"/>
      <c r="M195" s="24"/>
      <c r="N195" s="32" t="s">
        <v>92</v>
      </c>
      <c r="O195" s="108">
        <f t="shared" si="123"/>
        <v>29.443314222304416</v>
      </c>
      <c r="P195" s="108">
        <f t="shared" si="124"/>
        <v>29.147401516552616</v>
      </c>
      <c r="Q195" s="108">
        <f t="shared" si="125"/>
        <v>30.183095986683924</v>
      </c>
    </row>
    <row r="196" spans="2:17" x14ac:dyDescent="0.25">
      <c r="B196" s="32" t="s">
        <v>93</v>
      </c>
      <c r="C196" s="126">
        <f t="shared" ref="C196:E196" si="131">C148</f>
        <v>4460</v>
      </c>
      <c r="D196" s="126">
        <f t="shared" si="131"/>
        <v>4380</v>
      </c>
      <c r="E196" s="126">
        <f t="shared" si="131"/>
        <v>4280</v>
      </c>
      <c r="F196" s="24"/>
      <c r="G196" s="24"/>
      <c r="H196" s="32" t="s">
        <v>93</v>
      </c>
      <c r="I196" s="81">
        <v>155.17500000000001</v>
      </c>
      <c r="J196" s="81">
        <v>155.17500000000001</v>
      </c>
      <c r="K196" s="81">
        <v>155.17500000000001</v>
      </c>
      <c r="L196" s="24"/>
      <c r="M196" s="24"/>
      <c r="N196" s="32" t="s">
        <v>93</v>
      </c>
      <c r="O196" s="108">
        <f t="shared" si="123"/>
        <v>28.741743193169</v>
      </c>
      <c r="P196" s="108">
        <f t="shared" si="124"/>
        <v>28.226196230062829</v>
      </c>
      <c r="Q196" s="108">
        <f t="shared" si="125"/>
        <v>27.581762526180118</v>
      </c>
    </row>
    <row r="197" spans="2:17" x14ac:dyDescent="0.25">
      <c r="B197" s="32" t="s">
        <v>94</v>
      </c>
      <c r="C197" s="126">
        <f t="shared" ref="C197:E197" si="132">C149</f>
        <v>3950</v>
      </c>
      <c r="D197" s="126">
        <f t="shared" si="132"/>
        <v>3679.9999999999995</v>
      </c>
      <c r="E197" s="126">
        <f t="shared" si="132"/>
        <v>3450</v>
      </c>
      <c r="F197" s="24"/>
      <c r="G197" s="24"/>
      <c r="H197" s="32" t="s">
        <v>94</v>
      </c>
      <c r="I197" s="81">
        <v>156.05000000000001</v>
      </c>
      <c r="J197" s="81">
        <v>156.05000000000001</v>
      </c>
      <c r="K197" s="81">
        <v>156.05000000000001</v>
      </c>
      <c r="L197" s="24"/>
      <c r="M197" s="24"/>
      <c r="N197" s="32" t="s">
        <v>94</v>
      </c>
      <c r="O197" s="108">
        <f t="shared" si="123"/>
        <v>25.312399871835947</v>
      </c>
      <c r="P197" s="108">
        <f t="shared" si="124"/>
        <v>23.582185197052222</v>
      </c>
      <c r="Q197" s="108">
        <f t="shared" si="125"/>
        <v>22.108298622236461</v>
      </c>
    </row>
    <row r="198" spans="2:17" x14ac:dyDescent="0.25">
      <c r="B198" s="32" t="s">
        <v>95</v>
      </c>
      <c r="C198" s="126">
        <f t="shared" ref="C198:E198" si="133">C150</f>
        <v>2010.0000000000002</v>
      </c>
      <c r="D198" s="126">
        <f t="shared" si="133"/>
        <v>2260</v>
      </c>
      <c r="E198" s="126">
        <f t="shared" si="133"/>
        <v>2650</v>
      </c>
      <c r="F198" s="24"/>
      <c r="G198" s="24"/>
      <c r="H198" s="32" t="s">
        <v>95</v>
      </c>
      <c r="I198" s="81">
        <v>0</v>
      </c>
      <c r="J198" s="81">
        <v>0</v>
      </c>
      <c r="K198" s="81">
        <v>0</v>
      </c>
      <c r="L198" s="24"/>
      <c r="M198" s="24"/>
      <c r="N198" s="32" t="s">
        <v>95</v>
      </c>
      <c r="O198" s="108">
        <v>0</v>
      </c>
      <c r="P198" s="108">
        <v>0</v>
      </c>
      <c r="Q198" s="108">
        <v>0</v>
      </c>
    </row>
    <row r="199" spans="2:17" x14ac:dyDescent="0.25">
      <c r="B199" s="32" t="s">
        <v>96</v>
      </c>
      <c r="C199" s="126">
        <f t="shared" ref="C199:E199" si="134">C151</f>
        <v>3979.9999999999995</v>
      </c>
      <c r="D199" s="126">
        <f t="shared" si="134"/>
        <v>3510</v>
      </c>
      <c r="E199" s="126">
        <f t="shared" si="134"/>
        <v>3950</v>
      </c>
      <c r="F199" s="24"/>
      <c r="G199" s="24"/>
      <c r="H199" s="32" t="s">
        <v>96</v>
      </c>
      <c r="I199" s="81">
        <v>150</v>
      </c>
      <c r="J199" s="81">
        <v>150</v>
      </c>
      <c r="K199" s="81">
        <v>150</v>
      </c>
      <c r="L199" s="24"/>
      <c r="M199" s="24"/>
      <c r="N199" s="32" t="s">
        <v>96</v>
      </c>
      <c r="O199" s="108">
        <f t="shared" si="123"/>
        <v>26.533333333333331</v>
      </c>
      <c r="P199" s="108">
        <f t="shared" si="124"/>
        <v>23.4</v>
      </c>
      <c r="Q199" s="108">
        <f t="shared" si="125"/>
        <v>26.333333333333332</v>
      </c>
    </row>
    <row r="200" spans="2:17" x14ac:dyDescent="0.25">
      <c r="B200" s="32" t="s">
        <v>97</v>
      </c>
      <c r="C200" s="126">
        <f t="shared" ref="C200:E200" si="135">C152</f>
        <v>4895</v>
      </c>
      <c r="D200" s="126">
        <f t="shared" si="135"/>
        <v>4950</v>
      </c>
      <c r="E200" s="126">
        <f t="shared" si="135"/>
        <v>4450</v>
      </c>
      <c r="F200" s="24"/>
      <c r="G200" s="24"/>
      <c r="H200" s="32" t="s">
        <v>97</v>
      </c>
      <c r="I200" s="81">
        <v>187.5</v>
      </c>
      <c r="J200" s="81">
        <v>187.5</v>
      </c>
      <c r="K200" s="81">
        <v>187.5</v>
      </c>
      <c r="L200" s="24"/>
      <c r="M200" s="24"/>
      <c r="N200" s="32" t="s">
        <v>97</v>
      </c>
      <c r="O200" s="108">
        <f t="shared" si="123"/>
        <v>26.106666666666666</v>
      </c>
      <c r="P200" s="108">
        <f t="shared" si="124"/>
        <v>26.4</v>
      </c>
      <c r="Q200" s="108">
        <f t="shared" si="125"/>
        <v>23.733333333333334</v>
      </c>
    </row>
    <row r="201" spans="2:17" x14ac:dyDescent="0.25">
      <c r="B201" s="32" t="s">
        <v>98</v>
      </c>
      <c r="C201" s="126">
        <f t="shared" ref="C201:E201" si="136">C153</f>
        <v>3840</v>
      </c>
      <c r="D201" s="126">
        <f t="shared" si="136"/>
        <v>3779.9999999999995</v>
      </c>
      <c r="E201" s="126">
        <f t="shared" si="136"/>
        <v>3540</v>
      </c>
      <c r="F201" s="24"/>
      <c r="G201" s="24"/>
      <c r="H201" s="32" t="s">
        <v>98</v>
      </c>
      <c r="I201" s="81">
        <v>71.599999999999994</v>
      </c>
      <c r="J201" s="81">
        <v>71.599999999999994</v>
      </c>
      <c r="K201" s="81">
        <v>71.599999999999994</v>
      </c>
      <c r="L201" s="24"/>
      <c r="M201" s="24"/>
      <c r="N201" s="32" t="s">
        <v>98</v>
      </c>
      <c r="O201" s="108">
        <f t="shared" si="123"/>
        <v>53.631284916201125</v>
      </c>
      <c r="P201" s="108">
        <f t="shared" si="124"/>
        <v>52.793296089385471</v>
      </c>
      <c r="Q201" s="108">
        <f t="shared" si="125"/>
        <v>49.441340782122907</v>
      </c>
    </row>
    <row r="202" spans="2:17" x14ac:dyDescent="0.25">
      <c r="B202" s="32" t="s">
        <v>99</v>
      </c>
      <c r="C202" s="126">
        <f t="shared" ref="C202:E202" si="137">C154</f>
        <v>3750</v>
      </c>
      <c r="D202" s="126">
        <f t="shared" si="137"/>
        <v>4750</v>
      </c>
      <c r="E202" s="126">
        <f t="shared" si="137"/>
        <v>4350</v>
      </c>
      <c r="F202" s="24"/>
      <c r="G202" s="24"/>
      <c r="H202" s="32" t="s">
        <v>99</v>
      </c>
      <c r="I202" s="81">
        <v>172.67500000000001</v>
      </c>
      <c r="J202" s="81">
        <v>172.67500000000001</v>
      </c>
      <c r="K202" s="81">
        <v>172.67500000000001</v>
      </c>
      <c r="L202" s="24"/>
      <c r="M202" s="24"/>
      <c r="N202" s="32" t="s">
        <v>99</v>
      </c>
      <c r="O202" s="108">
        <f t="shared" si="123"/>
        <v>21.717098595627622</v>
      </c>
      <c r="P202" s="108">
        <f t="shared" si="124"/>
        <v>27.508324887794988</v>
      </c>
      <c r="Q202" s="108">
        <f t="shared" si="125"/>
        <v>25.191834370928042</v>
      </c>
    </row>
    <row r="203" spans="2:17" x14ac:dyDescent="0.25">
      <c r="B203" s="32" t="s">
        <v>100</v>
      </c>
      <c r="C203" s="126">
        <f t="shared" ref="C203:E203" si="138">C155</f>
        <v>4750</v>
      </c>
      <c r="D203" s="126">
        <f t="shared" si="138"/>
        <v>5350</v>
      </c>
      <c r="E203" s="126">
        <f t="shared" si="138"/>
        <v>4780</v>
      </c>
      <c r="F203" s="24"/>
      <c r="G203" s="24"/>
      <c r="H203" s="32" t="s">
        <v>100</v>
      </c>
      <c r="I203" s="81">
        <v>192.67500000000001</v>
      </c>
      <c r="J203" s="81">
        <v>192.67500000000001</v>
      </c>
      <c r="K203" s="81">
        <v>192.67500000000001</v>
      </c>
      <c r="L203" s="24"/>
      <c r="M203" s="24"/>
      <c r="N203" s="32" t="s">
        <v>100</v>
      </c>
      <c r="O203" s="108">
        <f t="shared" si="123"/>
        <v>24.652912936291681</v>
      </c>
      <c r="P203" s="108">
        <f t="shared" si="124"/>
        <v>27.766965096665366</v>
      </c>
      <c r="Q203" s="108">
        <f t="shared" si="125"/>
        <v>24.808615544310367</v>
      </c>
    </row>
    <row r="204" spans="2:17" x14ac:dyDescent="0.25">
      <c r="B204" s="32" t="s">
        <v>101</v>
      </c>
      <c r="C204" s="126">
        <f t="shared" ref="C204:E204" si="139">C156</f>
        <v>4050</v>
      </c>
      <c r="D204" s="126">
        <f t="shared" si="139"/>
        <v>3579.9999999999995</v>
      </c>
      <c r="E204" s="126">
        <f t="shared" si="139"/>
        <v>4160</v>
      </c>
      <c r="F204" s="24"/>
      <c r="G204" s="24"/>
      <c r="H204" s="32" t="s">
        <v>101</v>
      </c>
      <c r="I204" s="81">
        <v>135.17500000000001</v>
      </c>
      <c r="J204" s="81">
        <v>135.17500000000001</v>
      </c>
      <c r="K204" s="81">
        <v>135.17500000000001</v>
      </c>
      <c r="L204" s="24"/>
      <c r="M204" s="24"/>
      <c r="N204" s="32" t="s">
        <v>101</v>
      </c>
      <c r="O204" s="108">
        <f t="shared" si="123"/>
        <v>29.961161457370075</v>
      </c>
      <c r="P204" s="108">
        <f t="shared" si="124"/>
        <v>26.484187164786384</v>
      </c>
      <c r="Q204" s="108">
        <f t="shared" si="125"/>
        <v>30.774921398187534</v>
      </c>
    </row>
    <row r="205" spans="2:17" x14ac:dyDescent="0.25">
      <c r="B205" s="32" t="s">
        <v>102</v>
      </c>
      <c r="C205" s="126">
        <f t="shared" ref="C205:E205" si="140">C157</f>
        <v>4150</v>
      </c>
      <c r="D205" s="126">
        <f t="shared" si="140"/>
        <v>4260</v>
      </c>
      <c r="E205" s="126">
        <f t="shared" si="140"/>
        <v>4530</v>
      </c>
      <c r="F205" s="24"/>
      <c r="G205" s="24"/>
      <c r="H205" s="32" t="s">
        <v>102</v>
      </c>
      <c r="I205" s="81">
        <v>155.17500000000001</v>
      </c>
      <c r="J205" s="81">
        <v>155.17500000000001</v>
      </c>
      <c r="K205" s="81">
        <v>155.17500000000001</v>
      </c>
      <c r="L205" s="24"/>
      <c r="M205" s="24"/>
      <c r="N205" s="32" t="s">
        <v>102</v>
      </c>
      <c r="O205" s="108">
        <f t="shared" si="123"/>
        <v>26.743998711132591</v>
      </c>
      <c r="P205" s="108">
        <f t="shared" si="124"/>
        <v>27.452875785403574</v>
      </c>
      <c r="Q205" s="108">
        <f t="shared" si="125"/>
        <v>29.1928467858869</v>
      </c>
    </row>
    <row r="206" spans="2:17" x14ac:dyDescent="0.25">
      <c r="B206" s="32" t="s">
        <v>103</v>
      </c>
      <c r="C206" s="126">
        <f t="shared" ref="C206:E206" si="141">C158</f>
        <v>3560</v>
      </c>
      <c r="D206" s="126">
        <f t="shared" si="141"/>
        <v>3860</v>
      </c>
      <c r="E206" s="126">
        <f t="shared" si="141"/>
        <v>3450</v>
      </c>
      <c r="F206" s="24"/>
      <c r="G206" s="24"/>
      <c r="H206" s="32" t="s">
        <v>103</v>
      </c>
      <c r="I206" s="81">
        <v>156.05000000000001</v>
      </c>
      <c r="J206" s="81">
        <v>156.05000000000001</v>
      </c>
      <c r="K206" s="81">
        <v>156.05000000000001</v>
      </c>
      <c r="L206" s="24"/>
      <c r="M206" s="24"/>
      <c r="N206" s="32" t="s">
        <v>103</v>
      </c>
      <c r="O206" s="108">
        <f t="shared" si="123"/>
        <v>22.813200897148349</v>
      </c>
      <c r="P206" s="108">
        <f t="shared" si="124"/>
        <v>24.735661646908042</v>
      </c>
      <c r="Q206" s="108">
        <f t="shared" si="125"/>
        <v>22.108298622236461</v>
      </c>
    </row>
    <row r="207" spans="2:17" s="132" customFormat="1" x14ac:dyDescent="0.25"/>
    <row r="208" spans="2:17" x14ac:dyDescent="0.25">
      <c r="D208" s="66">
        <v>2019</v>
      </c>
      <c r="I208" s="66">
        <v>2019</v>
      </c>
      <c r="N208" s="24"/>
      <c r="O208" s="66">
        <v>2019</v>
      </c>
      <c r="P208" s="24"/>
      <c r="Q208" s="24"/>
    </row>
    <row r="209" spans="2:29" ht="15.75" x14ac:dyDescent="0.25">
      <c r="C209" s="127"/>
      <c r="D209" s="56" t="s">
        <v>159</v>
      </c>
      <c r="I209" s="56" t="s">
        <v>130</v>
      </c>
      <c r="N209" s="24"/>
      <c r="O209" s="56" t="s">
        <v>160</v>
      </c>
      <c r="P209" s="24"/>
      <c r="Q209" s="24"/>
    </row>
    <row r="210" spans="2:29" x14ac:dyDescent="0.25">
      <c r="C210" s="24"/>
      <c r="N210" s="24"/>
      <c r="O210" s="24"/>
      <c r="P210" s="24"/>
      <c r="Q210" s="24"/>
    </row>
    <row r="211" spans="2:29" x14ac:dyDescent="0.25">
      <c r="B211" s="46" t="s">
        <v>0</v>
      </c>
      <c r="C211" s="30" t="s">
        <v>1</v>
      </c>
      <c r="D211" s="30" t="s">
        <v>2</v>
      </c>
      <c r="E211" s="30" t="s">
        <v>3</v>
      </c>
      <c r="H211" s="46" t="s">
        <v>0</v>
      </c>
      <c r="I211" s="30" t="s">
        <v>1</v>
      </c>
      <c r="J211" s="30" t="s">
        <v>2</v>
      </c>
      <c r="K211" s="30" t="s">
        <v>3</v>
      </c>
      <c r="N211" s="46" t="s">
        <v>0</v>
      </c>
      <c r="O211" s="30" t="s">
        <v>1</v>
      </c>
      <c r="P211" s="30" t="s">
        <v>2</v>
      </c>
      <c r="Q211" s="30" t="s">
        <v>3</v>
      </c>
      <c r="U211" s="46" t="s">
        <v>0</v>
      </c>
      <c r="V211" s="30" t="s">
        <v>1</v>
      </c>
      <c r="W211" s="30" t="s">
        <v>2</v>
      </c>
      <c r="X211" s="30" t="s">
        <v>3</v>
      </c>
      <c r="Z211" s="46" t="s">
        <v>0</v>
      </c>
      <c r="AA211" s="30" t="s">
        <v>1</v>
      </c>
      <c r="AB211" s="30" t="s">
        <v>2</v>
      </c>
      <c r="AC211" s="30" t="s">
        <v>3</v>
      </c>
    </row>
    <row r="212" spans="2:29" x14ac:dyDescent="0.25">
      <c r="B212" s="32" t="s">
        <v>86</v>
      </c>
      <c r="C212" s="85">
        <f>AA212</f>
        <v>6977.6</v>
      </c>
      <c r="D212" s="85">
        <f t="shared" ref="D212:E212" si="142">AB212</f>
        <v>6997.5</v>
      </c>
      <c r="E212" s="85">
        <f t="shared" si="142"/>
        <v>7830.8</v>
      </c>
      <c r="H212" s="32" t="s">
        <v>86</v>
      </c>
      <c r="I212" s="128">
        <f>Nitrogen!B137</f>
        <v>42.972999999999999</v>
      </c>
      <c r="J212" s="128">
        <f>Nitrogen!C137</f>
        <v>40.152000000000001</v>
      </c>
      <c r="K212" s="128">
        <f>Nitrogen!D137</f>
        <v>39.697599999999994</v>
      </c>
      <c r="N212" s="32" t="s">
        <v>86</v>
      </c>
      <c r="O212" s="128">
        <v>0</v>
      </c>
      <c r="P212" s="128">
        <v>0</v>
      </c>
      <c r="Q212" s="128">
        <v>0</v>
      </c>
      <c r="U212" s="32" t="s">
        <v>86</v>
      </c>
      <c r="V212" s="85">
        <v>697.76</v>
      </c>
      <c r="W212" s="85">
        <v>699.75</v>
      </c>
      <c r="X212" s="85">
        <v>783.08</v>
      </c>
      <c r="Z212" s="32" t="s">
        <v>86</v>
      </c>
      <c r="AA212" s="85">
        <f>(V212*10000)/1000</f>
        <v>6977.6</v>
      </c>
      <c r="AB212" s="85">
        <f t="shared" ref="AB212:AC212" si="143">(W212*10000)/1000</f>
        <v>6997.5</v>
      </c>
      <c r="AC212" s="85">
        <f t="shared" si="143"/>
        <v>7830.8</v>
      </c>
    </row>
    <row r="213" spans="2:29" x14ac:dyDescent="0.25">
      <c r="B213" s="32" t="s">
        <v>87</v>
      </c>
      <c r="C213" s="85">
        <f t="shared" ref="C213:C229" si="144">AA213</f>
        <v>10064.5</v>
      </c>
      <c r="D213" s="85">
        <f t="shared" ref="D213:D229" si="145">AB213</f>
        <v>10490.2</v>
      </c>
      <c r="E213" s="85">
        <f t="shared" ref="E213:E229" si="146">AC213</f>
        <v>10010.6</v>
      </c>
      <c r="H213" s="32" t="s">
        <v>87</v>
      </c>
      <c r="I213" s="128">
        <f>Nitrogen!B138</f>
        <v>75.33</v>
      </c>
      <c r="J213" s="128">
        <f>Nitrogen!C138</f>
        <v>82.300000000000011</v>
      </c>
      <c r="K213" s="128">
        <f>Nitrogen!D138</f>
        <v>86.150999999999996</v>
      </c>
      <c r="N213" s="32" t="s">
        <v>87</v>
      </c>
      <c r="O213" s="128">
        <f>(C213-C212)/(I213-I212)</f>
        <v>95.401304200018529</v>
      </c>
      <c r="P213" s="128">
        <f>(D213-D212)/(J213-J212)</f>
        <v>82.8675144728101</v>
      </c>
      <c r="Q213" s="128">
        <f t="shared" ref="Q213" si="147">(E213-E212)/(K213-K212)</f>
        <v>46.924444712335372</v>
      </c>
      <c r="U213" s="32" t="s">
        <v>87</v>
      </c>
      <c r="V213" s="85">
        <v>1006.45</v>
      </c>
      <c r="W213" s="85">
        <v>1049.02</v>
      </c>
      <c r="X213" s="85">
        <v>1001.06</v>
      </c>
      <c r="Z213" s="32" t="s">
        <v>87</v>
      </c>
      <c r="AA213" s="85">
        <f t="shared" ref="AA213:AA229" si="148">(V213*10000)/1000</f>
        <v>10064.5</v>
      </c>
      <c r="AB213" s="85">
        <f t="shared" ref="AB213:AB229" si="149">(W213*10000)/1000</f>
        <v>10490.2</v>
      </c>
      <c r="AC213" s="85">
        <f t="shared" ref="AC213:AC229" si="150">(X213*10000)/1000</f>
        <v>10010.6</v>
      </c>
    </row>
    <row r="214" spans="2:29" x14ac:dyDescent="0.25">
      <c r="B214" s="32" t="s">
        <v>88</v>
      </c>
      <c r="C214" s="85">
        <f t="shared" si="144"/>
        <v>10877.6</v>
      </c>
      <c r="D214" s="85">
        <f t="shared" si="145"/>
        <v>10380.799999999999</v>
      </c>
      <c r="E214" s="85">
        <f t="shared" si="146"/>
        <v>11000.6</v>
      </c>
      <c r="H214" s="32" t="s">
        <v>88</v>
      </c>
      <c r="I214" s="128">
        <f>Nitrogen!B139</f>
        <v>97.224000000000004</v>
      </c>
      <c r="J214" s="128">
        <f>Nitrogen!C139</f>
        <v>97.426400000000015</v>
      </c>
      <c r="K214" s="128">
        <f>Nitrogen!D139</f>
        <v>99.835999999999984</v>
      </c>
      <c r="N214" s="32" t="s">
        <v>88</v>
      </c>
      <c r="O214" s="128">
        <f>(C214-C212)/(I214-I212)</f>
        <v>71.888075795837864</v>
      </c>
      <c r="P214" s="128">
        <f>(D214-D212)/(J214-J212)</f>
        <v>59.071766792842851</v>
      </c>
      <c r="Q214" s="128">
        <f>(E214-E212)/(K214-K212)</f>
        <v>52.708419246271944</v>
      </c>
      <c r="U214" s="32" t="s">
        <v>88</v>
      </c>
      <c r="V214" s="85">
        <v>1087.76</v>
      </c>
      <c r="W214" s="85">
        <v>1038.08</v>
      </c>
      <c r="X214" s="85">
        <v>1100.06</v>
      </c>
      <c r="Z214" s="32" t="s">
        <v>88</v>
      </c>
      <c r="AA214" s="85">
        <f t="shared" si="148"/>
        <v>10877.6</v>
      </c>
      <c r="AB214" s="85">
        <f t="shared" si="149"/>
        <v>10380.799999999999</v>
      </c>
      <c r="AC214" s="85">
        <f t="shared" si="150"/>
        <v>11000.6</v>
      </c>
    </row>
    <row r="215" spans="2:29" x14ac:dyDescent="0.25">
      <c r="B215" s="32" t="s">
        <v>89</v>
      </c>
      <c r="C215" s="85">
        <f t="shared" si="144"/>
        <v>9929.5</v>
      </c>
      <c r="D215" s="85">
        <f t="shared" si="145"/>
        <v>9683.9</v>
      </c>
      <c r="E215" s="85">
        <f t="shared" si="146"/>
        <v>9880.9</v>
      </c>
      <c r="H215" s="32" t="s">
        <v>89</v>
      </c>
      <c r="I215" s="128">
        <f>Nitrogen!B140</f>
        <v>70.426000000000002</v>
      </c>
      <c r="J215" s="128">
        <f>Nitrogen!C140</f>
        <v>71.483999999999995</v>
      </c>
      <c r="K215" s="128">
        <f>Nitrogen!D140</f>
        <v>71.491000000000014</v>
      </c>
      <c r="N215" s="32" t="s">
        <v>89</v>
      </c>
      <c r="O215" s="128">
        <f>(C215-C212)/(I215-I212)</f>
        <v>107.52558918879537</v>
      </c>
      <c r="P215" s="128">
        <f>(D215-D212)/(J215-J212)</f>
        <v>85.739818715690035</v>
      </c>
      <c r="Q215" s="128">
        <f>(E215-E212)/(K215-K212)</f>
        <v>64.481936502544499</v>
      </c>
      <c r="U215" s="32" t="s">
        <v>89</v>
      </c>
      <c r="V215" s="85">
        <v>992.95</v>
      </c>
      <c r="W215" s="85">
        <v>968.39</v>
      </c>
      <c r="X215" s="85">
        <v>988.09</v>
      </c>
      <c r="Z215" s="32" t="s">
        <v>89</v>
      </c>
      <c r="AA215" s="85">
        <f t="shared" si="148"/>
        <v>9929.5</v>
      </c>
      <c r="AB215" s="85">
        <f t="shared" si="149"/>
        <v>9683.9</v>
      </c>
      <c r="AC215" s="85">
        <f t="shared" si="150"/>
        <v>9880.9</v>
      </c>
    </row>
    <row r="216" spans="2:29" x14ac:dyDescent="0.25">
      <c r="B216" s="32" t="s">
        <v>90</v>
      </c>
      <c r="C216" s="85">
        <f t="shared" si="144"/>
        <v>10874.9</v>
      </c>
      <c r="D216" s="85">
        <f t="shared" si="145"/>
        <v>10673.900000000001</v>
      </c>
      <c r="E216" s="85">
        <f t="shared" si="146"/>
        <v>10734.8</v>
      </c>
      <c r="H216" s="32" t="s">
        <v>90</v>
      </c>
      <c r="I216" s="128">
        <f>Nitrogen!B141</f>
        <v>91.746000000000009</v>
      </c>
      <c r="J216" s="128">
        <f>Nitrogen!C141</f>
        <v>94.228000000000009</v>
      </c>
      <c r="K216" s="128">
        <f>Nitrogen!D141</f>
        <v>94.365999999999985</v>
      </c>
      <c r="N216" s="32" t="s">
        <v>90</v>
      </c>
      <c r="O216" s="128">
        <f>(C216-C212)/(I216-I212)</f>
        <v>79.906915711561695</v>
      </c>
      <c r="P216" s="128">
        <f>(D216-D212)/(J216-J212)</f>
        <v>67.985797766106984</v>
      </c>
      <c r="Q216" s="128">
        <f>(E216-E212)/(K216-K212)</f>
        <v>53.120266918365992</v>
      </c>
      <c r="U216" s="32" t="s">
        <v>90</v>
      </c>
      <c r="V216" s="85">
        <v>1087.49</v>
      </c>
      <c r="W216" s="85">
        <v>1067.3900000000001</v>
      </c>
      <c r="X216" s="85">
        <v>1073.48</v>
      </c>
      <c r="Z216" s="32" t="s">
        <v>90</v>
      </c>
      <c r="AA216" s="85">
        <f t="shared" si="148"/>
        <v>10874.9</v>
      </c>
      <c r="AB216" s="85">
        <f t="shared" si="149"/>
        <v>10673.900000000001</v>
      </c>
      <c r="AC216" s="85">
        <f t="shared" si="150"/>
        <v>10734.8</v>
      </c>
    </row>
    <row r="217" spans="2:29" x14ac:dyDescent="0.25">
      <c r="B217" s="32" t="s">
        <v>91</v>
      </c>
      <c r="C217" s="85">
        <f t="shared" si="144"/>
        <v>11131.8</v>
      </c>
      <c r="D217" s="85">
        <f t="shared" si="145"/>
        <v>10860.8</v>
      </c>
      <c r="E217" s="85">
        <f t="shared" si="146"/>
        <v>11031.8</v>
      </c>
      <c r="H217" s="32" t="s">
        <v>91</v>
      </c>
      <c r="I217" s="128">
        <f>Nitrogen!B142</f>
        <v>108.57199999999999</v>
      </c>
      <c r="J217" s="128">
        <f>Nitrogen!C142</f>
        <v>116.976</v>
      </c>
      <c r="K217" s="128">
        <f>Nitrogen!D142</f>
        <v>102.86399999999999</v>
      </c>
      <c r="N217" s="32" t="s">
        <v>91</v>
      </c>
      <c r="O217" s="128">
        <f>(C217-C212)/(I217-I212)</f>
        <v>63.327184865622947</v>
      </c>
      <c r="P217" s="128">
        <f>(D217-D212)/(J217-J212)</f>
        <v>50.287670519629273</v>
      </c>
      <c r="Q217" s="128">
        <f>(E217-E212)/(K217-K212)</f>
        <v>50.675675675675663</v>
      </c>
      <c r="U217" s="32" t="s">
        <v>91</v>
      </c>
      <c r="V217" s="85">
        <v>1113.18</v>
      </c>
      <c r="W217" s="85">
        <v>1086.08</v>
      </c>
      <c r="X217" s="85">
        <v>1103.18</v>
      </c>
      <c r="Z217" s="32" t="s">
        <v>91</v>
      </c>
      <c r="AA217" s="85">
        <f t="shared" si="148"/>
        <v>11131.8</v>
      </c>
      <c r="AB217" s="85">
        <f t="shared" si="149"/>
        <v>10860.8</v>
      </c>
      <c r="AC217" s="85">
        <f t="shared" si="150"/>
        <v>11031.8</v>
      </c>
    </row>
    <row r="218" spans="2:29" x14ac:dyDescent="0.25">
      <c r="B218" s="32" t="s">
        <v>92</v>
      </c>
      <c r="C218" s="85">
        <f t="shared" si="144"/>
        <v>9931.9</v>
      </c>
      <c r="D218" s="85">
        <f t="shared" si="145"/>
        <v>9783.5</v>
      </c>
      <c r="E218" s="85">
        <f t="shared" si="146"/>
        <v>10080.6</v>
      </c>
      <c r="H218" s="32" t="s">
        <v>92</v>
      </c>
      <c r="I218" s="128">
        <f>Nitrogen!B143</f>
        <v>79.099000000000004</v>
      </c>
      <c r="J218" s="128">
        <f>Nitrogen!C143</f>
        <v>71.870999999999995</v>
      </c>
      <c r="K218" s="128">
        <f>Nitrogen!D143</f>
        <v>74.200999999999993</v>
      </c>
      <c r="N218" s="32" t="s">
        <v>92</v>
      </c>
      <c r="O218" s="128">
        <f>(C218-C212)/(I218-I212)</f>
        <v>81.777667054199156</v>
      </c>
      <c r="P218" s="128">
        <f>(D218-D212)/(J218-J212)</f>
        <v>87.833790472587424</v>
      </c>
      <c r="Q218" s="128">
        <f>(E218-E212)/(K218-K212)</f>
        <v>65.205168186323675</v>
      </c>
      <c r="U218" s="32" t="s">
        <v>92</v>
      </c>
      <c r="V218" s="85">
        <v>993.19</v>
      </c>
      <c r="W218" s="85">
        <v>978.35</v>
      </c>
      <c r="X218" s="85">
        <v>1008.06</v>
      </c>
      <c r="Z218" s="32" t="s">
        <v>92</v>
      </c>
      <c r="AA218" s="85">
        <f t="shared" si="148"/>
        <v>9931.9</v>
      </c>
      <c r="AB218" s="85">
        <f t="shared" si="149"/>
        <v>9783.5</v>
      </c>
      <c r="AC218" s="85">
        <f t="shared" si="150"/>
        <v>10080.6</v>
      </c>
    </row>
    <row r="219" spans="2:29" x14ac:dyDescent="0.25">
      <c r="B219" s="32" t="s">
        <v>93</v>
      </c>
      <c r="C219" s="85">
        <f t="shared" si="144"/>
        <v>10690.9</v>
      </c>
      <c r="D219" s="85">
        <f t="shared" si="145"/>
        <v>10533.900000000001</v>
      </c>
      <c r="E219" s="85">
        <f t="shared" si="146"/>
        <v>10633.4</v>
      </c>
      <c r="H219" s="32" t="s">
        <v>93</v>
      </c>
      <c r="I219" s="128">
        <f>Nitrogen!B144</f>
        <v>87.190399999999997</v>
      </c>
      <c r="J219" s="128">
        <f>Nitrogen!C144</f>
        <v>80.698999999999984</v>
      </c>
      <c r="K219" s="128">
        <f>Nitrogen!D144</f>
        <v>83.766999999999996</v>
      </c>
      <c r="N219" s="32" t="s">
        <v>93</v>
      </c>
      <c r="O219" s="128">
        <f>(C219-C212)/(I219-I212)</f>
        <v>83.978252904965004</v>
      </c>
      <c r="P219" s="128">
        <f>(D219-D212)/(J219-J212)</f>
        <v>87.217303376328772</v>
      </c>
      <c r="Q219" s="128">
        <f>(E219-E212)/(K219-K212)</f>
        <v>63.595147653473823</v>
      </c>
      <c r="U219" s="32" t="s">
        <v>93</v>
      </c>
      <c r="V219" s="85">
        <v>1069.0899999999999</v>
      </c>
      <c r="W219" s="85">
        <v>1053.3900000000001</v>
      </c>
      <c r="X219" s="85">
        <v>1063.3399999999999</v>
      </c>
      <c r="Z219" s="32" t="s">
        <v>93</v>
      </c>
      <c r="AA219" s="85">
        <f t="shared" si="148"/>
        <v>10690.9</v>
      </c>
      <c r="AB219" s="85">
        <f t="shared" si="149"/>
        <v>10533.900000000001</v>
      </c>
      <c r="AC219" s="85">
        <f t="shared" si="150"/>
        <v>10633.4</v>
      </c>
    </row>
    <row r="220" spans="2:29" x14ac:dyDescent="0.25">
      <c r="B220" s="32" t="s">
        <v>94</v>
      </c>
      <c r="C220" s="85">
        <f t="shared" si="144"/>
        <v>9860.7000000000007</v>
      </c>
      <c r="D220" s="85">
        <f t="shared" si="145"/>
        <v>9583.5</v>
      </c>
      <c r="E220" s="85">
        <f t="shared" si="146"/>
        <v>9877.7999999999993</v>
      </c>
      <c r="H220" s="32" t="s">
        <v>94</v>
      </c>
      <c r="I220" s="128">
        <f>Nitrogen!B145</f>
        <v>70.183999999999997</v>
      </c>
      <c r="J220" s="128">
        <f>Nitrogen!C145</f>
        <v>66.346000000000004</v>
      </c>
      <c r="K220" s="128">
        <f>Nitrogen!D145</f>
        <v>63.059999999999988</v>
      </c>
      <c r="N220" s="32" t="s">
        <v>94</v>
      </c>
      <c r="O220" s="128">
        <f>(C220-C212)/(I220-I212)</f>
        <v>105.95347469773256</v>
      </c>
      <c r="P220" s="128">
        <f>(D220-D212)/(J220-J212)</f>
        <v>98.724898831793524</v>
      </c>
      <c r="Q220" s="128">
        <f>(E220-E212)/(K220-K212)</f>
        <v>87.619422662055257</v>
      </c>
      <c r="U220" s="32" t="s">
        <v>94</v>
      </c>
      <c r="V220" s="85">
        <v>986.07</v>
      </c>
      <c r="W220" s="85">
        <v>958.35</v>
      </c>
      <c r="X220" s="85">
        <v>987.78</v>
      </c>
      <c r="Z220" s="32" t="s">
        <v>94</v>
      </c>
      <c r="AA220" s="85">
        <f t="shared" si="148"/>
        <v>9860.7000000000007</v>
      </c>
      <c r="AB220" s="85">
        <f t="shared" si="149"/>
        <v>9583.5</v>
      </c>
      <c r="AC220" s="85">
        <f t="shared" si="150"/>
        <v>9877.7999999999993</v>
      </c>
    </row>
    <row r="221" spans="2:29" x14ac:dyDescent="0.25">
      <c r="B221" s="32" t="s">
        <v>95</v>
      </c>
      <c r="C221" s="85">
        <f t="shared" si="144"/>
        <v>6125.2</v>
      </c>
      <c r="D221" s="85">
        <f t="shared" si="145"/>
        <v>6522.5</v>
      </c>
      <c r="E221" s="85">
        <f t="shared" si="146"/>
        <v>7512.5</v>
      </c>
      <c r="H221" s="32" t="s">
        <v>95</v>
      </c>
      <c r="I221" s="128">
        <f>Nitrogen!B146</f>
        <v>37.994000000000007</v>
      </c>
      <c r="J221" s="128">
        <f>Nitrogen!C146</f>
        <v>28.915999999999997</v>
      </c>
      <c r="K221" s="128">
        <f>Nitrogen!D146</f>
        <v>40.910000000000004</v>
      </c>
      <c r="N221" s="32" t="s">
        <v>95</v>
      </c>
      <c r="O221" s="128">
        <v>0</v>
      </c>
      <c r="P221" s="128">
        <v>0</v>
      </c>
      <c r="Q221" s="128">
        <v>0</v>
      </c>
      <c r="U221" s="32" t="s">
        <v>95</v>
      </c>
      <c r="V221" s="85">
        <v>612.52</v>
      </c>
      <c r="W221" s="85">
        <v>652.25</v>
      </c>
      <c r="X221" s="85">
        <v>751.25</v>
      </c>
      <c r="Z221" s="32" t="s">
        <v>95</v>
      </c>
      <c r="AA221" s="85">
        <f t="shared" si="148"/>
        <v>6125.2</v>
      </c>
      <c r="AB221" s="85">
        <f t="shared" si="149"/>
        <v>6522.5</v>
      </c>
      <c r="AC221" s="85">
        <f t="shared" si="150"/>
        <v>7512.5</v>
      </c>
    </row>
    <row r="222" spans="2:29" x14ac:dyDescent="0.25">
      <c r="B222" s="32" t="s">
        <v>96</v>
      </c>
      <c r="C222" s="85">
        <f t="shared" si="144"/>
        <v>10215.4</v>
      </c>
      <c r="D222" s="85">
        <f t="shared" si="145"/>
        <v>9812.5</v>
      </c>
      <c r="E222" s="85">
        <f t="shared" si="146"/>
        <v>10038.5</v>
      </c>
      <c r="H222" s="32" t="s">
        <v>96</v>
      </c>
      <c r="I222" s="128">
        <f>Nitrogen!B147</f>
        <v>72.930000000000007</v>
      </c>
      <c r="J222" s="128">
        <f>Nitrogen!C147</f>
        <v>73</v>
      </c>
      <c r="K222" s="128">
        <f>Nitrogen!D147</f>
        <v>72.037999999999982</v>
      </c>
      <c r="N222" s="32" t="s">
        <v>96</v>
      </c>
      <c r="O222" s="128">
        <f>(C222-C221)/(I222-I221)</f>
        <v>117.07694069155026</v>
      </c>
      <c r="P222" s="128">
        <f t="shared" ref="P222" si="151">(D222-D221)/(J222-J221)</f>
        <v>74.630251338354043</v>
      </c>
      <c r="Q222" s="128">
        <f t="shared" ref="Q222" si="152">(E222-E221)/(K222-K221)</f>
        <v>81.148804934464209</v>
      </c>
      <c r="U222" s="32" t="s">
        <v>96</v>
      </c>
      <c r="V222" s="85">
        <v>1021.54</v>
      </c>
      <c r="W222" s="85">
        <v>981.25</v>
      </c>
      <c r="X222" s="85">
        <v>1003.85</v>
      </c>
      <c r="Z222" s="32" t="s">
        <v>96</v>
      </c>
      <c r="AA222" s="85">
        <f t="shared" si="148"/>
        <v>10215.4</v>
      </c>
      <c r="AB222" s="85">
        <f t="shared" si="149"/>
        <v>9812.5</v>
      </c>
      <c r="AC222" s="85">
        <f t="shared" si="150"/>
        <v>10038.5</v>
      </c>
    </row>
    <row r="223" spans="2:29" x14ac:dyDescent="0.25">
      <c r="B223" s="32" t="s">
        <v>97</v>
      </c>
      <c r="C223" s="85">
        <f t="shared" si="144"/>
        <v>9711.5</v>
      </c>
      <c r="D223" s="85">
        <f t="shared" si="145"/>
        <v>10131.799999999997</v>
      </c>
      <c r="E223" s="85">
        <f t="shared" si="146"/>
        <v>10811.799999999997</v>
      </c>
      <c r="H223" s="32" t="s">
        <v>97</v>
      </c>
      <c r="I223" s="128">
        <f>Nitrogen!B148</f>
        <v>98.512</v>
      </c>
      <c r="J223" s="128">
        <f>Nitrogen!C148</f>
        <v>92.671999999999997</v>
      </c>
      <c r="K223" s="128">
        <f>Nitrogen!D148</f>
        <v>90.244</v>
      </c>
      <c r="N223" s="32" t="s">
        <v>97</v>
      </c>
      <c r="O223" s="128">
        <f>(C223-C221)/(I223-I221)</f>
        <v>59.260054859711168</v>
      </c>
      <c r="P223" s="128">
        <f>(D223-D221)/(J223-J221)</f>
        <v>56.611142480707656</v>
      </c>
      <c r="Q223" s="128">
        <f>(E223-E221)/(K223-K221)</f>
        <v>66.876798962176139</v>
      </c>
      <c r="U223" s="32" t="s">
        <v>97</v>
      </c>
      <c r="V223" s="85">
        <v>971.15</v>
      </c>
      <c r="W223" s="85">
        <v>1013.1799999999998</v>
      </c>
      <c r="X223" s="85">
        <v>1081.1799999999998</v>
      </c>
      <c r="Z223" s="32" t="s">
        <v>97</v>
      </c>
      <c r="AA223" s="85">
        <f t="shared" si="148"/>
        <v>9711.5</v>
      </c>
      <c r="AB223" s="85">
        <f t="shared" si="149"/>
        <v>10131.799999999997</v>
      </c>
      <c r="AC223" s="85">
        <f t="shared" si="150"/>
        <v>10811.799999999997</v>
      </c>
    </row>
    <row r="224" spans="2:29" x14ac:dyDescent="0.25">
      <c r="B224" s="32" t="s">
        <v>98</v>
      </c>
      <c r="C224" s="85">
        <f t="shared" si="144"/>
        <v>9545.6</v>
      </c>
      <c r="D224" s="85">
        <f t="shared" si="145"/>
        <v>9515.7999999999993</v>
      </c>
      <c r="E224" s="85">
        <f t="shared" si="146"/>
        <v>9468.6</v>
      </c>
      <c r="H224" s="32" t="s">
        <v>98</v>
      </c>
      <c r="I224" s="128">
        <f>Nitrogen!B149</f>
        <v>69.56</v>
      </c>
      <c r="J224" s="128">
        <f>Nitrogen!C149</f>
        <v>60.81</v>
      </c>
      <c r="K224" s="128">
        <f>Nitrogen!D149</f>
        <v>71.572999999999993</v>
      </c>
      <c r="N224" s="32" t="s">
        <v>98</v>
      </c>
      <c r="O224" s="128">
        <f>(C224-C221)/(I224-I221)</f>
        <v>108.35709307482738</v>
      </c>
      <c r="P224" s="128">
        <f>(D224-D221)/(J224-J221)</f>
        <v>93.851508120649612</v>
      </c>
      <c r="Q224" s="128">
        <f>(E224-E221)/(K224-K221)</f>
        <v>63.793497048560191</v>
      </c>
      <c r="U224" s="32" t="s">
        <v>98</v>
      </c>
      <c r="V224" s="85">
        <v>954.56</v>
      </c>
      <c r="W224" s="85">
        <v>951.58</v>
      </c>
      <c r="X224" s="85">
        <v>946.86</v>
      </c>
      <c r="Z224" s="32" t="s">
        <v>98</v>
      </c>
      <c r="AA224" s="85">
        <f t="shared" si="148"/>
        <v>9545.6</v>
      </c>
      <c r="AB224" s="85">
        <f t="shared" si="149"/>
        <v>9515.7999999999993</v>
      </c>
      <c r="AC224" s="85">
        <f t="shared" si="150"/>
        <v>9468.6</v>
      </c>
    </row>
    <row r="225" spans="2:43" x14ac:dyDescent="0.25">
      <c r="B225" s="32" t="s">
        <v>99</v>
      </c>
      <c r="C225" s="85">
        <f t="shared" si="144"/>
        <v>9995.6</v>
      </c>
      <c r="D225" s="85">
        <f t="shared" si="145"/>
        <v>10612.9</v>
      </c>
      <c r="E225" s="85">
        <f t="shared" si="146"/>
        <v>9991.9</v>
      </c>
      <c r="H225" s="32" t="s">
        <v>99</v>
      </c>
      <c r="I225" s="128">
        <f>Nitrogen!B150</f>
        <v>78.754999999999995</v>
      </c>
      <c r="J225" s="128">
        <f>Nitrogen!C150</f>
        <v>87.920000000000016</v>
      </c>
      <c r="K225" s="128">
        <f>Nitrogen!D150</f>
        <v>86.281999999999996</v>
      </c>
      <c r="N225" s="32" t="s">
        <v>99</v>
      </c>
      <c r="O225" s="128">
        <f>(C225-C221)/(I225-I221)</f>
        <v>94.95350948210303</v>
      </c>
      <c r="P225" s="128">
        <f>(D225-D221)/(J225-J221)</f>
        <v>69.324113619415598</v>
      </c>
      <c r="Q225" s="128">
        <f>(E225-E221)/(K225-K221)</f>
        <v>54.646037203561669</v>
      </c>
      <c r="U225" s="32" t="s">
        <v>99</v>
      </c>
      <c r="V225" s="85">
        <v>999.56</v>
      </c>
      <c r="W225" s="85">
        <v>1061.29</v>
      </c>
      <c r="X225" s="85">
        <v>999.19</v>
      </c>
      <c r="Z225" s="32" t="s">
        <v>99</v>
      </c>
      <c r="AA225" s="85">
        <f t="shared" si="148"/>
        <v>9995.6</v>
      </c>
      <c r="AB225" s="85">
        <f t="shared" si="149"/>
        <v>10612.9</v>
      </c>
      <c r="AC225" s="85">
        <f t="shared" si="150"/>
        <v>9991.9</v>
      </c>
    </row>
    <row r="226" spans="2:43" x14ac:dyDescent="0.25">
      <c r="B226" s="32" t="s">
        <v>100</v>
      </c>
      <c r="C226" s="85">
        <f t="shared" si="144"/>
        <v>10315.799999999999</v>
      </c>
      <c r="D226" s="85">
        <f t="shared" si="145"/>
        <v>10331.6</v>
      </c>
      <c r="E226" s="85">
        <f t="shared" si="146"/>
        <v>10818.5</v>
      </c>
      <c r="H226" s="32" t="s">
        <v>100</v>
      </c>
      <c r="I226" s="128">
        <f>Nitrogen!B151</f>
        <v>102.31199999999998</v>
      </c>
      <c r="J226" s="128">
        <f>Nitrogen!C151</f>
        <v>104.50799999999998</v>
      </c>
      <c r="K226" s="128">
        <f>Nitrogen!D151</f>
        <v>97.656000000000006</v>
      </c>
      <c r="N226" s="32" t="s">
        <v>100</v>
      </c>
      <c r="O226" s="128">
        <f>(C226-C221)/(I226-I221)</f>
        <v>65.154389129015215</v>
      </c>
      <c r="P226" s="128">
        <f>(D226-D221)/(J226-J221)</f>
        <v>50.390252936818726</v>
      </c>
      <c r="Q226" s="128">
        <f>(E226-E221)/(K226-K221)</f>
        <v>58.259613012370913</v>
      </c>
      <c r="U226" s="32" t="s">
        <v>100</v>
      </c>
      <c r="V226" s="85">
        <v>1031.58</v>
      </c>
      <c r="W226" s="85">
        <v>1033.1600000000001</v>
      </c>
      <c r="X226" s="85">
        <v>1081.8499999999999</v>
      </c>
      <c r="Z226" s="32" t="s">
        <v>100</v>
      </c>
      <c r="AA226" s="85">
        <f t="shared" si="148"/>
        <v>10315.799999999999</v>
      </c>
      <c r="AB226" s="85">
        <f t="shared" si="149"/>
        <v>10331.6</v>
      </c>
      <c r="AC226" s="85">
        <f t="shared" si="150"/>
        <v>10818.5</v>
      </c>
    </row>
    <row r="227" spans="2:43" x14ac:dyDescent="0.25">
      <c r="B227" s="32" t="s">
        <v>101</v>
      </c>
      <c r="C227" s="85">
        <f t="shared" si="144"/>
        <v>10615.8</v>
      </c>
      <c r="D227" s="85">
        <f t="shared" si="145"/>
        <v>9365.7999999999993</v>
      </c>
      <c r="E227" s="85">
        <f t="shared" si="146"/>
        <v>9805.6</v>
      </c>
      <c r="H227" s="32" t="s">
        <v>101</v>
      </c>
      <c r="I227" s="128">
        <f>Nitrogen!B152</f>
        <v>72.47399999999999</v>
      </c>
      <c r="J227" s="128">
        <f>Nitrogen!C152</f>
        <v>68.495999999999995</v>
      </c>
      <c r="K227" s="128">
        <f>Nitrogen!D152</f>
        <v>68.11999999999999</v>
      </c>
      <c r="N227" s="32" t="s">
        <v>101</v>
      </c>
      <c r="O227" s="128">
        <f>(C227-C221)/(I227-I221)</f>
        <v>130.2378190255221</v>
      </c>
      <c r="P227" s="128">
        <f>(D227-D221)/(J227-J221)</f>
        <v>71.836786255684672</v>
      </c>
      <c r="Q227" s="128">
        <f>(E227-E221)/(K227-K221)</f>
        <v>84.274163910327147</v>
      </c>
      <c r="U227" s="32" t="s">
        <v>101</v>
      </c>
      <c r="V227" s="85">
        <v>1061.58</v>
      </c>
      <c r="W227" s="85">
        <v>936.58</v>
      </c>
      <c r="X227" s="85">
        <v>980.56</v>
      </c>
      <c r="Z227" s="32" t="s">
        <v>101</v>
      </c>
      <c r="AA227" s="85">
        <f t="shared" si="148"/>
        <v>10615.8</v>
      </c>
      <c r="AB227" s="85">
        <f t="shared" si="149"/>
        <v>9365.7999999999993</v>
      </c>
      <c r="AC227" s="85">
        <f t="shared" si="150"/>
        <v>9805.6</v>
      </c>
    </row>
    <row r="228" spans="2:43" x14ac:dyDescent="0.25">
      <c r="B228" s="32" t="s">
        <v>102</v>
      </c>
      <c r="C228" s="85">
        <f t="shared" si="144"/>
        <v>10018.6</v>
      </c>
      <c r="D228" s="85">
        <f t="shared" si="145"/>
        <v>10301.6</v>
      </c>
      <c r="E228" s="85">
        <f t="shared" si="146"/>
        <v>10491.899999999998</v>
      </c>
      <c r="H228" s="32" t="s">
        <v>102</v>
      </c>
      <c r="I228" s="128">
        <f>Nitrogen!B153</f>
        <v>76.430999999999983</v>
      </c>
      <c r="J228" s="128">
        <f>Nitrogen!C153</f>
        <v>79.801999999999992</v>
      </c>
      <c r="K228" s="128">
        <f>Nitrogen!D153</f>
        <v>82.26400000000001</v>
      </c>
      <c r="N228" s="32" t="s">
        <v>102</v>
      </c>
      <c r="O228" s="128">
        <f>(C228-C221)/(I228-I221)</f>
        <v>101.29302494991812</v>
      </c>
      <c r="P228" s="128">
        <f>(D228-D221)/(J228-J221)</f>
        <v>74.266006367173702</v>
      </c>
      <c r="Q228" s="128">
        <f>(E228-E221)/(K228-K221)</f>
        <v>72.046234947042549</v>
      </c>
      <c r="U228" s="32" t="s">
        <v>102</v>
      </c>
      <c r="V228" s="85">
        <v>1001.86</v>
      </c>
      <c r="W228" s="85">
        <v>1030.1600000000001</v>
      </c>
      <c r="X228" s="85">
        <v>1049.1899999999998</v>
      </c>
      <c r="Z228" s="32" t="s">
        <v>102</v>
      </c>
      <c r="AA228" s="85">
        <f t="shared" si="148"/>
        <v>10018.6</v>
      </c>
      <c r="AB228" s="85">
        <f t="shared" si="149"/>
        <v>10301.6</v>
      </c>
      <c r="AC228" s="85">
        <f t="shared" si="150"/>
        <v>10491.899999999998</v>
      </c>
    </row>
    <row r="229" spans="2:43" x14ac:dyDescent="0.25">
      <c r="B229" s="32" t="s">
        <v>103</v>
      </c>
      <c r="C229" s="85">
        <f t="shared" si="144"/>
        <v>9311.5</v>
      </c>
      <c r="D229" s="85">
        <f t="shared" si="145"/>
        <v>9315.9</v>
      </c>
      <c r="E229" s="85">
        <f t="shared" si="146"/>
        <v>9165.7999999999993</v>
      </c>
      <c r="H229" s="32" t="s">
        <v>103</v>
      </c>
      <c r="I229" s="128">
        <f>Nitrogen!B154</f>
        <v>62.091999999999999</v>
      </c>
      <c r="J229" s="128">
        <f>Nitrogen!C154</f>
        <v>65.846000000000004</v>
      </c>
      <c r="K229" s="128">
        <f>Nitrogen!D154</f>
        <v>61.266999999999996</v>
      </c>
      <c r="N229" s="32" t="s">
        <v>103</v>
      </c>
      <c r="O229" s="128">
        <f>(C229-C221)/(I229-I221)</f>
        <v>132.22259108639727</v>
      </c>
      <c r="P229" s="128">
        <f>(D229-D221)/(J229-J221)</f>
        <v>75.640400758191149</v>
      </c>
      <c r="Q229" s="128">
        <f>(E229-E221)/(K229-K221)</f>
        <v>81.21530677408262</v>
      </c>
      <c r="U229" s="32" t="s">
        <v>103</v>
      </c>
      <c r="V229" s="85">
        <v>931.15</v>
      </c>
      <c r="W229" s="85">
        <v>931.59</v>
      </c>
      <c r="X229" s="85">
        <v>916.58</v>
      </c>
      <c r="Z229" s="32" t="s">
        <v>103</v>
      </c>
      <c r="AA229" s="85">
        <f t="shared" si="148"/>
        <v>9311.5</v>
      </c>
      <c r="AB229" s="85">
        <f t="shared" si="149"/>
        <v>9315.9</v>
      </c>
      <c r="AC229" s="85">
        <f t="shared" si="150"/>
        <v>9165.7999999999993</v>
      </c>
    </row>
    <row r="230" spans="2:43" s="24" customFormat="1" x14ac:dyDescent="0.25">
      <c r="B230" s="92"/>
      <c r="C230" s="95"/>
      <c r="D230" s="95"/>
      <c r="E230" s="95"/>
      <c r="H230" s="92"/>
      <c r="I230" s="129"/>
      <c r="J230" s="129"/>
      <c r="K230" s="129"/>
      <c r="N230" s="92"/>
      <c r="O230" s="129"/>
      <c r="P230" s="129"/>
      <c r="Q230" s="129"/>
      <c r="R230" s="107"/>
      <c r="S230" s="107"/>
      <c r="AD230" s="104"/>
      <c r="AE230" s="104"/>
      <c r="AP230" s="107"/>
      <c r="AQ230" s="107"/>
    </row>
    <row r="231" spans="2:43" s="24" customFormat="1" x14ac:dyDescent="0.25">
      <c r="B231" s="92"/>
      <c r="C231" s="95"/>
      <c r="D231" s="66">
        <v>2020</v>
      </c>
      <c r="I231" s="66">
        <v>2020</v>
      </c>
      <c r="O231" s="66">
        <v>2020</v>
      </c>
      <c r="Q231" s="129"/>
      <c r="R231" s="107"/>
      <c r="S231" s="107"/>
      <c r="AD231" s="104"/>
      <c r="AE231" s="104"/>
      <c r="AP231" s="107"/>
      <c r="AQ231" s="107"/>
    </row>
    <row r="232" spans="2:43" ht="15.75" x14ac:dyDescent="0.25">
      <c r="D232" s="56" t="s">
        <v>159</v>
      </c>
      <c r="E232" s="24"/>
      <c r="F232" s="24"/>
      <c r="G232" s="24"/>
      <c r="H232" s="24"/>
      <c r="I232" s="56" t="s">
        <v>130</v>
      </c>
      <c r="J232" s="24"/>
      <c r="K232" s="24"/>
      <c r="L232" s="24"/>
      <c r="M232" s="24"/>
      <c r="N232" s="24"/>
      <c r="O232" s="56" t="s">
        <v>160</v>
      </c>
      <c r="P232" s="24"/>
    </row>
    <row r="234" spans="2:43" x14ac:dyDescent="0.25">
      <c r="B234" s="46" t="s">
        <v>0</v>
      </c>
      <c r="C234" s="30" t="s">
        <v>1</v>
      </c>
      <c r="D234" s="30" t="s">
        <v>2</v>
      </c>
      <c r="E234" s="30" t="s">
        <v>3</v>
      </c>
      <c r="H234" s="46" t="s">
        <v>0</v>
      </c>
      <c r="I234" s="30" t="s">
        <v>1</v>
      </c>
      <c r="J234" s="30" t="s">
        <v>2</v>
      </c>
      <c r="K234" s="30" t="s">
        <v>3</v>
      </c>
      <c r="L234" s="24"/>
      <c r="M234" s="24"/>
      <c r="N234" s="46" t="s">
        <v>0</v>
      </c>
      <c r="O234" s="30" t="s">
        <v>1</v>
      </c>
      <c r="P234" s="30" t="s">
        <v>2</v>
      </c>
      <c r="Q234" s="30" t="s">
        <v>3</v>
      </c>
      <c r="U234" s="46" t="s">
        <v>0</v>
      </c>
      <c r="V234" s="30" t="s">
        <v>1</v>
      </c>
      <c r="W234" s="30" t="s">
        <v>2</v>
      </c>
      <c r="X234" s="30" t="s">
        <v>3</v>
      </c>
      <c r="Y234" s="24"/>
      <c r="Z234" s="46" t="s">
        <v>0</v>
      </c>
      <c r="AA234" s="30" t="s">
        <v>1</v>
      </c>
      <c r="AB234" s="30" t="s">
        <v>2</v>
      </c>
      <c r="AC234" s="30" t="s">
        <v>3</v>
      </c>
    </row>
    <row r="235" spans="2:43" x14ac:dyDescent="0.25">
      <c r="B235" s="32" t="s">
        <v>86</v>
      </c>
      <c r="C235" s="85">
        <v>6102.9</v>
      </c>
      <c r="D235" s="85">
        <v>7022.5</v>
      </c>
      <c r="E235" s="85">
        <v>9102.6</v>
      </c>
      <c r="H235" s="32" t="s">
        <v>86</v>
      </c>
      <c r="I235" s="128">
        <f>Nitrogen!B299</f>
        <v>44.332999999999998</v>
      </c>
      <c r="J235" s="128">
        <f>Nitrogen!C299</f>
        <v>41.239999999999995</v>
      </c>
      <c r="K235" s="128">
        <f>Nitrogen!D299</f>
        <v>44.916399999999996</v>
      </c>
      <c r="L235" s="24"/>
      <c r="M235" s="24"/>
      <c r="N235" s="32" t="s">
        <v>86</v>
      </c>
      <c r="O235" s="128">
        <v>0</v>
      </c>
      <c r="P235" s="128">
        <v>0</v>
      </c>
      <c r="Q235" s="128">
        <v>0</v>
      </c>
      <c r="U235" s="32" t="s">
        <v>86</v>
      </c>
      <c r="V235" s="85">
        <f>C235</f>
        <v>6102.9</v>
      </c>
      <c r="W235" s="85">
        <f t="shared" ref="W235:X235" si="153">D235</f>
        <v>7022.5</v>
      </c>
      <c r="X235" s="85">
        <f t="shared" si="153"/>
        <v>9102.6</v>
      </c>
      <c r="Y235" s="24"/>
      <c r="Z235" s="32" t="s">
        <v>86</v>
      </c>
      <c r="AA235" s="85">
        <f>(V235*10000)/1000</f>
        <v>61029</v>
      </c>
      <c r="AB235" s="85">
        <f t="shared" ref="AB235:AB252" si="154">(W235*10000)/1000</f>
        <v>70225</v>
      </c>
      <c r="AC235" s="85">
        <f t="shared" ref="AC235:AC252" si="155">(X235*10000)/1000</f>
        <v>91026</v>
      </c>
    </row>
    <row r="236" spans="2:43" x14ac:dyDescent="0.25">
      <c r="B236" s="32" t="s">
        <v>87</v>
      </c>
      <c r="C236" s="85">
        <v>10725.8</v>
      </c>
      <c r="D236" s="85">
        <v>10215.6</v>
      </c>
      <c r="E236" s="85">
        <v>11265.8</v>
      </c>
      <c r="H236" s="32" t="s">
        <v>87</v>
      </c>
      <c r="I236" s="128">
        <f>Nitrogen!B300</f>
        <v>81.42179999999999</v>
      </c>
      <c r="J236" s="128">
        <f>Nitrogen!C300</f>
        <v>87.626999999999981</v>
      </c>
      <c r="K236" s="128">
        <f>Nitrogen!D300</f>
        <v>90.204999999999998</v>
      </c>
      <c r="L236" s="24"/>
      <c r="M236" s="24"/>
      <c r="N236" s="32" t="s">
        <v>87</v>
      </c>
      <c r="O236" s="128">
        <f>(C236-C235)/(I236-I235)</f>
        <v>124.64409740946056</v>
      </c>
      <c r="P236" s="128">
        <f t="shared" ref="P236" si="156">(D236-D235)/(J236-J235)</f>
        <v>68.836096320089709</v>
      </c>
      <c r="Q236" s="128">
        <f t="shared" ref="Q236" si="157">(E236-E235)/(K236-K235)</f>
        <v>47.764779657573847</v>
      </c>
      <c r="U236" s="32" t="s">
        <v>87</v>
      </c>
      <c r="V236" s="85">
        <f t="shared" ref="V236:V252" si="158">C236</f>
        <v>10725.8</v>
      </c>
      <c r="W236" s="85">
        <f t="shared" ref="W236:W252" si="159">D236</f>
        <v>10215.6</v>
      </c>
      <c r="X236" s="85">
        <f t="shared" ref="X236:X252" si="160">E236</f>
        <v>11265.8</v>
      </c>
      <c r="Y236" s="24"/>
      <c r="Z236" s="32" t="s">
        <v>87</v>
      </c>
      <c r="AA236" s="85">
        <f t="shared" ref="AA236:AA252" si="161">(V236*10000)/1000</f>
        <v>107258</v>
      </c>
      <c r="AB236" s="85">
        <f t="shared" si="154"/>
        <v>102156</v>
      </c>
      <c r="AC236" s="85">
        <f t="shared" si="155"/>
        <v>112658</v>
      </c>
    </row>
    <row r="237" spans="2:43" x14ac:dyDescent="0.25">
      <c r="B237" s="32" t="s">
        <v>88</v>
      </c>
      <c r="C237" s="85">
        <v>10058.6</v>
      </c>
      <c r="D237" s="85">
        <v>10602.4</v>
      </c>
      <c r="E237" s="85">
        <v>12165.8</v>
      </c>
      <c r="H237" s="32" t="s">
        <v>88</v>
      </c>
      <c r="I237" s="128">
        <f>Nitrogen!B301</f>
        <v>104.78399999999999</v>
      </c>
      <c r="J237" s="128">
        <f>Nitrogen!C301</f>
        <v>102.46000000000001</v>
      </c>
      <c r="K237" s="128">
        <f>Nitrogen!D301</f>
        <v>106.31700000000001</v>
      </c>
      <c r="L237" s="24"/>
      <c r="M237" s="24"/>
      <c r="N237" s="32" t="s">
        <v>88</v>
      </c>
      <c r="O237" s="128">
        <f>(C237-C235)/(I237-I235)</f>
        <v>65.436469206464764</v>
      </c>
      <c r="P237" s="128">
        <f>(D237-D235)/(J237-J235)</f>
        <v>58.475988239137521</v>
      </c>
      <c r="Q237" s="128">
        <f>(E237-E235)/(K237-K235)</f>
        <v>49.888763301987247</v>
      </c>
      <c r="U237" s="32" t="s">
        <v>88</v>
      </c>
      <c r="V237" s="85">
        <f t="shared" si="158"/>
        <v>10058.6</v>
      </c>
      <c r="W237" s="85">
        <f t="shared" si="159"/>
        <v>10602.4</v>
      </c>
      <c r="X237" s="85">
        <f t="shared" si="160"/>
        <v>12165.8</v>
      </c>
      <c r="Y237" s="24"/>
      <c r="Z237" s="32" t="s">
        <v>88</v>
      </c>
      <c r="AA237" s="85">
        <f t="shared" si="161"/>
        <v>100586</v>
      </c>
      <c r="AB237" s="85">
        <f t="shared" si="154"/>
        <v>106024</v>
      </c>
      <c r="AC237" s="85">
        <f t="shared" si="155"/>
        <v>121658</v>
      </c>
    </row>
    <row r="238" spans="2:43" x14ac:dyDescent="0.25">
      <c r="B238" s="32" t="s">
        <v>89</v>
      </c>
      <c r="C238" s="85">
        <v>10075.799999999999</v>
      </c>
      <c r="D238" s="85">
        <v>9855.7999999999993</v>
      </c>
      <c r="E238" s="85">
        <v>10035.6</v>
      </c>
      <c r="H238" s="32" t="s">
        <v>89</v>
      </c>
      <c r="I238" s="128">
        <f>Nitrogen!B302</f>
        <v>75.448000000000008</v>
      </c>
      <c r="J238" s="128">
        <f>Nitrogen!C302</f>
        <v>77.856999999999999</v>
      </c>
      <c r="K238" s="128">
        <f>Nitrogen!D302</f>
        <v>74.581000000000003</v>
      </c>
      <c r="L238" s="24"/>
      <c r="M238" s="24"/>
      <c r="N238" s="32" t="s">
        <v>89</v>
      </c>
      <c r="O238" s="128">
        <f>(C238-C235)/(I238-I235)</f>
        <v>127.68439659328294</v>
      </c>
      <c r="P238" s="128">
        <f>(D238-D235)/(J238-J235)</f>
        <v>77.376628342026905</v>
      </c>
      <c r="Q238" s="128">
        <f>(E238-E235)/(K238-K235)</f>
        <v>31.451629214619437</v>
      </c>
      <c r="U238" s="32" t="s">
        <v>89</v>
      </c>
      <c r="V238" s="85">
        <f t="shared" si="158"/>
        <v>10075.799999999999</v>
      </c>
      <c r="W238" s="85">
        <f t="shared" si="159"/>
        <v>9855.7999999999993</v>
      </c>
      <c r="X238" s="85">
        <f t="shared" si="160"/>
        <v>10035.6</v>
      </c>
      <c r="Y238" s="24"/>
      <c r="Z238" s="32" t="s">
        <v>89</v>
      </c>
      <c r="AA238" s="85">
        <f t="shared" si="161"/>
        <v>100758</v>
      </c>
      <c r="AB238" s="85">
        <f t="shared" si="154"/>
        <v>98558</v>
      </c>
      <c r="AC238" s="85">
        <f t="shared" si="155"/>
        <v>100356</v>
      </c>
    </row>
    <row r="239" spans="2:43" x14ac:dyDescent="0.25">
      <c r="B239" s="32" t="s">
        <v>90</v>
      </c>
      <c r="C239" s="85">
        <v>11012.5</v>
      </c>
      <c r="D239" s="85">
        <v>10815.6</v>
      </c>
      <c r="E239" s="85">
        <v>10889.5</v>
      </c>
      <c r="H239" s="32" t="s">
        <v>90</v>
      </c>
      <c r="I239" s="128">
        <f>Nitrogen!B303</f>
        <v>98.367000000000004</v>
      </c>
      <c r="J239" s="128">
        <f>Nitrogen!C303</f>
        <v>101.75399999999999</v>
      </c>
      <c r="K239" s="128">
        <f>Nitrogen!D303</f>
        <v>99.52800000000002</v>
      </c>
      <c r="L239" s="24"/>
      <c r="M239" s="24"/>
      <c r="N239" s="32" t="s">
        <v>90</v>
      </c>
      <c r="O239" s="128">
        <f>(C239-C235)/(I239-I235)</f>
        <v>90.861309545841507</v>
      </c>
      <c r="P239" s="128">
        <f>(D239-D235)/(J239-J235)</f>
        <v>62.681362990382404</v>
      </c>
      <c r="Q239" s="128">
        <f>(E239-E235)/(K239-K235)</f>
        <v>32.72015469240965</v>
      </c>
      <c r="U239" s="32" t="s">
        <v>90</v>
      </c>
      <c r="V239" s="85">
        <f t="shared" si="158"/>
        <v>11012.5</v>
      </c>
      <c r="W239" s="85">
        <f t="shared" si="159"/>
        <v>10815.6</v>
      </c>
      <c r="X239" s="85">
        <f t="shared" si="160"/>
        <v>10889.5</v>
      </c>
      <c r="Y239" s="24"/>
      <c r="Z239" s="32" t="s">
        <v>90</v>
      </c>
      <c r="AA239" s="85">
        <f t="shared" si="161"/>
        <v>110125</v>
      </c>
      <c r="AB239" s="85">
        <f t="shared" si="154"/>
        <v>108156</v>
      </c>
      <c r="AC239" s="85">
        <f t="shared" si="155"/>
        <v>108895</v>
      </c>
    </row>
    <row r="240" spans="2:43" x14ac:dyDescent="0.25">
      <c r="B240" s="32" t="s">
        <v>91</v>
      </c>
      <c r="C240" s="85">
        <v>11285.6</v>
      </c>
      <c r="D240" s="85">
        <v>11002.5</v>
      </c>
      <c r="E240" s="85">
        <v>11185.9</v>
      </c>
      <c r="H240" s="32" t="s">
        <v>91</v>
      </c>
      <c r="I240" s="128">
        <f>Nitrogen!B304</f>
        <v>115.761</v>
      </c>
      <c r="J240" s="128">
        <f>Nitrogen!C304</f>
        <v>122.11199999999999</v>
      </c>
      <c r="K240" s="128">
        <f>Nitrogen!D304</f>
        <v>108.38399999999999</v>
      </c>
      <c r="L240" s="24"/>
      <c r="M240" s="24"/>
      <c r="N240" s="32" t="s">
        <v>91</v>
      </c>
      <c r="O240" s="128">
        <f>(C240-C235)/(I240-I235)</f>
        <v>72.558380467043747</v>
      </c>
      <c r="P240" s="128">
        <f>(D240-D235)/(J240-J235)</f>
        <v>49.213572064496979</v>
      </c>
      <c r="Q240" s="128">
        <f>(E240-E235)/(K240-K235)</f>
        <v>32.824622326982578</v>
      </c>
      <c r="U240" s="32" t="s">
        <v>91</v>
      </c>
      <c r="V240" s="85">
        <f t="shared" si="158"/>
        <v>11285.6</v>
      </c>
      <c r="W240" s="85">
        <f t="shared" si="159"/>
        <v>11002.5</v>
      </c>
      <c r="X240" s="85">
        <f t="shared" si="160"/>
        <v>11185.9</v>
      </c>
      <c r="Y240" s="24"/>
      <c r="Z240" s="32" t="s">
        <v>91</v>
      </c>
      <c r="AA240" s="85">
        <f t="shared" si="161"/>
        <v>112856</v>
      </c>
      <c r="AB240" s="85">
        <f t="shared" si="154"/>
        <v>110025</v>
      </c>
      <c r="AC240" s="85">
        <f t="shared" si="155"/>
        <v>111859</v>
      </c>
    </row>
    <row r="241" spans="2:29" x14ac:dyDescent="0.25">
      <c r="B241" s="32" t="s">
        <v>92</v>
      </c>
      <c r="C241" s="85">
        <v>10075.799999999999</v>
      </c>
      <c r="D241" s="85">
        <v>10945.8</v>
      </c>
      <c r="E241" s="85">
        <v>9402.5</v>
      </c>
      <c r="H241" s="32" t="s">
        <v>92</v>
      </c>
      <c r="I241" s="128">
        <f>Nitrogen!B305</f>
        <v>84.628</v>
      </c>
      <c r="J241" s="128">
        <f>Nitrogen!C305</f>
        <v>79.807000000000002</v>
      </c>
      <c r="K241" s="128">
        <f>Nitrogen!D305</f>
        <v>76.751999999999995</v>
      </c>
      <c r="L241" s="24"/>
      <c r="M241" s="24"/>
      <c r="N241" s="32" t="s">
        <v>92</v>
      </c>
      <c r="O241" s="128">
        <f>(C241-C235)/(I241-I235)</f>
        <v>98.595359225710368</v>
      </c>
      <c r="P241" s="128">
        <f>(D241-D235)/(J241-J235)</f>
        <v>101.72686493634451</v>
      </c>
      <c r="Q241" s="128">
        <f>(E241-E235)/(K241-K235)</f>
        <v>9.4202716455791524</v>
      </c>
      <c r="U241" s="32" t="s">
        <v>92</v>
      </c>
      <c r="V241" s="85">
        <f t="shared" si="158"/>
        <v>10075.799999999999</v>
      </c>
      <c r="W241" s="85">
        <f t="shared" si="159"/>
        <v>10945.8</v>
      </c>
      <c r="X241" s="85">
        <f t="shared" si="160"/>
        <v>9402.5</v>
      </c>
      <c r="Y241" s="24"/>
      <c r="Z241" s="32" t="s">
        <v>92</v>
      </c>
      <c r="AA241" s="85">
        <f t="shared" si="161"/>
        <v>100758</v>
      </c>
      <c r="AB241" s="85">
        <f t="shared" si="154"/>
        <v>109458</v>
      </c>
      <c r="AC241" s="85">
        <f t="shared" si="155"/>
        <v>94025</v>
      </c>
    </row>
    <row r="242" spans="2:29" x14ac:dyDescent="0.25">
      <c r="B242" s="32" t="s">
        <v>93</v>
      </c>
      <c r="C242" s="85">
        <v>10845.3</v>
      </c>
      <c r="D242" s="85">
        <v>10675.8</v>
      </c>
      <c r="E242" s="85">
        <v>10785.8</v>
      </c>
      <c r="H242" s="32" t="s">
        <v>93</v>
      </c>
      <c r="I242" s="128">
        <f>Nitrogen!B306</f>
        <v>94.97999999999999</v>
      </c>
      <c r="J242" s="128">
        <f>Nitrogen!C306</f>
        <v>85.570999999999998</v>
      </c>
      <c r="K242" s="128">
        <f>Nitrogen!D306</f>
        <v>89.443999999999988</v>
      </c>
      <c r="L242" s="24"/>
      <c r="M242" s="24"/>
      <c r="N242" s="32" t="s">
        <v>93</v>
      </c>
      <c r="O242" s="128">
        <f>(C242-C235)/(I242-I235)</f>
        <v>93.636345686812646</v>
      </c>
      <c r="P242" s="128">
        <f>(D242-D235)/(J242-J235)</f>
        <v>82.409600505289731</v>
      </c>
      <c r="Q242" s="128">
        <f>(E242-E235)/(K242-K235)</f>
        <v>37.801273816688955</v>
      </c>
      <c r="U242" s="32" t="s">
        <v>93</v>
      </c>
      <c r="V242" s="85">
        <f t="shared" si="158"/>
        <v>10845.3</v>
      </c>
      <c r="W242" s="85">
        <f t="shared" si="159"/>
        <v>10675.8</v>
      </c>
      <c r="X242" s="85">
        <f t="shared" si="160"/>
        <v>10785.8</v>
      </c>
      <c r="Y242" s="24"/>
      <c r="Z242" s="32" t="s">
        <v>93</v>
      </c>
      <c r="AA242" s="85">
        <f t="shared" si="161"/>
        <v>108453</v>
      </c>
      <c r="AB242" s="85">
        <f t="shared" si="154"/>
        <v>106758</v>
      </c>
      <c r="AC242" s="85">
        <f t="shared" si="155"/>
        <v>107858</v>
      </c>
    </row>
    <row r="243" spans="2:29" x14ac:dyDescent="0.25">
      <c r="B243" s="32" t="s">
        <v>94</v>
      </c>
      <c r="C243" s="85">
        <v>10002.299999999999</v>
      </c>
      <c r="D243" s="85">
        <v>9722.5</v>
      </c>
      <c r="E243" s="85">
        <v>10032.5</v>
      </c>
      <c r="H243" s="32" t="s">
        <v>94</v>
      </c>
      <c r="I243" s="128">
        <f>Nitrogen!B307</f>
        <v>76.025000000000006</v>
      </c>
      <c r="J243" s="128">
        <f>Nitrogen!C307</f>
        <v>73.426000000000002</v>
      </c>
      <c r="K243" s="128">
        <f>Nitrogen!D307</f>
        <v>68.114999999999995</v>
      </c>
      <c r="L243" s="24"/>
      <c r="M243" s="24"/>
      <c r="N243" s="32" t="s">
        <v>94</v>
      </c>
      <c r="O243" s="128">
        <f>(C243-C235)/(I243-I235)</f>
        <v>123.04051495645585</v>
      </c>
      <c r="P243" s="128">
        <f>(D243-D235)/(J243-J235)</f>
        <v>83.887404461567129</v>
      </c>
      <c r="Q243" s="128">
        <f>(E243-E235)/(K243-K235)</f>
        <v>40.084315432827829</v>
      </c>
      <c r="U243" s="32" t="s">
        <v>94</v>
      </c>
      <c r="V243" s="85">
        <f t="shared" si="158"/>
        <v>10002.299999999999</v>
      </c>
      <c r="W243" s="85">
        <f t="shared" si="159"/>
        <v>9722.5</v>
      </c>
      <c r="X243" s="85">
        <f t="shared" si="160"/>
        <v>10032.5</v>
      </c>
      <c r="Y243" s="24"/>
      <c r="Z243" s="32" t="s">
        <v>94</v>
      </c>
      <c r="AA243" s="85">
        <f t="shared" si="161"/>
        <v>100023</v>
      </c>
      <c r="AB243" s="85">
        <f t="shared" si="154"/>
        <v>97225</v>
      </c>
      <c r="AC243" s="85">
        <f t="shared" si="155"/>
        <v>100325</v>
      </c>
    </row>
    <row r="244" spans="2:29" x14ac:dyDescent="0.25">
      <c r="B244" s="32" t="s">
        <v>95</v>
      </c>
      <c r="C244" s="85">
        <v>6179.8</v>
      </c>
      <c r="D244" s="85">
        <v>6675.8</v>
      </c>
      <c r="E244" s="85">
        <v>8075.8</v>
      </c>
      <c r="H244" s="32" t="s">
        <v>95</v>
      </c>
      <c r="I244" s="128">
        <f>Nitrogen!B308</f>
        <v>33.023000000000003</v>
      </c>
      <c r="J244" s="128">
        <f>Nitrogen!C308</f>
        <v>40.997</v>
      </c>
      <c r="K244" s="128">
        <f>Nitrogen!D308</f>
        <v>46.873999999999995</v>
      </c>
      <c r="L244" s="24"/>
      <c r="M244" s="24"/>
      <c r="N244" s="32" t="s">
        <v>95</v>
      </c>
      <c r="O244" s="128">
        <v>0</v>
      </c>
      <c r="P244" s="128">
        <v>0</v>
      </c>
      <c r="Q244" s="128">
        <v>0</v>
      </c>
      <c r="U244" s="32" t="s">
        <v>95</v>
      </c>
      <c r="V244" s="85">
        <f t="shared" si="158"/>
        <v>6179.8</v>
      </c>
      <c r="W244" s="85">
        <f t="shared" si="159"/>
        <v>6675.8</v>
      </c>
      <c r="X244" s="85">
        <f t="shared" si="160"/>
        <v>8075.8</v>
      </c>
      <c r="Y244" s="24"/>
      <c r="Z244" s="32" t="s">
        <v>95</v>
      </c>
      <c r="AA244" s="85">
        <f t="shared" si="161"/>
        <v>61798</v>
      </c>
      <c r="AB244" s="85">
        <f t="shared" si="154"/>
        <v>66758</v>
      </c>
      <c r="AC244" s="85">
        <f t="shared" si="155"/>
        <v>80758</v>
      </c>
    </row>
    <row r="245" spans="2:29" x14ac:dyDescent="0.25">
      <c r="B245" s="32" t="s">
        <v>96</v>
      </c>
      <c r="C245" s="85">
        <v>9375.7999999999993</v>
      </c>
      <c r="D245" s="85">
        <v>9725.7999999999993</v>
      </c>
      <c r="E245" s="85">
        <v>11295.8</v>
      </c>
      <c r="H245" s="32" t="s">
        <v>96</v>
      </c>
      <c r="I245" s="128">
        <f>Nitrogen!B309</f>
        <v>81.947999999999993</v>
      </c>
      <c r="J245" s="128">
        <f>Nitrogen!C309</f>
        <v>77.512</v>
      </c>
      <c r="K245" s="128">
        <f>Nitrogen!D309</f>
        <v>75.984999999999999</v>
      </c>
      <c r="L245" s="24"/>
      <c r="M245" s="24"/>
      <c r="N245" s="32" t="s">
        <v>96</v>
      </c>
      <c r="O245" s="128">
        <f>(C245-C244)/(I245-I244)</f>
        <v>65.324476239141532</v>
      </c>
      <c r="P245" s="128">
        <f t="shared" ref="P245" si="162">(D245-D244)/(J245-J244)</f>
        <v>83.527317540736661</v>
      </c>
      <c r="Q245" s="128">
        <f t="shared" ref="Q245" si="163">(E245-E244)/(K245-K244)</f>
        <v>110.61110920270683</v>
      </c>
      <c r="U245" s="32" t="s">
        <v>96</v>
      </c>
      <c r="V245" s="85">
        <f t="shared" si="158"/>
        <v>9375.7999999999993</v>
      </c>
      <c r="W245" s="85">
        <f t="shared" si="159"/>
        <v>9725.7999999999993</v>
      </c>
      <c r="X245" s="85">
        <f t="shared" si="160"/>
        <v>11295.8</v>
      </c>
      <c r="Y245" s="24"/>
      <c r="Z245" s="32" t="s">
        <v>96</v>
      </c>
      <c r="AA245" s="85">
        <f t="shared" si="161"/>
        <v>93758</v>
      </c>
      <c r="AB245" s="85">
        <f t="shared" si="154"/>
        <v>97258</v>
      </c>
      <c r="AC245" s="85">
        <f t="shared" si="155"/>
        <v>112958</v>
      </c>
    </row>
    <row r="246" spans="2:29" x14ac:dyDescent="0.25">
      <c r="B246" s="32" t="s">
        <v>97</v>
      </c>
      <c r="C246" s="85">
        <v>9832.5</v>
      </c>
      <c r="D246" s="85">
        <v>10182.5</v>
      </c>
      <c r="E246" s="85">
        <v>10842.5</v>
      </c>
      <c r="H246" s="32" t="s">
        <v>97</v>
      </c>
      <c r="I246" s="128">
        <f>Nitrogen!B310</f>
        <v>106.876</v>
      </c>
      <c r="J246" s="128">
        <f>Nitrogen!C310</f>
        <v>97.605000000000004</v>
      </c>
      <c r="K246" s="128">
        <f>Nitrogen!D310</f>
        <v>92.173999999999992</v>
      </c>
      <c r="L246" s="24"/>
      <c r="M246" s="24"/>
      <c r="N246" s="32" t="s">
        <v>97</v>
      </c>
      <c r="O246" s="128">
        <f>(C246-C244)/(I246-I244)</f>
        <v>49.459060566259993</v>
      </c>
      <c r="P246" s="128">
        <f>(D246-D244)/(J246-J244)</f>
        <v>61.947074618428481</v>
      </c>
      <c r="Q246" s="128">
        <f>(E246-E244)/(K246-K244)</f>
        <v>61.075055187637972</v>
      </c>
      <c r="U246" s="32" t="s">
        <v>97</v>
      </c>
      <c r="V246" s="85">
        <f t="shared" si="158"/>
        <v>9832.5</v>
      </c>
      <c r="W246" s="85">
        <f t="shared" si="159"/>
        <v>10182.5</v>
      </c>
      <c r="X246" s="85">
        <f t="shared" si="160"/>
        <v>10842.5</v>
      </c>
      <c r="Y246" s="24"/>
      <c r="Z246" s="32" t="s">
        <v>97</v>
      </c>
      <c r="AA246" s="85">
        <f t="shared" si="161"/>
        <v>98325</v>
      </c>
      <c r="AB246" s="85">
        <f t="shared" si="154"/>
        <v>101825</v>
      </c>
      <c r="AC246" s="85">
        <f t="shared" si="155"/>
        <v>108425</v>
      </c>
    </row>
    <row r="247" spans="2:29" x14ac:dyDescent="0.25">
      <c r="B247" s="32" t="s">
        <v>98</v>
      </c>
      <c r="C247" s="85">
        <v>9332.5</v>
      </c>
      <c r="D247" s="85">
        <v>10065.799999999999</v>
      </c>
      <c r="E247" s="85">
        <v>9305.7999999999993</v>
      </c>
      <c r="H247" s="32" t="s">
        <v>98</v>
      </c>
      <c r="I247" s="128">
        <f>Nitrogen!B311</f>
        <v>75.06</v>
      </c>
      <c r="J247" s="128">
        <f>Nitrogen!C311</f>
        <v>67.760999999999996</v>
      </c>
      <c r="K247" s="128">
        <f>Nitrogen!D311</f>
        <v>68.646999999999991</v>
      </c>
      <c r="L247" s="24"/>
      <c r="M247" s="24"/>
      <c r="N247" s="32" t="s">
        <v>98</v>
      </c>
      <c r="O247" s="128">
        <f>(C247-C244)/(I247-I244)</f>
        <v>74.998215857458902</v>
      </c>
      <c r="P247" s="128">
        <f>(D247-D244)/(J247-J244)</f>
        <v>126.66268121357045</v>
      </c>
      <c r="Q247" s="128">
        <f>(E247-E244)/(K247-K244)</f>
        <v>56.491985486611824</v>
      </c>
      <c r="U247" s="32" t="s">
        <v>98</v>
      </c>
      <c r="V247" s="85">
        <f t="shared" si="158"/>
        <v>9332.5</v>
      </c>
      <c r="W247" s="85">
        <f t="shared" si="159"/>
        <v>10065.799999999999</v>
      </c>
      <c r="X247" s="85">
        <f t="shared" si="160"/>
        <v>9305.7999999999993</v>
      </c>
      <c r="Y247" s="24"/>
      <c r="Z247" s="32" t="s">
        <v>98</v>
      </c>
      <c r="AA247" s="85">
        <f t="shared" si="161"/>
        <v>93325</v>
      </c>
      <c r="AB247" s="85">
        <f t="shared" si="154"/>
        <v>100658</v>
      </c>
      <c r="AC247" s="85">
        <f t="shared" si="155"/>
        <v>93058</v>
      </c>
    </row>
    <row r="248" spans="2:29" x14ac:dyDescent="0.25">
      <c r="B248" s="32" t="s">
        <v>99</v>
      </c>
      <c r="C248" s="85">
        <v>9922.5</v>
      </c>
      <c r="D248" s="85">
        <v>10922.5</v>
      </c>
      <c r="E248" s="85">
        <v>9945.9</v>
      </c>
      <c r="H248" s="32" t="s">
        <v>99</v>
      </c>
      <c r="I248" s="128">
        <f>Nitrogen!B312</f>
        <v>77.19</v>
      </c>
      <c r="J248" s="128">
        <f>Nitrogen!C312</f>
        <v>94.275000000000006</v>
      </c>
      <c r="K248" s="128">
        <f>Nitrogen!D312</f>
        <v>90.796999999999997</v>
      </c>
      <c r="L248" s="24"/>
      <c r="M248" s="24"/>
      <c r="N248" s="32" t="s">
        <v>99</v>
      </c>
      <c r="O248" s="128">
        <f>(C248-C244)/(I248-I244)</f>
        <v>84.739737813299527</v>
      </c>
      <c r="P248" s="128">
        <f>(D248-D244)/(J248-J244)</f>
        <v>79.708322384473874</v>
      </c>
      <c r="Q248" s="128">
        <f>(E248-E244)/(K248-K244)</f>
        <v>42.576782095940608</v>
      </c>
      <c r="U248" s="32" t="s">
        <v>99</v>
      </c>
      <c r="V248" s="85">
        <f t="shared" si="158"/>
        <v>9922.5</v>
      </c>
      <c r="W248" s="85">
        <f t="shared" si="159"/>
        <v>10922.5</v>
      </c>
      <c r="X248" s="85">
        <f t="shared" si="160"/>
        <v>9945.9</v>
      </c>
      <c r="Y248" s="24"/>
      <c r="Z248" s="32" t="s">
        <v>99</v>
      </c>
      <c r="AA248" s="85">
        <f t="shared" si="161"/>
        <v>99225</v>
      </c>
      <c r="AB248" s="85">
        <f t="shared" si="154"/>
        <v>109225</v>
      </c>
      <c r="AC248" s="85">
        <f t="shared" si="155"/>
        <v>99459</v>
      </c>
    </row>
    <row r="249" spans="2:29" x14ac:dyDescent="0.25">
      <c r="B249" s="32" t="s">
        <v>100</v>
      </c>
      <c r="C249" s="85">
        <v>10895.8</v>
      </c>
      <c r="D249" s="85">
        <v>9875.7999999999993</v>
      </c>
      <c r="E249" s="85">
        <v>10865.8</v>
      </c>
      <c r="H249" s="32" t="s">
        <v>100</v>
      </c>
      <c r="I249" s="128">
        <f>Nitrogen!B313</f>
        <v>108.16</v>
      </c>
      <c r="J249" s="128">
        <f>Nitrogen!C313</f>
        <v>117.012</v>
      </c>
      <c r="K249" s="128">
        <f>Nitrogen!D313</f>
        <v>104.40199999999999</v>
      </c>
      <c r="L249" s="24"/>
      <c r="M249" s="24"/>
      <c r="N249" s="32" t="s">
        <v>100</v>
      </c>
      <c r="O249" s="128">
        <f>(C249-C244)/(I249-I244)</f>
        <v>62.765348629836154</v>
      </c>
      <c r="P249" s="128">
        <f>(D249-D244)/(J249-J244)</f>
        <v>42.096954548444373</v>
      </c>
      <c r="Q249" s="128">
        <f>(E249-E244)/(K249-K244)</f>
        <v>48.498122653316635</v>
      </c>
      <c r="U249" s="32" t="s">
        <v>100</v>
      </c>
      <c r="V249" s="85">
        <f t="shared" si="158"/>
        <v>10895.8</v>
      </c>
      <c r="W249" s="85">
        <f t="shared" si="159"/>
        <v>9875.7999999999993</v>
      </c>
      <c r="X249" s="85">
        <f t="shared" si="160"/>
        <v>10865.8</v>
      </c>
      <c r="Y249" s="24"/>
      <c r="Z249" s="32" t="s">
        <v>100</v>
      </c>
      <c r="AA249" s="85">
        <f t="shared" si="161"/>
        <v>108958</v>
      </c>
      <c r="AB249" s="85">
        <f t="shared" si="154"/>
        <v>98758</v>
      </c>
      <c r="AC249" s="85">
        <f t="shared" si="155"/>
        <v>108658</v>
      </c>
    </row>
    <row r="250" spans="2:29" x14ac:dyDescent="0.25">
      <c r="B250" s="32" t="s">
        <v>101</v>
      </c>
      <c r="C250" s="85">
        <v>10074.799999999999</v>
      </c>
      <c r="D250" s="85">
        <v>9415.7999999999993</v>
      </c>
      <c r="E250" s="85">
        <v>9385.4</v>
      </c>
      <c r="H250" s="32" t="s">
        <v>101</v>
      </c>
      <c r="I250" s="128">
        <f>Nitrogen!B314</f>
        <v>80.912000000000006</v>
      </c>
      <c r="J250" s="128">
        <f>Nitrogen!C314</f>
        <v>67.911000000000001</v>
      </c>
      <c r="K250" s="128">
        <f>Nitrogen!D314</f>
        <v>77.102000000000004</v>
      </c>
      <c r="L250" s="24"/>
      <c r="M250" s="24"/>
      <c r="N250" s="32" t="s">
        <v>101</v>
      </c>
      <c r="O250" s="128">
        <f>(C250-C244)/(I250-I244)</f>
        <v>81.333918018751675</v>
      </c>
      <c r="P250" s="128">
        <f>(D250-D244)/(J250-J244)</f>
        <v>101.80575165341455</v>
      </c>
      <c r="Q250" s="128">
        <f>(E250-E244)/(K250-K244)</f>
        <v>43.324070398306176</v>
      </c>
      <c r="U250" s="32" t="s">
        <v>101</v>
      </c>
      <c r="V250" s="85">
        <f t="shared" si="158"/>
        <v>10074.799999999999</v>
      </c>
      <c r="W250" s="85">
        <f t="shared" si="159"/>
        <v>9415.7999999999993</v>
      </c>
      <c r="X250" s="85">
        <f t="shared" si="160"/>
        <v>9385.4</v>
      </c>
      <c r="Y250" s="24"/>
      <c r="Z250" s="32" t="s">
        <v>101</v>
      </c>
      <c r="AA250" s="85">
        <f t="shared" si="161"/>
        <v>100748</v>
      </c>
      <c r="AB250" s="85">
        <f t="shared" si="154"/>
        <v>94158</v>
      </c>
      <c r="AC250" s="85">
        <f t="shared" si="155"/>
        <v>93854</v>
      </c>
    </row>
    <row r="251" spans="2:29" x14ac:dyDescent="0.25">
      <c r="B251" s="32" t="s">
        <v>102</v>
      </c>
      <c r="C251" s="85">
        <v>11052.5</v>
      </c>
      <c r="D251" s="85">
        <v>9385.7999999999993</v>
      </c>
      <c r="E251" s="85">
        <v>10542.5</v>
      </c>
      <c r="H251" s="32" t="s">
        <v>102</v>
      </c>
      <c r="I251" s="128">
        <f>Nitrogen!B315</f>
        <v>80.763000000000005</v>
      </c>
      <c r="J251" s="128">
        <f>Nitrogen!C315</f>
        <v>89.552000000000007</v>
      </c>
      <c r="K251" s="128">
        <f>Nitrogen!D315</f>
        <v>87.926999999999992</v>
      </c>
      <c r="L251" s="24"/>
      <c r="M251" s="24"/>
      <c r="N251" s="32" t="s">
        <v>102</v>
      </c>
      <c r="O251" s="128">
        <f>(C251-C244)/(I251-I244)</f>
        <v>102.0674486803519</v>
      </c>
      <c r="P251" s="128">
        <f>(D251-D244)/(J251-J244)</f>
        <v>55.812995572031689</v>
      </c>
      <c r="Q251" s="128">
        <f>(E251-E244)/(K251-K244)</f>
        <v>60.085742820256741</v>
      </c>
      <c r="U251" s="32" t="s">
        <v>102</v>
      </c>
      <c r="V251" s="85">
        <f t="shared" si="158"/>
        <v>11052.5</v>
      </c>
      <c r="W251" s="85">
        <f t="shared" si="159"/>
        <v>9385.7999999999993</v>
      </c>
      <c r="X251" s="85">
        <f t="shared" si="160"/>
        <v>10542.5</v>
      </c>
      <c r="Y251" s="24"/>
      <c r="Z251" s="32" t="s">
        <v>102</v>
      </c>
      <c r="AA251" s="85">
        <f t="shared" si="161"/>
        <v>110525</v>
      </c>
      <c r="AB251" s="85">
        <f t="shared" si="154"/>
        <v>93858</v>
      </c>
      <c r="AC251" s="85">
        <f t="shared" si="155"/>
        <v>105425</v>
      </c>
    </row>
    <row r="252" spans="2:29" x14ac:dyDescent="0.25">
      <c r="B252" s="32" t="s">
        <v>103</v>
      </c>
      <c r="C252" s="85">
        <v>9552.5</v>
      </c>
      <c r="D252" s="85">
        <v>9172.6</v>
      </c>
      <c r="E252" s="85">
        <v>9215.7999999999993</v>
      </c>
      <c r="H252" s="32" t="s">
        <v>103</v>
      </c>
      <c r="I252" s="128">
        <f>Nitrogen!B316</f>
        <v>69.984999999999985</v>
      </c>
      <c r="J252" s="128">
        <f>Nitrogen!C316</f>
        <v>72.457999999999998</v>
      </c>
      <c r="K252" s="128">
        <f>Nitrogen!D316</f>
        <v>61.283999999999999</v>
      </c>
      <c r="L252" s="24"/>
      <c r="M252" s="24"/>
      <c r="N252" s="32" t="s">
        <v>103</v>
      </c>
      <c r="O252" s="128">
        <f>(C252-C244)/(I252-I244)</f>
        <v>91.247767977923317</v>
      </c>
      <c r="P252" s="128">
        <f>(D252-D244)/(J252-J244)</f>
        <v>79.361749467594805</v>
      </c>
      <c r="Q252" s="128">
        <f>(E252-E244)/(K252-K244)</f>
        <v>79.111727966689713</v>
      </c>
      <c r="U252" s="32" t="s">
        <v>103</v>
      </c>
      <c r="V252" s="85">
        <f t="shared" si="158"/>
        <v>9552.5</v>
      </c>
      <c r="W252" s="85">
        <f t="shared" si="159"/>
        <v>9172.6</v>
      </c>
      <c r="X252" s="85">
        <f t="shared" si="160"/>
        <v>9215.7999999999993</v>
      </c>
      <c r="Y252" s="24"/>
      <c r="Z252" s="32" t="s">
        <v>103</v>
      </c>
      <c r="AA252" s="85">
        <f t="shared" si="161"/>
        <v>95525</v>
      </c>
      <c r="AB252" s="85">
        <f t="shared" si="154"/>
        <v>91726</v>
      </c>
      <c r="AC252" s="85">
        <f t="shared" si="155"/>
        <v>92158</v>
      </c>
    </row>
    <row r="253" spans="2:29" s="133" customFormat="1" x14ac:dyDescent="0.25"/>
    <row r="254" spans="2:29" s="133" customFormat="1" x14ac:dyDescent="0.25"/>
    <row r="255" spans="2:29" x14ac:dyDescent="0.25">
      <c r="B255" s="24"/>
      <c r="C255" s="24"/>
      <c r="D255" s="66">
        <v>2019</v>
      </c>
      <c r="E255" s="24"/>
      <c r="F255" s="24"/>
      <c r="G255" s="24"/>
      <c r="H255" s="24"/>
      <c r="I255" s="66">
        <v>2019</v>
      </c>
      <c r="J255" s="24"/>
      <c r="K255" s="24"/>
      <c r="L255" s="24"/>
      <c r="M255" s="24"/>
      <c r="N255" s="24"/>
      <c r="O255" s="66">
        <v>2019</v>
      </c>
      <c r="P255" s="24"/>
      <c r="Q255" s="24"/>
    </row>
    <row r="256" spans="2:29" ht="15.75" x14ac:dyDescent="0.25">
      <c r="B256" s="24"/>
      <c r="C256" s="127"/>
      <c r="D256" s="134" t="s">
        <v>151</v>
      </c>
      <c r="E256" s="24"/>
      <c r="F256" s="24"/>
      <c r="G256" s="24"/>
      <c r="H256" s="24"/>
      <c r="I256" s="56" t="s">
        <v>130</v>
      </c>
      <c r="J256" s="24"/>
      <c r="K256" s="24"/>
      <c r="L256" s="24"/>
      <c r="M256" s="24"/>
      <c r="N256" s="24"/>
      <c r="O256" s="122" t="s">
        <v>161</v>
      </c>
      <c r="P256" s="24"/>
      <c r="Q256" s="24"/>
    </row>
    <row r="257" spans="2:17" x14ac:dyDescent="0.25"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</row>
    <row r="258" spans="2:17" x14ac:dyDescent="0.25">
      <c r="B258" s="46" t="s">
        <v>0</v>
      </c>
      <c r="C258" s="30" t="s">
        <v>1</v>
      </c>
      <c r="D258" s="30" t="s">
        <v>2</v>
      </c>
      <c r="E258" s="30" t="s">
        <v>3</v>
      </c>
      <c r="F258" s="24"/>
      <c r="G258" s="24"/>
      <c r="H258" s="46" t="s">
        <v>0</v>
      </c>
      <c r="I258" s="30" t="s">
        <v>1</v>
      </c>
      <c r="J258" s="30" t="s">
        <v>2</v>
      </c>
      <c r="K258" s="30" t="s">
        <v>3</v>
      </c>
      <c r="L258" s="24"/>
      <c r="M258" s="24"/>
      <c r="N258" s="46" t="s">
        <v>0</v>
      </c>
      <c r="O258" s="30" t="s">
        <v>1</v>
      </c>
      <c r="P258" s="30" t="s">
        <v>2</v>
      </c>
      <c r="Q258" s="30" t="s">
        <v>3</v>
      </c>
    </row>
    <row r="259" spans="2:17" x14ac:dyDescent="0.25">
      <c r="B259" s="32" t="s">
        <v>86</v>
      </c>
      <c r="C259" s="135">
        <v>0</v>
      </c>
      <c r="D259" s="135">
        <v>0</v>
      </c>
      <c r="E259" s="135">
        <v>0</v>
      </c>
      <c r="F259" s="24"/>
      <c r="G259" s="24"/>
      <c r="H259" s="32" t="s">
        <v>86</v>
      </c>
      <c r="I259" s="55">
        <f>I212</f>
        <v>42.972999999999999</v>
      </c>
      <c r="J259" s="55">
        <f t="shared" ref="J259:K259" si="164">J212</f>
        <v>40.152000000000001</v>
      </c>
      <c r="K259" s="55">
        <f t="shared" si="164"/>
        <v>39.697599999999994</v>
      </c>
      <c r="L259" s="24"/>
      <c r="M259" s="24"/>
      <c r="N259" s="32" t="s">
        <v>86</v>
      </c>
      <c r="O259" s="128">
        <v>0</v>
      </c>
      <c r="P259" s="128">
        <v>0</v>
      </c>
      <c r="Q259" s="128">
        <v>0</v>
      </c>
    </row>
    <row r="260" spans="2:17" x14ac:dyDescent="0.25">
      <c r="B260" s="32" t="s">
        <v>87</v>
      </c>
      <c r="C260" s="135">
        <v>150</v>
      </c>
      <c r="D260" s="135">
        <v>150</v>
      </c>
      <c r="E260" s="135">
        <v>150</v>
      </c>
      <c r="F260" s="24"/>
      <c r="G260" s="24"/>
      <c r="H260" s="32" t="s">
        <v>87</v>
      </c>
      <c r="I260" s="55">
        <f t="shared" ref="I260:K260" si="165">I213</f>
        <v>75.33</v>
      </c>
      <c r="J260" s="55">
        <f t="shared" si="165"/>
        <v>82.300000000000011</v>
      </c>
      <c r="K260" s="55">
        <f t="shared" si="165"/>
        <v>86.150999999999996</v>
      </c>
      <c r="L260" s="24"/>
      <c r="M260" s="24"/>
      <c r="N260" s="32" t="s">
        <v>87</v>
      </c>
      <c r="O260" s="128">
        <f>((I260-I259)/C260)*100</f>
        <v>21.571333333333335</v>
      </c>
      <c r="P260" s="128">
        <f t="shared" ref="P260:Q260" si="166">((J260-J259)/D260)*100</f>
        <v>28.098666666666674</v>
      </c>
      <c r="Q260" s="128">
        <f t="shared" si="166"/>
        <v>30.968933333333336</v>
      </c>
    </row>
    <row r="261" spans="2:17" x14ac:dyDescent="0.25">
      <c r="B261" s="32" t="s">
        <v>88</v>
      </c>
      <c r="C261" s="135">
        <v>187.5</v>
      </c>
      <c r="D261" s="135">
        <v>187.5</v>
      </c>
      <c r="E261" s="135">
        <v>187.5</v>
      </c>
      <c r="F261" s="24"/>
      <c r="G261" s="24"/>
      <c r="H261" s="32" t="s">
        <v>88</v>
      </c>
      <c r="I261" s="55">
        <f t="shared" ref="I261:K261" si="167">I214</f>
        <v>97.224000000000004</v>
      </c>
      <c r="J261" s="55">
        <f t="shared" si="167"/>
        <v>97.426400000000015</v>
      </c>
      <c r="K261" s="55">
        <f t="shared" si="167"/>
        <v>99.835999999999984</v>
      </c>
      <c r="L261" s="24"/>
      <c r="M261" s="24"/>
      <c r="N261" s="32" t="s">
        <v>88</v>
      </c>
      <c r="O261" s="128">
        <f>((I261-I259)/C261)*100</f>
        <v>28.93386666666667</v>
      </c>
      <c r="P261" s="128">
        <f t="shared" ref="P261:Q261" si="168">((J261-J259)/D261)*100</f>
        <v>30.546346666666675</v>
      </c>
      <c r="Q261" s="128">
        <f t="shared" si="168"/>
        <v>32.073813333333327</v>
      </c>
    </row>
    <row r="262" spans="2:17" x14ac:dyDescent="0.25">
      <c r="B262" s="32" t="s">
        <v>89</v>
      </c>
      <c r="C262" s="135">
        <v>71.599999999999994</v>
      </c>
      <c r="D262" s="135">
        <v>71.599999999999994</v>
      </c>
      <c r="E262" s="135">
        <v>71.599999999999994</v>
      </c>
      <c r="F262" s="24"/>
      <c r="G262" s="24"/>
      <c r="H262" s="32" t="s">
        <v>89</v>
      </c>
      <c r="I262" s="55">
        <f t="shared" ref="I262:K262" si="169">I215</f>
        <v>70.426000000000002</v>
      </c>
      <c r="J262" s="55">
        <f t="shared" si="169"/>
        <v>71.483999999999995</v>
      </c>
      <c r="K262" s="55">
        <f t="shared" si="169"/>
        <v>71.491000000000014</v>
      </c>
      <c r="L262" s="24"/>
      <c r="M262" s="24"/>
      <c r="N262" s="32" t="s">
        <v>89</v>
      </c>
      <c r="O262" s="128">
        <f>((I262-I259)/C262)*100</f>
        <v>38.342178770949722</v>
      </c>
      <c r="P262" s="128">
        <f t="shared" ref="P262:Q262" si="170">((J262-J259)/D262)*100</f>
        <v>43.759776536312842</v>
      </c>
      <c r="Q262" s="128">
        <f t="shared" si="170"/>
        <v>44.40418994413411</v>
      </c>
    </row>
    <row r="263" spans="2:17" x14ac:dyDescent="0.25">
      <c r="B263" s="32" t="s">
        <v>90</v>
      </c>
      <c r="C263" s="135">
        <v>172.67500000000001</v>
      </c>
      <c r="D263" s="135">
        <v>172.67500000000001</v>
      </c>
      <c r="E263" s="135">
        <v>172.67500000000001</v>
      </c>
      <c r="F263" s="24"/>
      <c r="G263" s="24"/>
      <c r="H263" s="32" t="s">
        <v>90</v>
      </c>
      <c r="I263" s="55">
        <f t="shared" ref="I263:K263" si="171">I216</f>
        <v>91.746000000000009</v>
      </c>
      <c r="J263" s="55">
        <f t="shared" si="171"/>
        <v>94.228000000000009</v>
      </c>
      <c r="K263" s="55">
        <f t="shared" si="171"/>
        <v>94.365999999999985</v>
      </c>
      <c r="L263" s="24"/>
      <c r="M263" s="24"/>
      <c r="N263" s="32" t="s">
        <v>90</v>
      </c>
      <c r="O263" s="128">
        <f>((I263-I259)/C263)*100</f>
        <v>28.245547994787902</v>
      </c>
      <c r="P263" s="128">
        <f t="shared" ref="P263:Q263" si="172">((J263-J259)/D263)*100</f>
        <v>31.316635297524254</v>
      </c>
      <c r="Q263" s="128">
        <f t="shared" si="172"/>
        <v>31.659707543072241</v>
      </c>
    </row>
    <row r="264" spans="2:17" x14ac:dyDescent="0.25">
      <c r="B264" s="32" t="s">
        <v>91</v>
      </c>
      <c r="C264" s="135">
        <v>192.67500000000001</v>
      </c>
      <c r="D264" s="135">
        <v>192.67500000000001</v>
      </c>
      <c r="E264" s="135">
        <v>192.67500000000001</v>
      </c>
      <c r="F264" s="24"/>
      <c r="G264" s="24"/>
      <c r="H264" s="32" t="s">
        <v>91</v>
      </c>
      <c r="I264" s="55">
        <f t="shared" ref="I264:K264" si="173">I217</f>
        <v>108.57199999999999</v>
      </c>
      <c r="J264" s="55">
        <f t="shared" si="173"/>
        <v>116.976</v>
      </c>
      <c r="K264" s="55">
        <f t="shared" si="173"/>
        <v>102.86399999999999</v>
      </c>
      <c r="L264" s="24"/>
      <c r="M264" s="24"/>
      <c r="N264" s="32" t="s">
        <v>91</v>
      </c>
      <c r="O264" s="128">
        <f>((I264-I259)/C264)*100</f>
        <v>34.046451278058896</v>
      </c>
      <c r="P264" s="128">
        <f t="shared" ref="P264:Q264" si="174">((J264-J259)/D264)*100</f>
        <v>39.872323861424675</v>
      </c>
      <c r="Q264" s="128">
        <f t="shared" si="174"/>
        <v>32.783910730504736</v>
      </c>
    </row>
    <row r="265" spans="2:17" x14ac:dyDescent="0.25">
      <c r="B265" s="32" t="s">
        <v>92</v>
      </c>
      <c r="C265" s="135">
        <v>135.17500000000001</v>
      </c>
      <c r="D265" s="135">
        <v>135.17500000000001</v>
      </c>
      <c r="E265" s="135">
        <v>135.17500000000001</v>
      </c>
      <c r="F265" s="24"/>
      <c r="G265" s="24"/>
      <c r="H265" s="32" t="s">
        <v>92</v>
      </c>
      <c r="I265" s="55">
        <f t="shared" ref="I265:K265" si="175">I218</f>
        <v>79.099000000000004</v>
      </c>
      <c r="J265" s="55">
        <f t="shared" si="175"/>
        <v>71.870999999999995</v>
      </c>
      <c r="K265" s="55">
        <f t="shared" si="175"/>
        <v>74.200999999999993</v>
      </c>
      <c r="L265" s="24"/>
      <c r="M265" s="24"/>
      <c r="N265" s="32" t="s">
        <v>92</v>
      </c>
      <c r="O265" s="128">
        <f>((I265-I259)/C265)*100</f>
        <v>26.725356019974111</v>
      </c>
      <c r="P265" s="128">
        <f t="shared" ref="P265:Q265" si="176">((J265-J259)/D265)*100</f>
        <v>23.465137784353608</v>
      </c>
      <c r="Q265" s="128">
        <f t="shared" si="176"/>
        <v>25.524986129091914</v>
      </c>
    </row>
    <row r="266" spans="2:17" x14ac:dyDescent="0.25">
      <c r="B266" s="32" t="s">
        <v>93</v>
      </c>
      <c r="C266" s="135">
        <v>155.17500000000001</v>
      </c>
      <c r="D266" s="135">
        <v>155.17500000000001</v>
      </c>
      <c r="E266" s="135">
        <v>155.17500000000001</v>
      </c>
      <c r="F266" s="24"/>
      <c r="G266" s="24"/>
      <c r="H266" s="32" t="s">
        <v>93</v>
      </c>
      <c r="I266" s="55">
        <f t="shared" ref="I266:K266" si="177">I219</f>
        <v>87.190399999999997</v>
      </c>
      <c r="J266" s="55">
        <f t="shared" si="177"/>
        <v>80.698999999999984</v>
      </c>
      <c r="K266" s="55">
        <f t="shared" si="177"/>
        <v>83.766999999999996</v>
      </c>
      <c r="L266" s="24"/>
      <c r="M266" s="24"/>
      <c r="N266" s="32" t="s">
        <v>93</v>
      </c>
      <c r="O266" s="128">
        <f>((I266-I259)/C266)*100</f>
        <v>28.495182858063473</v>
      </c>
      <c r="P266" s="128">
        <f t="shared" ref="P266:Q266" si="178">((J266-J259)/D266)*100</f>
        <v>26.129853391332354</v>
      </c>
      <c r="Q266" s="128">
        <f t="shared" si="178"/>
        <v>28.399806669888832</v>
      </c>
    </row>
    <row r="267" spans="2:17" x14ac:dyDescent="0.25">
      <c r="B267" s="32" t="s">
        <v>94</v>
      </c>
      <c r="C267" s="135">
        <v>156.05000000000001</v>
      </c>
      <c r="D267" s="135">
        <v>156.05000000000001</v>
      </c>
      <c r="E267" s="135">
        <v>156.05000000000001</v>
      </c>
      <c r="F267" s="24"/>
      <c r="G267" s="24"/>
      <c r="H267" s="32" t="s">
        <v>94</v>
      </c>
      <c r="I267" s="55">
        <f t="shared" ref="I267:K267" si="179">I220</f>
        <v>70.183999999999997</v>
      </c>
      <c r="J267" s="55">
        <f t="shared" si="179"/>
        <v>66.346000000000004</v>
      </c>
      <c r="K267" s="55">
        <f t="shared" si="179"/>
        <v>63.059999999999988</v>
      </c>
      <c r="L267" s="24"/>
      <c r="M267" s="24"/>
      <c r="N267" s="32" t="s">
        <v>94</v>
      </c>
      <c r="O267" s="128">
        <f>((I267-I259)/C267)*100</f>
        <v>17.437359820570329</v>
      </c>
      <c r="P267" s="128">
        <f t="shared" ref="P267:Q267" si="180">((J267-J259)/D267)*100</f>
        <v>16.785645626401795</v>
      </c>
      <c r="Q267" s="128">
        <f t="shared" si="180"/>
        <v>14.971099006728608</v>
      </c>
    </row>
    <row r="268" spans="2:17" x14ac:dyDescent="0.25">
      <c r="B268" s="32" t="s">
        <v>95</v>
      </c>
      <c r="C268" s="135">
        <v>0</v>
      </c>
      <c r="D268" s="135">
        <v>0</v>
      </c>
      <c r="E268" s="135">
        <v>0</v>
      </c>
      <c r="F268" s="24"/>
      <c r="G268" s="24"/>
      <c r="H268" s="32" t="s">
        <v>95</v>
      </c>
      <c r="I268" s="55">
        <f t="shared" ref="I268:K268" si="181">I221</f>
        <v>37.994000000000007</v>
      </c>
      <c r="J268" s="55">
        <f t="shared" si="181"/>
        <v>28.915999999999997</v>
      </c>
      <c r="K268" s="55">
        <f t="shared" si="181"/>
        <v>40.910000000000004</v>
      </c>
      <c r="L268" s="24"/>
      <c r="M268" s="24"/>
      <c r="N268" s="32" t="s">
        <v>95</v>
      </c>
      <c r="O268" s="128">
        <v>0</v>
      </c>
      <c r="P268" s="128">
        <v>0</v>
      </c>
      <c r="Q268" s="128">
        <v>0</v>
      </c>
    </row>
    <row r="269" spans="2:17" x14ac:dyDescent="0.25">
      <c r="B269" s="32" t="s">
        <v>96</v>
      </c>
      <c r="C269" s="135">
        <v>150</v>
      </c>
      <c r="D269" s="135">
        <v>150</v>
      </c>
      <c r="E269" s="135">
        <v>150</v>
      </c>
      <c r="F269" s="24"/>
      <c r="G269" s="24"/>
      <c r="H269" s="32" t="s">
        <v>96</v>
      </c>
      <c r="I269" s="55">
        <f t="shared" ref="I269:K269" si="182">I222</f>
        <v>72.930000000000007</v>
      </c>
      <c r="J269" s="55">
        <f t="shared" si="182"/>
        <v>73</v>
      </c>
      <c r="K269" s="55">
        <f t="shared" si="182"/>
        <v>72.037999999999982</v>
      </c>
      <c r="L269" s="24"/>
      <c r="M269" s="24"/>
      <c r="N269" s="32" t="s">
        <v>96</v>
      </c>
      <c r="O269" s="128">
        <f>((I269-I268)/C269)*100</f>
        <v>23.290666666666667</v>
      </c>
      <c r="P269" s="128">
        <f t="shared" ref="P269" si="183">((J269-J268)/D269)*100</f>
        <v>29.389333333333333</v>
      </c>
      <c r="Q269" s="128">
        <f t="shared" ref="Q269" si="184">((K269-K268)/E269)*100</f>
        <v>20.751999999999988</v>
      </c>
    </row>
    <row r="270" spans="2:17" x14ac:dyDescent="0.25">
      <c r="B270" s="32" t="s">
        <v>97</v>
      </c>
      <c r="C270" s="135">
        <v>187.5</v>
      </c>
      <c r="D270" s="135">
        <v>187.5</v>
      </c>
      <c r="E270" s="135">
        <v>187.5</v>
      </c>
      <c r="F270" s="24"/>
      <c r="G270" s="24"/>
      <c r="H270" s="32" t="s">
        <v>97</v>
      </c>
      <c r="I270" s="55">
        <f t="shared" ref="I270:K270" si="185">I223</f>
        <v>98.512</v>
      </c>
      <c r="J270" s="55">
        <f t="shared" si="185"/>
        <v>92.671999999999997</v>
      </c>
      <c r="K270" s="55">
        <f t="shared" si="185"/>
        <v>90.244</v>
      </c>
      <c r="L270" s="24"/>
      <c r="M270" s="24"/>
      <c r="N270" s="32" t="s">
        <v>97</v>
      </c>
      <c r="O270" s="128">
        <f>((I270-I268)/C270)*100</f>
        <v>32.276266666666665</v>
      </c>
      <c r="P270" s="128">
        <f t="shared" ref="P270" si="186">((J270-J268)/D270)*100</f>
        <v>34.0032</v>
      </c>
      <c r="Q270" s="128">
        <f t="shared" ref="Q270" si="187">((K270-K268)/E270)*100</f>
        <v>26.311466666666668</v>
      </c>
    </row>
    <row r="271" spans="2:17" x14ac:dyDescent="0.25">
      <c r="B271" s="32" t="s">
        <v>98</v>
      </c>
      <c r="C271" s="135">
        <v>71.599999999999994</v>
      </c>
      <c r="D271" s="135">
        <v>71.599999999999994</v>
      </c>
      <c r="E271" s="135">
        <v>71.599999999999994</v>
      </c>
      <c r="F271" s="24"/>
      <c r="G271" s="24"/>
      <c r="H271" s="32" t="s">
        <v>98</v>
      </c>
      <c r="I271" s="55">
        <f t="shared" ref="I271:K271" si="188">I224</f>
        <v>69.56</v>
      </c>
      <c r="J271" s="55">
        <f t="shared" si="188"/>
        <v>60.81</v>
      </c>
      <c r="K271" s="55">
        <f t="shared" si="188"/>
        <v>71.572999999999993</v>
      </c>
      <c r="L271" s="24"/>
      <c r="M271" s="24"/>
      <c r="N271" s="32" t="s">
        <v>98</v>
      </c>
      <c r="O271" s="128">
        <f>((I271-I268)/C271)*100</f>
        <v>44.086592178770942</v>
      </c>
      <c r="P271" s="128">
        <f t="shared" ref="P271" si="189">((J271-J268)/D271)*100</f>
        <v>44.544692737430182</v>
      </c>
      <c r="Q271" s="128">
        <f t="shared" ref="Q271" si="190">((K271-K268)/E271)*100</f>
        <v>42.825418994413397</v>
      </c>
    </row>
    <row r="272" spans="2:17" x14ac:dyDescent="0.25">
      <c r="B272" s="32" t="s">
        <v>99</v>
      </c>
      <c r="C272" s="135">
        <v>172.67500000000001</v>
      </c>
      <c r="D272" s="135">
        <v>172.67500000000001</v>
      </c>
      <c r="E272" s="135">
        <v>172.67500000000001</v>
      </c>
      <c r="F272" s="24"/>
      <c r="G272" s="24"/>
      <c r="H272" s="32" t="s">
        <v>99</v>
      </c>
      <c r="I272" s="55">
        <f t="shared" ref="I272:K272" si="191">I225</f>
        <v>78.754999999999995</v>
      </c>
      <c r="J272" s="55">
        <f t="shared" si="191"/>
        <v>87.920000000000016</v>
      </c>
      <c r="K272" s="55">
        <f t="shared" si="191"/>
        <v>86.281999999999996</v>
      </c>
      <c r="L272" s="24"/>
      <c r="M272" s="24"/>
      <c r="N272" s="32" t="s">
        <v>99</v>
      </c>
      <c r="O272" s="128">
        <f>((I272-I268)/C272)*100</f>
        <v>23.605617489503395</v>
      </c>
      <c r="P272" s="128">
        <f t="shared" ref="P272" si="192">((J272-J268)/D272)*100</f>
        <v>34.170551614304337</v>
      </c>
      <c r="Q272" s="128">
        <f t="shared" ref="Q272" si="193">((K272-K268)/E272)*100</f>
        <v>26.275951932821766</v>
      </c>
    </row>
    <row r="273" spans="2:17" x14ac:dyDescent="0.25">
      <c r="B273" s="32" t="s">
        <v>100</v>
      </c>
      <c r="C273" s="135">
        <v>192.67500000000001</v>
      </c>
      <c r="D273" s="135">
        <v>192.67500000000001</v>
      </c>
      <c r="E273" s="135">
        <v>192.67500000000001</v>
      </c>
      <c r="F273" s="24"/>
      <c r="G273" s="24"/>
      <c r="H273" s="32" t="s">
        <v>100</v>
      </c>
      <c r="I273" s="55">
        <f t="shared" ref="I273:K273" si="194">I226</f>
        <v>102.31199999999998</v>
      </c>
      <c r="J273" s="55">
        <f t="shared" si="194"/>
        <v>104.50799999999998</v>
      </c>
      <c r="K273" s="55">
        <f t="shared" si="194"/>
        <v>97.656000000000006</v>
      </c>
      <c r="L273" s="24"/>
      <c r="M273" s="24"/>
      <c r="N273" s="32" t="s">
        <v>100</v>
      </c>
      <c r="O273" s="128">
        <f>((I273-I268)/C273)*100</f>
        <v>33.381601141819118</v>
      </c>
      <c r="P273" s="128">
        <f t="shared" ref="P273" si="195">((J273-J268)/D273)*100</f>
        <v>39.232905151161276</v>
      </c>
      <c r="Q273" s="128">
        <f t="shared" ref="Q273" si="196">((K273-K268)/E273)*100</f>
        <v>29.451667315427532</v>
      </c>
    </row>
    <row r="274" spans="2:17" x14ac:dyDescent="0.25">
      <c r="B274" s="32" t="s">
        <v>101</v>
      </c>
      <c r="C274" s="135">
        <v>135.17500000000001</v>
      </c>
      <c r="D274" s="135">
        <v>135.17500000000001</v>
      </c>
      <c r="E274" s="135">
        <v>135.17500000000001</v>
      </c>
      <c r="F274" s="24"/>
      <c r="G274" s="24"/>
      <c r="H274" s="32" t="s">
        <v>101</v>
      </c>
      <c r="I274" s="55">
        <f t="shared" ref="I274:K274" si="197">I227</f>
        <v>72.47399999999999</v>
      </c>
      <c r="J274" s="55">
        <f t="shared" si="197"/>
        <v>68.495999999999995</v>
      </c>
      <c r="K274" s="55">
        <f t="shared" si="197"/>
        <v>68.11999999999999</v>
      </c>
      <c r="L274" s="24"/>
      <c r="M274" s="24"/>
      <c r="N274" s="32" t="s">
        <v>101</v>
      </c>
      <c r="O274" s="128">
        <f>((I274-I268)/C274)*100</f>
        <v>25.507675235805422</v>
      </c>
      <c r="P274" s="128">
        <f t="shared" ref="P274" si="198">((J274-J268)/D274)*100</f>
        <v>29.280562234140923</v>
      </c>
      <c r="Q274" s="128">
        <f t="shared" ref="Q274" si="199">((K274-K268)/E274)*100</f>
        <v>20.129461808766401</v>
      </c>
    </row>
    <row r="275" spans="2:17" x14ac:dyDescent="0.25">
      <c r="B275" s="32" t="s">
        <v>102</v>
      </c>
      <c r="C275" s="135">
        <v>155.17500000000001</v>
      </c>
      <c r="D275" s="135">
        <v>155.17500000000001</v>
      </c>
      <c r="E275" s="135">
        <v>155.17500000000001</v>
      </c>
      <c r="F275" s="24"/>
      <c r="G275" s="24"/>
      <c r="H275" s="32" t="s">
        <v>102</v>
      </c>
      <c r="I275" s="55">
        <f t="shared" ref="I275:K275" si="200">I228</f>
        <v>76.430999999999983</v>
      </c>
      <c r="J275" s="55">
        <f t="shared" si="200"/>
        <v>79.801999999999992</v>
      </c>
      <c r="K275" s="55">
        <f t="shared" si="200"/>
        <v>82.26400000000001</v>
      </c>
      <c r="L275" s="24"/>
      <c r="M275" s="24"/>
      <c r="N275" s="32" t="s">
        <v>102</v>
      </c>
      <c r="O275" s="128">
        <f>((I275-I268)/C275)*100</f>
        <v>24.770098276139827</v>
      </c>
      <c r="P275" s="128">
        <f t="shared" ref="P275" si="201">((J275-J268)/D275)*100</f>
        <v>32.792653455775735</v>
      </c>
      <c r="Q275" s="128">
        <f t="shared" ref="Q275" si="202">((K275-K268)/E275)*100</f>
        <v>26.649911390365716</v>
      </c>
    </row>
    <row r="276" spans="2:17" x14ac:dyDescent="0.25">
      <c r="B276" s="32" t="s">
        <v>103</v>
      </c>
      <c r="C276" s="135">
        <v>156.05000000000001</v>
      </c>
      <c r="D276" s="135">
        <v>156.05000000000001</v>
      </c>
      <c r="E276" s="135">
        <v>156.05000000000001</v>
      </c>
      <c r="F276" s="24"/>
      <c r="G276" s="24"/>
      <c r="H276" s="32" t="s">
        <v>103</v>
      </c>
      <c r="I276" s="55">
        <f t="shared" ref="I276:K276" si="203">I229</f>
        <v>62.091999999999999</v>
      </c>
      <c r="J276" s="55">
        <f t="shared" si="203"/>
        <v>65.846000000000004</v>
      </c>
      <c r="K276" s="55">
        <f t="shared" si="203"/>
        <v>61.266999999999996</v>
      </c>
      <c r="L276" s="24"/>
      <c r="M276" s="24"/>
      <c r="N276" s="32" t="s">
        <v>103</v>
      </c>
      <c r="O276" s="128">
        <f>((I276-I268)/C276)*100</f>
        <v>15.442486382569683</v>
      </c>
      <c r="P276" s="128">
        <f t="shared" ref="P276" si="204">((J276-J268)/D276)*100</f>
        <v>23.665491829541814</v>
      </c>
      <c r="Q276" s="128">
        <f t="shared" ref="Q276" si="205">((K276-K268)/E276)*100</f>
        <v>13.045177827619348</v>
      </c>
    </row>
    <row r="277" spans="2:17" x14ac:dyDescent="0.25">
      <c r="B277" s="92"/>
      <c r="C277" s="95"/>
      <c r="D277" s="95"/>
      <c r="E277" s="95"/>
      <c r="F277" s="24"/>
      <c r="G277" s="24"/>
      <c r="H277" s="92"/>
      <c r="I277" s="129"/>
      <c r="J277" s="129"/>
      <c r="K277" s="129"/>
      <c r="L277" s="24"/>
      <c r="M277" s="24"/>
      <c r="N277" s="92"/>
      <c r="O277" s="129"/>
      <c r="P277" s="129"/>
      <c r="Q277" s="129"/>
    </row>
    <row r="278" spans="2:17" x14ac:dyDescent="0.25">
      <c r="B278" s="92"/>
      <c r="C278" s="95"/>
      <c r="D278" s="66">
        <v>2020</v>
      </c>
      <c r="E278" s="24"/>
      <c r="F278" s="24"/>
      <c r="G278" s="24"/>
      <c r="H278" s="24"/>
      <c r="I278" s="66">
        <v>2020</v>
      </c>
      <c r="J278" s="24"/>
      <c r="K278" s="24"/>
      <c r="L278" s="24"/>
      <c r="M278" s="24"/>
      <c r="N278" s="24"/>
      <c r="O278" s="66">
        <v>2020</v>
      </c>
      <c r="P278" s="24"/>
      <c r="Q278" s="129"/>
    </row>
    <row r="279" spans="2:17" ht="15.75" x14ac:dyDescent="0.25">
      <c r="B279" s="24"/>
      <c r="C279" s="24"/>
      <c r="D279" s="134" t="s">
        <v>151</v>
      </c>
      <c r="E279" s="24"/>
      <c r="F279" s="24"/>
      <c r="G279" s="24"/>
      <c r="H279" s="24"/>
      <c r="I279" s="56" t="s">
        <v>130</v>
      </c>
      <c r="J279" s="24"/>
      <c r="K279" s="24"/>
      <c r="L279" s="24"/>
      <c r="M279" s="24"/>
      <c r="N279" s="24"/>
      <c r="O279" s="122" t="s">
        <v>161</v>
      </c>
      <c r="P279" s="24"/>
      <c r="Q279" s="24"/>
    </row>
    <row r="280" spans="2:17" x14ac:dyDescent="0.25"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</row>
    <row r="281" spans="2:17" x14ac:dyDescent="0.25">
      <c r="B281" s="46" t="s">
        <v>0</v>
      </c>
      <c r="C281" s="30" t="s">
        <v>1</v>
      </c>
      <c r="D281" s="30" t="s">
        <v>2</v>
      </c>
      <c r="E281" s="30" t="s">
        <v>3</v>
      </c>
      <c r="F281" s="24"/>
      <c r="G281" s="24"/>
      <c r="H281" s="46" t="s">
        <v>0</v>
      </c>
      <c r="I281" s="30" t="s">
        <v>1</v>
      </c>
      <c r="J281" s="30" t="s">
        <v>2</v>
      </c>
      <c r="K281" s="30" t="s">
        <v>3</v>
      </c>
      <c r="L281" s="24"/>
      <c r="M281" s="24"/>
      <c r="N281" s="46" t="s">
        <v>0</v>
      </c>
      <c r="O281" s="30" t="s">
        <v>1</v>
      </c>
      <c r="P281" s="30" t="s">
        <v>2</v>
      </c>
      <c r="Q281" s="30" t="s">
        <v>3</v>
      </c>
    </row>
    <row r="282" spans="2:17" x14ac:dyDescent="0.25">
      <c r="B282" s="32" t="s">
        <v>86</v>
      </c>
      <c r="C282" s="135">
        <v>0</v>
      </c>
      <c r="D282" s="135">
        <v>0</v>
      </c>
      <c r="E282" s="135">
        <v>0</v>
      </c>
      <c r="F282" s="24"/>
      <c r="G282" s="24"/>
      <c r="H282" s="32" t="s">
        <v>86</v>
      </c>
      <c r="I282" s="55">
        <f>I235</f>
        <v>44.332999999999998</v>
      </c>
      <c r="J282" s="55">
        <f t="shared" ref="J282:K282" si="206">J235</f>
        <v>41.239999999999995</v>
      </c>
      <c r="K282" s="55">
        <f t="shared" si="206"/>
        <v>44.916399999999996</v>
      </c>
      <c r="L282" s="24"/>
      <c r="M282" s="24"/>
      <c r="N282" s="32" t="s">
        <v>86</v>
      </c>
      <c r="O282" s="128">
        <v>0</v>
      </c>
      <c r="P282" s="128">
        <v>0</v>
      </c>
      <c r="Q282" s="128">
        <v>0</v>
      </c>
    </row>
    <row r="283" spans="2:17" x14ac:dyDescent="0.25">
      <c r="B283" s="32" t="s">
        <v>87</v>
      </c>
      <c r="C283" s="135">
        <v>150</v>
      </c>
      <c r="D283" s="135">
        <v>150</v>
      </c>
      <c r="E283" s="135">
        <v>150</v>
      </c>
      <c r="F283" s="24"/>
      <c r="G283" s="24"/>
      <c r="H283" s="32" t="s">
        <v>87</v>
      </c>
      <c r="I283" s="55">
        <f t="shared" ref="I283:K283" si="207">I236</f>
        <v>81.42179999999999</v>
      </c>
      <c r="J283" s="55">
        <f t="shared" si="207"/>
        <v>87.626999999999981</v>
      </c>
      <c r="K283" s="55">
        <f t="shared" si="207"/>
        <v>90.204999999999998</v>
      </c>
      <c r="L283" s="24"/>
      <c r="M283" s="24"/>
      <c r="N283" s="32" t="s">
        <v>87</v>
      </c>
      <c r="O283" s="128">
        <f>((I283-I282)/C283)*100</f>
        <v>24.725866666666661</v>
      </c>
      <c r="P283" s="128">
        <f t="shared" ref="P283" si="208">((J283-J282)/D283)*100</f>
        <v>30.924666666666656</v>
      </c>
      <c r="Q283" s="128">
        <f t="shared" ref="Q283" si="209">((K283-K282)/E283)*100</f>
        <v>30.192400000000003</v>
      </c>
    </row>
    <row r="284" spans="2:17" x14ac:dyDescent="0.25">
      <c r="B284" s="32" t="s">
        <v>88</v>
      </c>
      <c r="C284" s="135">
        <v>187.5</v>
      </c>
      <c r="D284" s="135">
        <v>187.5</v>
      </c>
      <c r="E284" s="135">
        <v>187.5</v>
      </c>
      <c r="F284" s="24"/>
      <c r="G284" s="24"/>
      <c r="H284" s="32" t="s">
        <v>88</v>
      </c>
      <c r="I284" s="55">
        <f t="shared" ref="I284:K284" si="210">I237</f>
        <v>104.78399999999999</v>
      </c>
      <c r="J284" s="55">
        <f t="shared" si="210"/>
        <v>102.46000000000001</v>
      </c>
      <c r="K284" s="55">
        <f t="shared" si="210"/>
        <v>106.31700000000001</v>
      </c>
      <c r="L284" s="24"/>
      <c r="M284" s="24"/>
      <c r="N284" s="32" t="s">
        <v>88</v>
      </c>
      <c r="O284" s="128">
        <f>((I284-I282)/C284)*100</f>
        <v>32.240533333333332</v>
      </c>
      <c r="P284" s="128">
        <f t="shared" ref="P284" si="211">((J284-J282)/D284)*100</f>
        <v>32.650666666666673</v>
      </c>
      <c r="Q284" s="128">
        <f t="shared" ref="Q284" si="212">((K284-K282)/E284)*100</f>
        <v>32.746986666666672</v>
      </c>
    </row>
    <row r="285" spans="2:17" x14ac:dyDescent="0.25">
      <c r="B285" s="32" t="s">
        <v>89</v>
      </c>
      <c r="C285" s="135">
        <v>71.599999999999994</v>
      </c>
      <c r="D285" s="135">
        <v>71.599999999999994</v>
      </c>
      <c r="E285" s="135">
        <v>71.599999999999994</v>
      </c>
      <c r="F285" s="24"/>
      <c r="G285" s="24"/>
      <c r="H285" s="32" t="s">
        <v>89</v>
      </c>
      <c r="I285" s="55">
        <f t="shared" ref="I285:K285" si="213">I238</f>
        <v>75.448000000000008</v>
      </c>
      <c r="J285" s="55">
        <f t="shared" si="213"/>
        <v>77.856999999999999</v>
      </c>
      <c r="K285" s="55">
        <f t="shared" si="213"/>
        <v>74.581000000000003</v>
      </c>
      <c r="L285" s="24"/>
      <c r="M285" s="24"/>
      <c r="N285" s="32" t="s">
        <v>89</v>
      </c>
      <c r="O285" s="128">
        <f>((I285-I282)/C285)*100</f>
        <v>43.456703910614543</v>
      </c>
      <c r="P285" s="128">
        <f t="shared" ref="P285" si="214">((J285-J282)/D285)*100</f>
        <v>51.141061452513981</v>
      </c>
      <c r="Q285" s="128">
        <f t="shared" ref="Q285" si="215">((K285-K282)/E285)*100</f>
        <v>41.431005586592192</v>
      </c>
    </row>
    <row r="286" spans="2:17" x14ac:dyDescent="0.25">
      <c r="B286" s="32" t="s">
        <v>90</v>
      </c>
      <c r="C286" s="135">
        <v>172.67500000000001</v>
      </c>
      <c r="D286" s="135">
        <v>172.67500000000001</v>
      </c>
      <c r="E286" s="135">
        <v>172.67500000000001</v>
      </c>
      <c r="F286" s="24"/>
      <c r="G286" s="24"/>
      <c r="H286" s="32" t="s">
        <v>90</v>
      </c>
      <c r="I286" s="55">
        <f t="shared" ref="I286:K286" si="216">I239</f>
        <v>98.367000000000004</v>
      </c>
      <c r="J286" s="55">
        <f t="shared" si="216"/>
        <v>101.75399999999999</v>
      </c>
      <c r="K286" s="55">
        <f t="shared" si="216"/>
        <v>99.52800000000002</v>
      </c>
      <c r="L286" s="24"/>
      <c r="M286" s="24"/>
      <c r="N286" s="32" t="s">
        <v>90</v>
      </c>
      <c r="O286" s="128">
        <f>((I286-I282)/C286)*100</f>
        <v>31.292312147097149</v>
      </c>
      <c r="P286" s="128">
        <f t="shared" ref="P286" si="217">((J286-J282)/D286)*100</f>
        <v>35.045026784421594</v>
      </c>
      <c r="Q286" s="128">
        <f t="shared" ref="Q286" si="218">((K286-K282)/E286)*100</f>
        <v>31.626813377732748</v>
      </c>
    </row>
    <row r="287" spans="2:17" x14ac:dyDescent="0.25">
      <c r="B287" s="32" t="s">
        <v>91</v>
      </c>
      <c r="C287" s="135">
        <v>192.67500000000001</v>
      </c>
      <c r="D287" s="135">
        <v>192.67500000000001</v>
      </c>
      <c r="E287" s="135">
        <v>192.67500000000001</v>
      </c>
      <c r="F287" s="24"/>
      <c r="G287" s="24"/>
      <c r="H287" s="32" t="s">
        <v>91</v>
      </c>
      <c r="I287" s="55">
        <f t="shared" ref="I287:K287" si="219">I240</f>
        <v>115.761</v>
      </c>
      <c r="J287" s="55">
        <f t="shared" si="219"/>
        <v>122.11199999999999</v>
      </c>
      <c r="K287" s="55">
        <f t="shared" si="219"/>
        <v>108.38399999999999</v>
      </c>
      <c r="L287" s="24"/>
      <c r="M287" s="24"/>
      <c r="N287" s="32" t="s">
        <v>91</v>
      </c>
      <c r="O287" s="128">
        <f>((I287-I282)/C287)*100</f>
        <v>37.071752951861939</v>
      </c>
      <c r="P287" s="128">
        <f t="shared" ref="P287" si="220">((J287-J282)/D287)*100</f>
        <v>41.973271052290123</v>
      </c>
      <c r="Q287" s="128">
        <f t="shared" ref="Q287" si="221">((K287-K282)/E287)*100</f>
        <v>32.940236148955485</v>
      </c>
    </row>
    <row r="288" spans="2:17" x14ac:dyDescent="0.25">
      <c r="B288" s="32" t="s">
        <v>92</v>
      </c>
      <c r="C288" s="135">
        <v>135.17500000000001</v>
      </c>
      <c r="D288" s="135">
        <v>135.17500000000001</v>
      </c>
      <c r="E288" s="135">
        <v>135.17500000000001</v>
      </c>
      <c r="F288" s="24"/>
      <c r="G288" s="24"/>
      <c r="H288" s="32" t="s">
        <v>92</v>
      </c>
      <c r="I288" s="55">
        <f t="shared" ref="I288:K288" si="222">I241</f>
        <v>84.628</v>
      </c>
      <c r="J288" s="55">
        <f t="shared" si="222"/>
        <v>79.807000000000002</v>
      </c>
      <c r="K288" s="55">
        <f t="shared" si="222"/>
        <v>76.751999999999995</v>
      </c>
      <c r="L288" s="24"/>
      <c r="M288" s="24"/>
      <c r="N288" s="32" t="s">
        <v>92</v>
      </c>
      <c r="O288" s="128">
        <f>((I288-I282)/C288)*100</f>
        <v>29.809506195672274</v>
      </c>
      <c r="P288" s="128">
        <f t="shared" ref="P288" si="223">((J288-J282)/D288)*100</f>
        <v>28.531163306824492</v>
      </c>
      <c r="Q288" s="128">
        <f t="shared" ref="Q288" si="224">((K288-K282)/E288)*100</f>
        <v>23.551396338080263</v>
      </c>
    </row>
    <row r="289" spans="2:17" x14ac:dyDescent="0.25">
      <c r="B289" s="32" t="s">
        <v>93</v>
      </c>
      <c r="C289" s="135">
        <v>155.17500000000001</v>
      </c>
      <c r="D289" s="135">
        <v>155.17500000000001</v>
      </c>
      <c r="E289" s="135">
        <v>155.17500000000001</v>
      </c>
      <c r="F289" s="24"/>
      <c r="G289" s="24"/>
      <c r="H289" s="32" t="s">
        <v>93</v>
      </c>
      <c r="I289" s="55">
        <f t="shared" ref="I289:K289" si="225">I242</f>
        <v>94.97999999999999</v>
      </c>
      <c r="J289" s="55">
        <f t="shared" si="225"/>
        <v>85.570999999999998</v>
      </c>
      <c r="K289" s="55">
        <f t="shared" si="225"/>
        <v>89.443999999999988</v>
      </c>
      <c r="L289" s="24"/>
      <c r="M289" s="24"/>
      <c r="N289" s="32" t="s">
        <v>93</v>
      </c>
      <c r="O289" s="128">
        <f>((I289-I282)/C289)*100</f>
        <v>32.638633800547758</v>
      </c>
      <c r="P289" s="128">
        <f t="shared" ref="P289" si="226">((J289-J282)/D289)*100</f>
        <v>28.568390526824555</v>
      </c>
      <c r="Q289" s="128">
        <f t="shared" ref="Q289" si="227">((K289-K282)/E289)*100</f>
        <v>28.695086193007885</v>
      </c>
    </row>
    <row r="290" spans="2:17" x14ac:dyDescent="0.25">
      <c r="B290" s="32" t="s">
        <v>94</v>
      </c>
      <c r="C290" s="135">
        <v>156.05000000000001</v>
      </c>
      <c r="D290" s="135">
        <v>156.05000000000001</v>
      </c>
      <c r="E290" s="135">
        <v>156.05000000000001</v>
      </c>
      <c r="F290" s="24"/>
      <c r="G290" s="24"/>
      <c r="H290" s="32" t="s">
        <v>94</v>
      </c>
      <c r="I290" s="55">
        <f t="shared" ref="I290:K290" si="228">I243</f>
        <v>76.025000000000006</v>
      </c>
      <c r="J290" s="55">
        <f t="shared" si="228"/>
        <v>73.426000000000002</v>
      </c>
      <c r="K290" s="55">
        <f t="shared" si="228"/>
        <v>68.114999999999995</v>
      </c>
      <c r="L290" s="24"/>
      <c r="M290" s="24"/>
      <c r="N290" s="32" t="s">
        <v>94</v>
      </c>
      <c r="O290" s="128">
        <f>((I290-I282)/C290)*100</f>
        <v>20.308875360461393</v>
      </c>
      <c r="P290" s="128">
        <f t="shared" ref="P290" si="229">((J290-J282)/D290)*100</f>
        <v>20.625440563921824</v>
      </c>
      <c r="Q290" s="128">
        <f t="shared" ref="Q290" si="230">((K290-K282)/E290)*100</f>
        <v>14.866132649791734</v>
      </c>
    </row>
    <row r="291" spans="2:17" x14ac:dyDescent="0.25">
      <c r="B291" s="32" t="s">
        <v>95</v>
      </c>
      <c r="C291" s="135">
        <v>0</v>
      </c>
      <c r="D291" s="135">
        <v>0</v>
      </c>
      <c r="E291" s="135">
        <v>0</v>
      </c>
      <c r="F291" s="24"/>
      <c r="G291" s="24"/>
      <c r="H291" s="32" t="s">
        <v>95</v>
      </c>
      <c r="I291" s="55">
        <f t="shared" ref="I291:K291" si="231">I244</f>
        <v>33.023000000000003</v>
      </c>
      <c r="J291" s="55">
        <f t="shared" si="231"/>
        <v>40.997</v>
      </c>
      <c r="K291" s="55">
        <f t="shared" si="231"/>
        <v>46.873999999999995</v>
      </c>
      <c r="L291" s="24"/>
      <c r="M291" s="24"/>
      <c r="N291" s="32" t="s">
        <v>95</v>
      </c>
      <c r="O291" s="128">
        <v>0</v>
      </c>
      <c r="P291" s="128">
        <v>0</v>
      </c>
      <c r="Q291" s="128">
        <v>0</v>
      </c>
    </row>
    <row r="292" spans="2:17" x14ac:dyDescent="0.25">
      <c r="B292" s="32" t="s">
        <v>96</v>
      </c>
      <c r="C292" s="135">
        <v>150</v>
      </c>
      <c r="D292" s="135">
        <v>150</v>
      </c>
      <c r="E292" s="135">
        <v>150</v>
      </c>
      <c r="F292" s="24"/>
      <c r="G292" s="24"/>
      <c r="H292" s="32" t="s">
        <v>96</v>
      </c>
      <c r="I292" s="55">
        <f t="shared" ref="I292:K292" si="232">I245</f>
        <v>81.947999999999993</v>
      </c>
      <c r="J292" s="55">
        <f t="shared" si="232"/>
        <v>77.512</v>
      </c>
      <c r="K292" s="55">
        <f t="shared" si="232"/>
        <v>75.984999999999999</v>
      </c>
      <c r="L292" s="24"/>
      <c r="M292" s="24"/>
      <c r="N292" s="32" t="s">
        <v>96</v>
      </c>
      <c r="O292" s="128">
        <f>((I292-I291)/C292)*100</f>
        <v>32.61666666666666</v>
      </c>
      <c r="P292" s="128">
        <f t="shared" ref="P292" si="233">((J292-J291)/D292)*100</f>
        <v>24.343333333333334</v>
      </c>
      <c r="Q292" s="128">
        <f t="shared" ref="Q292" si="234">((K292-K291)/E292)*100</f>
        <v>19.407333333333334</v>
      </c>
    </row>
    <row r="293" spans="2:17" x14ac:dyDescent="0.25">
      <c r="B293" s="32" t="s">
        <v>97</v>
      </c>
      <c r="C293" s="135">
        <v>187.5</v>
      </c>
      <c r="D293" s="135">
        <v>187.5</v>
      </c>
      <c r="E293" s="135">
        <v>187.5</v>
      </c>
      <c r="F293" s="24"/>
      <c r="G293" s="24"/>
      <c r="H293" s="32" t="s">
        <v>97</v>
      </c>
      <c r="I293" s="55">
        <f t="shared" ref="I293:K293" si="235">I246</f>
        <v>106.876</v>
      </c>
      <c r="J293" s="55">
        <f t="shared" si="235"/>
        <v>97.605000000000004</v>
      </c>
      <c r="K293" s="55">
        <f t="shared" si="235"/>
        <v>92.173999999999992</v>
      </c>
      <c r="L293" s="24"/>
      <c r="M293" s="24"/>
      <c r="N293" s="32" t="s">
        <v>97</v>
      </c>
      <c r="O293" s="128">
        <f>((I293-I291)/C293)*100</f>
        <v>39.388266666666674</v>
      </c>
      <c r="P293" s="128">
        <f t="shared" ref="P293" si="236">((J293-J291)/D293)*100</f>
        <v>30.190933333333337</v>
      </c>
      <c r="Q293" s="128">
        <f t="shared" ref="Q293" si="237">((K293-K291)/E293)*100</f>
        <v>24.159999999999997</v>
      </c>
    </row>
    <row r="294" spans="2:17" x14ac:dyDescent="0.25">
      <c r="B294" s="32" t="s">
        <v>98</v>
      </c>
      <c r="C294" s="135">
        <v>71.599999999999994</v>
      </c>
      <c r="D294" s="135">
        <v>71.599999999999994</v>
      </c>
      <c r="E294" s="135">
        <v>71.599999999999994</v>
      </c>
      <c r="F294" s="24"/>
      <c r="G294" s="24"/>
      <c r="H294" s="32" t="s">
        <v>98</v>
      </c>
      <c r="I294" s="55">
        <f t="shared" ref="I294:K294" si="238">I247</f>
        <v>75.06</v>
      </c>
      <c r="J294" s="55">
        <f t="shared" si="238"/>
        <v>67.760999999999996</v>
      </c>
      <c r="K294" s="55">
        <f t="shared" si="238"/>
        <v>68.646999999999991</v>
      </c>
      <c r="L294" s="24"/>
      <c r="M294" s="24"/>
      <c r="N294" s="32" t="s">
        <v>98</v>
      </c>
      <c r="O294" s="128">
        <f>((I294-I291)/C294)*100</f>
        <v>58.710893854748605</v>
      </c>
      <c r="P294" s="128">
        <f t="shared" ref="P294" si="239">((J294-J291)/D294)*100</f>
        <v>37.379888268156421</v>
      </c>
      <c r="Q294" s="128">
        <f t="shared" ref="Q294" si="240">((K294-K291)/E294)*100</f>
        <v>30.409217877094967</v>
      </c>
    </row>
    <row r="295" spans="2:17" x14ac:dyDescent="0.25">
      <c r="B295" s="32" t="s">
        <v>99</v>
      </c>
      <c r="C295" s="135">
        <v>172.67500000000001</v>
      </c>
      <c r="D295" s="135">
        <v>172.67500000000001</v>
      </c>
      <c r="E295" s="135">
        <v>172.67500000000001</v>
      </c>
      <c r="F295" s="24"/>
      <c r="G295" s="24"/>
      <c r="H295" s="32" t="s">
        <v>99</v>
      </c>
      <c r="I295" s="55">
        <f t="shared" ref="I295:K295" si="241">I248</f>
        <v>77.19</v>
      </c>
      <c r="J295" s="55">
        <f t="shared" si="241"/>
        <v>94.275000000000006</v>
      </c>
      <c r="K295" s="55">
        <f t="shared" si="241"/>
        <v>90.796999999999997</v>
      </c>
      <c r="L295" s="24"/>
      <c r="M295" s="24"/>
      <c r="N295" s="32" t="s">
        <v>99</v>
      </c>
      <c r="O295" s="128">
        <f>((I295-I291)/C295)*100</f>
        <v>25.578109164615604</v>
      </c>
      <c r="P295" s="128">
        <f t="shared" ref="P295" si="242">((J295-J291)/D295)*100</f>
        <v>30.854495439409295</v>
      </c>
      <c r="Q295" s="128">
        <f t="shared" ref="Q295" si="243">((K295-K291)/E295)*100</f>
        <v>25.436803243086725</v>
      </c>
    </row>
    <row r="296" spans="2:17" x14ac:dyDescent="0.25">
      <c r="B296" s="32" t="s">
        <v>100</v>
      </c>
      <c r="C296" s="135">
        <v>192.67500000000001</v>
      </c>
      <c r="D296" s="135">
        <v>192.67500000000001</v>
      </c>
      <c r="E296" s="135">
        <v>192.67500000000001</v>
      </c>
      <c r="F296" s="24"/>
      <c r="G296" s="24"/>
      <c r="H296" s="32" t="s">
        <v>100</v>
      </c>
      <c r="I296" s="55">
        <f t="shared" ref="I296:K296" si="244">I249</f>
        <v>108.16</v>
      </c>
      <c r="J296" s="55">
        <f t="shared" si="244"/>
        <v>117.012</v>
      </c>
      <c r="K296" s="55">
        <f t="shared" si="244"/>
        <v>104.40199999999999</v>
      </c>
      <c r="L296" s="24"/>
      <c r="M296" s="24"/>
      <c r="N296" s="32" t="s">
        <v>100</v>
      </c>
      <c r="O296" s="128">
        <f>((I296-I291)/C296)*100</f>
        <v>38.996756195666279</v>
      </c>
      <c r="P296" s="128">
        <f t="shared" ref="P296" si="245">((J296-J291)/D296)*100</f>
        <v>39.452445828467624</v>
      </c>
      <c r="Q296" s="128">
        <f t="shared" ref="Q296" si="246">((K296-K291)/E296)*100</f>
        <v>29.857532113662899</v>
      </c>
    </row>
    <row r="297" spans="2:17" x14ac:dyDescent="0.25">
      <c r="B297" s="32" t="s">
        <v>101</v>
      </c>
      <c r="C297" s="135">
        <v>135.17500000000001</v>
      </c>
      <c r="D297" s="135">
        <v>135.17500000000001</v>
      </c>
      <c r="E297" s="135">
        <v>135.17500000000001</v>
      </c>
      <c r="F297" s="24"/>
      <c r="G297" s="24"/>
      <c r="H297" s="32" t="s">
        <v>101</v>
      </c>
      <c r="I297" s="55">
        <f t="shared" ref="I297:K297" si="247">I250</f>
        <v>80.912000000000006</v>
      </c>
      <c r="J297" s="55">
        <f t="shared" si="247"/>
        <v>67.911000000000001</v>
      </c>
      <c r="K297" s="55">
        <f t="shared" si="247"/>
        <v>77.102000000000004</v>
      </c>
      <c r="L297" s="24"/>
      <c r="M297" s="24"/>
      <c r="N297" s="32" t="s">
        <v>101</v>
      </c>
      <c r="O297" s="128">
        <f>((I297-I291)/C297)*100</f>
        <v>35.427408914370261</v>
      </c>
      <c r="P297" s="128">
        <f t="shared" ref="P297" si="248">((J297-J291)/D297)*100</f>
        <v>19.910486406510078</v>
      </c>
      <c r="Q297" s="128">
        <f t="shared" ref="Q297" si="249">((K297-K291)/E297)*100</f>
        <v>22.362123173663772</v>
      </c>
    </row>
    <row r="298" spans="2:17" x14ac:dyDescent="0.25">
      <c r="B298" s="32" t="s">
        <v>102</v>
      </c>
      <c r="C298" s="135">
        <v>155.17500000000001</v>
      </c>
      <c r="D298" s="135">
        <v>155.17500000000001</v>
      </c>
      <c r="E298" s="135">
        <v>155.17500000000001</v>
      </c>
      <c r="F298" s="24"/>
      <c r="G298" s="24"/>
      <c r="H298" s="32" t="s">
        <v>102</v>
      </c>
      <c r="I298" s="55">
        <f t="shared" ref="I298:K298" si="250">I251</f>
        <v>80.763000000000005</v>
      </c>
      <c r="J298" s="55">
        <f t="shared" si="250"/>
        <v>89.552000000000007</v>
      </c>
      <c r="K298" s="55">
        <f t="shared" si="250"/>
        <v>87.926999999999992</v>
      </c>
      <c r="L298" s="24"/>
      <c r="M298" s="24"/>
      <c r="N298" s="32" t="s">
        <v>102</v>
      </c>
      <c r="O298" s="128">
        <f>((I298-I291)/C298)*100</f>
        <v>30.765265023360723</v>
      </c>
      <c r="P298" s="128">
        <f t="shared" ref="P298" si="251">((J298-J291)/D298)*100</f>
        <v>31.290478492025137</v>
      </c>
      <c r="Q298" s="128">
        <f t="shared" ref="Q298" si="252">((K298-K291)/E298)*100</f>
        <v>26.455936845497014</v>
      </c>
    </row>
    <row r="299" spans="2:17" x14ac:dyDescent="0.25">
      <c r="B299" s="32" t="s">
        <v>103</v>
      </c>
      <c r="C299" s="135">
        <v>156.05000000000001</v>
      </c>
      <c r="D299" s="135">
        <v>156.05000000000001</v>
      </c>
      <c r="E299" s="135">
        <v>156.05000000000001</v>
      </c>
      <c r="F299" s="24"/>
      <c r="G299" s="24"/>
      <c r="H299" s="32" t="s">
        <v>103</v>
      </c>
      <c r="I299" s="55">
        <f t="shared" ref="I299:K299" si="253">I252</f>
        <v>69.984999999999985</v>
      </c>
      <c r="J299" s="55">
        <f t="shared" si="253"/>
        <v>72.457999999999998</v>
      </c>
      <c r="K299" s="55">
        <f t="shared" si="253"/>
        <v>61.283999999999999</v>
      </c>
      <c r="L299" s="24"/>
      <c r="M299" s="24"/>
      <c r="N299" s="32" t="s">
        <v>103</v>
      </c>
      <c r="O299" s="128">
        <f>((I299-I291)/C299)*100</f>
        <v>23.685998077539235</v>
      </c>
      <c r="P299" s="128">
        <f t="shared" ref="P299" si="254">((J299-J291)/D299)*100</f>
        <v>20.160845882729891</v>
      </c>
      <c r="Q299" s="128">
        <f t="shared" ref="Q299" si="255">((K299-K291)/E299)*100</f>
        <v>9.2342198013457235</v>
      </c>
    </row>
  </sheetData>
  <mergeCells count="3">
    <mergeCell ref="C52:D52"/>
    <mergeCell ref="C53:D53"/>
    <mergeCell ref="C77:D77"/>
  </mergeCells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21"/>
  <sheetViews>
    <sheetView tabSelected="1" topLeftCell="A274" workbookViewId="0">
      <selection activeCell="J284" sqref="J284"/>
    </sheetView>
  </sheetViews>
  <sheetFormatPr defaultColWidth="8.85546875" defaultRowHeight="15" x14ac:dyDescent="0.25"/>
  <cols>
    <col min="1" max="1" width="17.7109375" style="37" bestFit="1" customWidth="1"/>
    <col min="2" max="2" width="11.28515625" style="41" bestFit="1" customWidth="1"/>
    <col min="3" max="3" width="11.42578125" style="41" customWidth="1"/>
    <col min="4" max="4" width="9.5703125" style="41" bestFit="1" customWidth="1"/>
    <col min="5" max="6" width="9.140625" style="41" bestFit="1" customWidth="1"/>
    <col min="7" max="7" width="10.7109375" style="41" bestFit="1" customWidth="1"/>
    <col min="8" max="8" width="9.140625" style="41" bestFit="1" customWidth="1"/>
    <col min="9" max="9" width="13.42578125" style="41" customWidth="1"/>
    <col min="10" max="10" width="11.28515625" style="41" bestFit="1" customWidth="1"/>
    <col min="11" max="11" width="12.28515625" style="41" bestFit="1" customWidth="1"/>
    <col min="12" max="12" width="9.140625" style="41" bestFit="1" customWidth="1"/>
    <col min="13" max="13" width="9.5703125" style="41" bestFit="1" customWidth="1"/>
    <col min="14" max="14" width="9.5703125" style="41" customWidth="1"/>
    <col min="15" max="15" width="9.140625" style="41" bestFit="1" customWidth="1"/>
    <col min="16" max="16" width="12.28515625" style="41" bestFit="1" customWidth="1"/>
    <col min="17" max="17" width="9.85546875" style="37" customWidth="1"/>
    <col min="18" max="16384" width="8.85546875" style="37"/>
  </cols>
  <sheetData>
    <row r="2" spans="1:21" x14ac:dyDescent="0.25">
      <c r="C2" s="63">
        <v>2019</v>
      </c>
    </row>
    <row r="3" spans="1:21" ht="15.75" x14ac:dyDescent="0.25">
      <c r="C3" s="56" t="s">
        <v>115</v>
      </c>
    </row>
    <row r="4" spans="1:21" x14ac:dyDescent="0.25">
      <c r="C4" s="48" t="s">
        <v>116</v>
      </c>
    </row>
    <row r="5" spans="1:21" x14ac:dyDescent="0.25">
      <c r="A5" s="36" t="s">
        <v>104</v>
      </c>
      <c r="B5" s="38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9"/>
      <c r="P5" s="39"/>
    </row>
    <row r="6" spans="1:21" x14ac:dyDescent="0.25">
      <c r="A6" s="36" t="s">
        <v>105</v>
      </c>
      <c r="B6" s="38">
        <v>9</v>
      </c>
      <c r="C6" s="39" t="s">
        <v>107</v>
      </c>
      <c r="D6" s="39">
        <v>18</v>
      </c>
      <c r="E6" s="39"/>
      <c r="F6" s="39"/>
      <c r="G6" s="39"/>
      <c r="H6" s="39"/>
      <c r="I6" s="39"/>
      <c r="J6" s="39"/>
      <c r="K6" s="39"/>
      <c r="L6" s="39"/>
      <c r="M6" s="35"/>
      <c r="N6" s="35"/>
      <c r="O6" s="39"/>
      <c r="P6" s="39"/>
    </row>
    <row r="7" spans="1:21" x14ac:dyDescent="0.25">
      <c r="A7" s="37" t="s">
        <v>106</v>
      </c>
      <c r="B7" s="40">
        <v>3</v>
      </c>
    </row>
    <row r="8" spans="1:21" x14ac:dyDescent="0.25">
      <c r="A8" s="46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30" t="s">
        <v>5</v>
      </c>
      <c r="O8" s="41" t="s">
        <v>7</v>
      </c>
      <c r="S8" s="53"/>
      <c r="T8" s="53"/>
      <c r="U8" s="53"/>
    </row>
    <row r="9" spans="1:21" x14ac:dyDescent="0.25">
      <c r="A9" s="32" t="s">
        <v>86</v>
      </c>
      <c r="B9" s="55">
        <f>DATA!I8</f>
        <v>1.17</v>
      </c>
      <c r="C9" s="55">
        <v>1.1399999999999999</v>
      </c>
      <c r="D9" s="55">
        <v>1.1599999999999999</v>
      </c>
      <c r="E9" s="42">
        <f t="shared" ref="E9:E26" si="0">SUM(B9:D9)</f>
        <v>3.4699999999999998</v>
      </c>
      <c r="F9" s="42">
        <f>E9/3</f>
        <v>1.1566666666666665</v>
      </c>
      <c r="H9" s="47"/>
      <c r="I9" s="47"/>
      <c r="J9" s="47" t="s">
        <v>6</v>
      </c>
      <c r="K9" s="47"/>
      <c r="L9" s="47"/>
      <c r="M9" s="47"/>
      <c r="N9" s="47"/>
      <c r="O9" s="33">
        <v>1</v>
      </c>
      <c r="P9" s="42">
        <f>SUM(F9:F17)/9</f>
        <v>1.2666666666666666</v>
      </c>
      <c r="Q9" s="49">
        <f>RANK(P9,P$9:P$10,0)</f>
        <v>1</v>
      </c>
      <c r="S9" s="53"/>
      <c r="T9" s="53"/>
      <c r="U9" s="53"/>
    </row>
    <row r="10" spans="1:21" x14ac:dyDescent="0.25">
      <c r="A10" s="32" t="s">
        <v>87</v>
      </c>
      <c r="B10" s="55">
        <v>1.26</v>
      </c>
      <c r="C10" s="55">
        <v>1.26</v>
      </c>
      <c r="D10" s="55">
        <v>1.25</v>
      </c>
      <c r="E10" s="42">
        <f t="shared" si="0"/>
        <v>3.77</v>
      </c>
      <c r="F10" s="42">
        <f t="shared" ref="F10:F23" si="1">E10/3</f>
        <v>1.2566666666666666</v>
      </c>
      <c r="G10" s="31"/>
      <c r="H10" s="30" t="s">
        <v>8</v>
      </c>
      <c r="I10" s="30" t="s">
        <v>9</v>
      </c>
      <c r="J10" s="30" t="s">
        <v>10</v>
      </c>
      <c r="K10" s="30" t="s">
        <v>11</v>
      </c>
      <c r="L10" s="30" t="s">
        <v>12</v>
      </c>
      <c r="M10" s="30" t="s">
        <v>112</v>
      </c>
      <c r="N10" s="50"/>
      <c r="O10" s="33">
        <v>2</v>
      </c>
      <c r="P10" s="42">
        <f>SUM(F18:F26)/9</f>
        <v>1.2407407407407407</v>
      </c>
      <c r="Q10" s="49">
        <f>RANK(P10,P$9:P$10,0)</f>
        <v>2</v>
      </c>
      <c r="S10" s="53"/>
      <c r="T10" s="53"/>
      <c r="U10" s="53"/>
    </row>
    <row r="11" spans="1:21" x14ac:dyDescent="0.25">
      <c r="A11" s="32" t="s">
        <v>88</v>
      </c>
      <c r="B11" s="55">
        <v>1.32</v>
      </c>
      <c r="C11" s="55">
        <v>1.34</v>
      </c>
      <c r="D11" s="55">
        <v>1.3199999999999998</v>
      </c>
      <c r="E11" s="42">
        <f t="shared" si="0"/>
        <v>3.98</v>
      </c>
      <c r="F11" s="42">
        <f t="shared" si="1"/>
        <v>1.3266666666666667</v>
      </c>
      <c r="G11" s="31" t="s">
        <v>13</v>
      </c>
      <c r="H11" s="31">
        <f>B7-1</f>
        <v>2</v>
      </c>
      <c r="I11" s="31">
        <f>D30</f>
        <v>4.7148148148465907E-3</v>
      </c>
      <c r="J11" s="31">
        <f>I11/H11</f>
        <v>2.3574074074232954E-3</v>
      </c>
      <c r="K11" s="31">
        <f>J11/$J$16</f>
        <v>1.3035961689150546</v>
      </c>
      <c r="L11" s="31">
        <f>FINV(0.05,H11,$H$16)</f>
        <v>3.275897990672394</v>
      </c>
      <c r="M11" s="31" t="str">
        <f>IF(K11&gt;=L11, "S", "NS")</f>
        <v>NS</v>
      </c>
      <c r="N11" s="39"/>
      <c r="O11" s="30" t="s">
        <v>14</v>
      </c>
      <c r="P11" s="42">
        <f>SQRT(J16/(3*9))</f>
        <v>8.1839676141678159E-3</v>
      </c>
      <c r="S11" s="53"/>
      <c r="T11" s="53"/>
      <c r="U11" s="53"/>
    </row>
    <row r="12" spans="1:21" x14ac:dyDescent="0.25">
      <c r="A12" s="32" t="s">
        <v>89</v>
      </c>
      <c r="B12" s="55">
        <v>1.25</v>
      </c>
      <c r="C12" s="55">
        <v>1.23</v>
      </c>
      <c r="D12" s="55">
        <v>1.28</v>
      </c>
      <c r="E12" s="42">
        <f t="shared" si="0"/>
        <v>3.76</v>
      </c>
      <c r="F12" s="42">
        <f t="shared" si="1"/>
        <v>1.2533333333333332</v>
      </c>
      <c r="G12" s="31" t="s">
        <v>15</v>
      </c>
      <c r="H12" s="31">
        <f>D6-1</f>
        <v>17</v>
      </c>
      <c r="I12" s="31">
        <f>B31</f>
        <v>0.18925925925927345</v>
      </c>
      <c r="J12" s="31">
        <f t="shared" ref="J12:J16" si="2">I12/H12</f>
        <v>1.1132897603486673E-2</v>
      </c>
      <c r="K12" s="31">
        <f>J12/$J$16</f>
        <v>6.1562556472543166</v>
      </c>
      <c r="L12" s="31">
        <f>FINV(0.05,H12,$H$16)</f>
        <v>1.9332068318040869</v>
      </c>
      <c r="M12" s="43" t="str">
        <f t="shared" ref="M12" si="3">IF(K12&gt;=L12, "S", "NS")</f>
        <v>S</v>
      </c>
      <c r="N12" s="30" t="s">
        <v>113</v>
      </c>
      <c r="O12" s="30" t="s">
        <v>16</v>
      </c>
      <c r="P12" s="42">
        <f>SQRT((2*J16)/(3*9))*L17</f>
        <v>2.3520950004775588E-2</v>
      </c>
      <c r="S12" s="53"/>
      <c r="T12" s="53"/>
      <c r="U12" s="53"/>
    </row>
    <row r="13" spans="1:21" x14ac:dyDescent="0.25">
      <c r="A13" s="32" t="s">
        <v>90</v>
      </c>
      <c r="B13" s="55">
        <v>1.25</v>
      </c>
      <c r="C13" s="55">
        <v>1.3199999999999998</v>
      </c>
      <c r="D13" s="55">
        <v>1.3399999999999999</v>
      </c>
      <c r="E13" s="42">
        <f t="shared" si="0"/>
        <v>3.9099999999999997</v>
      </c>
      <c r="F13" s="42">
        <f t="shared" si="1"/>
        <v>1.3033333333333332</v>
      </c>
      <c r="G13" s="31" t="s">
        <v>108</v>
      </c>
      <c r="H13" s="31">
        <f>B5-1</f>
        <v>1</v>
      </c>
      <c r="I13" s="31">
        <f>(SUM(E9:E17)^2+SUM(E18:E26)^2)/27-B29</f>
        <v>9.0740740740784531E-3</v>
      </c>
      <c r="J13" s="31">
        <f t="shared" si="2"/>
        <v>9.0740740740784531E-3</v>
      </c>
      <c r="K13" s="31">
        <f>J13/$J$16</f>
        <v>5.0177700138600159</v>
      </c>
      <c r="L13" s="31">
        <f>FINV(0.05,H13,$H$16)</f>
        <v>4.1300177456520188</v>
      </c>
      <c r="M13" s="31" t="str">
        <f>IF(K13&gt;=L13, "S", "NS")</f>
        <v>S</v>
      </c>
      <c r="N13" s="39"/>
      <c r="O13" s="33">
        <v>1</v>
      </c>
      <c r="P13" s="42">
        <f>(F9+F18)/2</f>
        <v>1.145</v>
      </c>
      <c r="Q13" s="49">
        <f>RANK(P13,P$13:P$21,0)</f>
        <v>9</v>
      </c>
      <c r="R13" s="51">
        <v>9</v>
      </c>
      <c r="S13" s="54"/>
      <c r="T13" s="54"/>
      <c r="U13" s="54"/>
    </row>
    <row r="14" spans="1:21" x14ac:dyDescent="0.25">
      <c r="A14" s="32" t="s">
        <v>91</v>
      </c>
      <c r="B14" s="55">
        <v>1.3399999999999999</v>
      </c>
      <c r="C14" s="55">
        <v>1.42</v>
      </c>
      <c r="D14" s="55">
        <v>1.3599999999999999</v>
      </c>
      <c r="E14" s="42">
        <f t="shared" si="0"/>
        <v>4.1199999999999992</v>
      </c>
      <c r="F14" s="42">
        <f t="shared" si="1"/>
        <v>1.3733333333333331</v>
      </c>
      <c r="G14" s="31" t="s">
        <v>109</v>
      </c>
      <c r="H14" s="31">
        <f>B6-1</f>
        <v>8</v>
      </c>
      <c r="I14" s="31">
        <f>((E9+E18)^2+(E10+E19)^2+(E11+E20)^2+(E12+E21)^2+(E13+E22)^2+(E14+E23)^2+(E15+E24)^2+(E16+E25)^2+(E17+E26)^2/6)-B29</f>
        <v>381.64977592592595</v>
      </c>
      <c r="J14" s="31">
        <f t="shared" si="2"/>
        <v>47.706221990740744</v>
      </c>
      <c r="K14" s="31">
        <f>J14/$J$16</f>
        <v>26380.52634632025</v>
      </c>
      <c r="L14" s="31">
        <f>FINV(0.05,H14,$H$16)</f>
        <v>2.2253399674380931</v>
      </c>
      <c r="M14" s="31" t="str">
        <f>IF(K14&gt;=L14, "S", "NS")</f>
        <v>S</v>
      </c>
      <c r="N14" s="39"/>
      <c r="O14" s="33">
        <v>2</v>
      </c>
      <c r="P14" s="42">
        <f t="shared" ref="P14:P21" si="4">(F10+F19)/2</f>
        <v>1.25</v>
      </c>
      <c r="Q14" s="49">
        <f t="shared" ref="Q14:Q21" si="5">RANK(P14,P$13:P$21,0)</f>
        <v>4</v>
      </c>
      <c r="R14" s="52">
        <v>5</v>
      </c>
      <c r="S14" s="53"/>
      <c r="T14" s="53"/>
      <c r="U14" s="53"/>
    </row>
    <row r="15" spans="1:21" x14ac:dyDescent="0.25">
      <c r="A15" s="32" t="s">
        <v>92</v>
      </c>
      <c r="B15" s="55">
        <v>1.3199999999999998</v>
      </c>
      <c r="C15" s="55">
        <v>1.25</v>
      </c>
      <c r="D15" s="55">
        <v>1.21</v>
      </c>
      <c r="E15" s="42">
        <f t="shared" si="0"/>
        <v>3.78</v>
      </c>
      <c r="F15" s="42">
        <f t="shared" si="1"/>
        <v>1.26</v>
      </c>
      <c r="G15" s="26" t="s">
        <v>110</v>
      </c>
      <c r="H15" s="31">
        <f>H13*H14</f>
        <v>8</v>
      </c>
      <c r="I15" s="31">
        <f>I12-(I13+I14)</f>
        <v>-381.46959074074073</v>
      </c>
      <c r="J15" s="31">
        <f t="shared" si="2"/>
        <v>-47.683698842592591</v>
      </c>
      <c r="K15" s="44">
        <f>J15/$J$16</f>
        <v>-26368.071524321567</v>
      </c>
      <c r="L15" s="31">
        <f>FINV(0.05,H15,$H$16)</f>
        <v>2.2253399674380931</v>
      </c>
      <c r="M15" s="31" t="str">
        <f t="shared" ref="M15" si="6">IF(K15&gt;=L15, "S", "NS")</f>
        <v>NS</v>
      </c>
      <c r="N15" s="39"/>
      <c r="O15" s="33">
        <v>3</v>
      </c>
      <c r="P15" s="42">
        <f t="shared" si="4"/>
        <v>1.3116666666666665</v>
      </c>
      <c r="Q15" s="49">
        <f t="shared" si="5"/>
        <v>2</v>
      </c>
      <c r="R15" s="52">
        <v>2</v>
      </c>
      <c r="S15" s="53"/>
      <c r="T15" s="53"/>
      <c r="U15" s="53"/>
    </row>
    <row r="16" spans="1:21" x14ac:dyDescent="0.25">
      <c r="A16" s="32" t="s">
        <v>93</v>
      </c>
      <c r="B16" s="55">
        <v>1.28</v>
      </c>
      <c r="C16" s="55">
        <v>1.23</v>
      </c>
      <c r="D16" s="55">
        <v>1.26</v>
      </c>
      <c r="E16" s="42">
        <f t="shared" si="0"/>
        <v>3.7699999999999996</v>
      </c>
      <c r="F16" s="42">
        <f t="shared" si="1"/>
        <v>1.2566666666666666</v>
      </c>
      <c r="G16" s="45" t="s">
        <v>23</v>
      </c>
      <c r="H16" s="31">
        <f>((B7-1)*(B5*B6-1))</f>
        <v>34</v>
      </c>
      <c r="I16" s="31">
        <f>D31</f>
        <v>6.1485185185148339E-2</v>
      </c>
      <c r="J16" s="31">
        <f t="shared" si="2"/>
        <v>1.8083877995631863E-3</v>
      </c>
      <c r="O16" s="33">
        <v>4</v>
      </c>
      <c r="P16" s="42">
        <f t="shared" si="4"/>
        <v>1.2316666666666665</v>
      </c>
      <c r="Q16" s="49">
        <f t="shared" si="5"/>
        <v>7</v>
      </c>
      <c r="R16" s="52">
        <v>7</v>
      </c>
      <c r="S16" s="53"/>
      <c r="T16" s="53"/>
      <c r="U16" s="53"/>
    </row>
    <row r="17" spans="1:21" x14ac:dyDescent="0.25">
      <c r="A17" s="32" t="s">
        <v>94</v>
      </c>
      <c r="B17" s="55">
        <v>1.25</v>
      </c>
      <c r="C17" s="55">
        <v>1.22</v>
      </c>
      <c r="D17" s="55">
        <v>1.17</v>
      </c>
      <c r="E17" s="42">
        <f t="shared" si="0"/>
        <v>3.6399999999999997</v>
      </c>
      <c r="F17" s="42">
        <f t="shared" si="1"/>
        <v>1.2133333333333332</v>
      </c>
      <c r="G17" s="44" t="s">
        <v>4</v>
      </c>
      <c r="H17" s="31">
        <f>SUM(H11:H16)-H12</f>
        <v>53</v>
      </c>
      <c r="I17" s="31">
        <f>B30</f>
        <v>0.25545925925926838</v>
      </c>
      <c r="K17" s="31" t="s">
        <v>111</v>
      </c>
      <c r="L17" s="41">
        <f>TINV(0.05,34)</f>
        <v>2.0322445093177191</v>
      </c>
      <c r="O17" s="33">
        <v>5</v>
      </c>
      <c r="P17" s="42">
        <f t="shared" si="4"/>
        <v>1.29</v>
      </c>
      <c r="Q17" s="49">
        <f t="shared" si="5"/>
        <v>3</v>
      </c>
      <c r="R17" s="51">
        <v>3</v>
      </c>
      <c r="S17" s="60"/>
      <c r="T17" s="60"/>
      <c r="U17" s="60"/>
    </row>
    <row r="18" spans="1:21" x14ac:dyDescent="0.25">
      <c r="A18" s="32" t="s">
        <v>95</v>
      </c>
      <c r="B18" s="55">
        <v>1.07</v>
      </c>
      <c r="C18" s="55">
        <v>1.1299999999999999</v>
      </c>
      <c r="D18" s="55">
        <v>1.2</v>
      </c>
      <c r="E18" s="42">
        <f t="shared" si="0"/>
        <v>3.4000000000000004</v>
      </c>
      <c r="F18" s="42">
        <f t="shared" si="1"/>
        <v>1.1333333333333335</v>
      </c>
      <c r="G18" s="34" t="s">
        <v>14</v>
      </c>
      <c r="H18" s="31">
        <f>SQRT(J16/3)</f>
        <v>2.4551902842503446E-2</v>
      </c>
      <c r="O18" s="33">
        <v>6</v>
      </c>
      <c r="P18" s="42">
        <f t="shared" si="4"/>
        <v>1.3566666666666665</v>
      </c>
      <c r="Q18" s="49">
        <f t="shared" si="5"/>
        <v>1</v>
      </c>
      <c r="R18" s="52">
        <v>1</v>
      </c>
      <c r="S18" s="60"/>
      <c r="T18" s="60"/>
      <c r="U18" s="60"/>
    </row>
    <row r="19" spans="1:21" x14ac:dyDescent="0.25">
      <c r="A19" s="32" t="s">
        <v>96</v>
      </c>
      <c r="B19" s="55">
        <v>1.25</v>
      </c>
      <c r="C19" s="55">
        <v>1.3</v>
      </c>
      <c r="D19" s="55">
        <v>1.18</v>
      </c>
      <c r="E19" s="42">
        <f t="shared" si="0"/>
        <v>3.7299999999999995</v>
      </c>
      <c r="F19" s="42">
        <f t="shared" si="1"/>
        <v>1.2433333333333332</v>
      </c>
      <c r="G19" s="34" t="s">
        <v>16</v>
      </c>
      <c r="H19" s="31">
        <f>(SQRT((2*J16)/3))*L17</f>
        <v>7.0562850014326758E-2</v>
      </c>
      <c r="O19" s="33">
        <v>7</v>
      </c>
      <c r="P19" s="42">
        <f t="shared" si="4"/>
        <v>1.2433333333333332</v>
      </c>
      <c r="Q19" s="49">
        <f t="shared" si="5"/>
        <v>6</v>
      </c>
      <c r="R19" s="52">
        <v>6</v>
      </c>
      <c r="S19" s="60"/>
      <c r="T19" s="60"/>
      <c r="U19" s="60"/>
    </row>
    <row r="20" spans="1:21" x14ac:dyDescent="0.25">
      <c r="A20" s="32" t="s">
        <v>97</v>
      </c>
      <c r="B20" s="55">
        <v>1.3599999999999999</v>
      </c>
      <c r="C20" s="55">
        <v>1.29</v>
      </c>
      <c r="D20" s="55">
        <v>1.24</v>
      </c>
      <c r="E20" s="42">
        <f t="shared" si="0"/>
        <v>3.8899999999999997</v>
      </c>
      <c r="F20" s="42">
        <f t="shared" si="1"/>
        <v>1.2966666666666666</v>
      </c>
      <c r="G20" s="34" t="s">
        <v>29</v>
      </c>
      <c r="H20" s="31">
        <f>((SQRT(J16))/F27)*100</f>
        <v>3.3919611962605289</v>
      </c>
      <c r="O20" s="33">
        <v>8</v>
      </c>
      <c r="P20" s="42">
        <f t="shared" si="4"/>
        <v>1.2466666666666666</v>
      </c>
      <c r="Q20" s="49">
        <f t="shared" si="5"/>
        <v>5</v>
      </c>
      <c r="R20" s="51">
        <v>4</v>
      </c>
      <c r="S20" s="60"/>
      <c r="T20" s="60"/>
      <c r="U20" s="60"/>
    </row>
    <row r="21" spans="1:21" x14ac:dyDescent="0.25">
      <c r="A21" s="32" t="s">
        <v>98</v>
      </c>
      <c r="B21" s="55">
        <v>1.25</v>
      </c>
      <c r="C21" s="55">
        <v>1.2</v>
      </c>
      <c r="D21" s="55">
        <v>1.18</v>
      </c>
      <c r="E21" s="42">
        <f t="shared" si="0"/>
        <v>3.63</v>
      </c>
      <c r="F21" s="42">
        <f t="shared" si="1"/>
        <v>1.21</v>
      </c>
      <c r="O21" s="33">
        <v>9</v>
      </c>
      <c r="P21" s="42">
        <f t="shared" si="4"/>
        <v>1.2083333333333333</v>
      </c>
      <c r="Q21" s="49">
        <f t="shared" si="5"/>
        <v>8</v>
      </c>
      <c r="R21" s="52">
        <v>8</v>
      </c>
      <c r="S21" s="60"/>
      <c r="T21" s="60"/>
      <c r="U21" s="60"/>
    </row>
    <row r="22" spans="1:21" x14ac:dyDescent="0.25">
      <c r="A22" s="32" t="s">
        <v>99</v>
      </c>
      <c r="B22" s="55">
        <v>1.3399999999999999</v>
      </c>
      <c r="C22" s="55">
        <v>1.23</v>
      </c>
      <c r="D22" s="55">
        <v>1.26</v>
      </c>
      <c r="E22" s="42">
        <f t="shared" si="0"/>
        <v>3.83</v>
      </c>
      <c r="F22" s="42">
        <f t="shared" si="1"/>
        <v>1.2766666666666666</v>
      </c>
      <c r="O22" s="30" t="s">
        <v>14</v>
      </c>
      <c r="P22" s="42">
        <f>SQRT(J16/(3*2))</f>
        <v>1.7360816990967459E-2</v>
      </c>
      <c r="Q22" s="49"/>
      <c r="S22" s="60"/>
      <c r="T22" s="60"/>
      <c r="U22" s="60"/>
    </row>
    <row r="23" spans="1:21" x14ac:dyDescent="0.25">
      <c r="A23" s="32" t="s">
        <v>100</v>
      </c>
      <c r="B23" s="55">
        <v>1.3599999999999999</v>
      </c>
      <c r="C23" s="55">
        <v>1.38</v>
      </c>
      <c r="D23" s="55">
        <v>1.28</v>
      </c>
      <c r="E23" s="42">
        <f t="shared" si="0"/>
        <v>4.0199999999999996</v>
      </c>
      <c r="F23" s="42">
        <f t="shared" si="1"/>
        <v>1.3399999999999999</v>
      </c>
      <c r="G23" s="59"/>
      <c r="N23" s="30" t="s">
        <v>109</v>
      </c>
      <c r="O23" s="30" t="s">
        <v>16</v>
      </c>
      <c r="P23" s="42">
        <f>SQRT((2*J16)/(3*2))*L17</f>
        <v>4.9895469744979729E-2</v>
      </c>
      <c r="Q23" s="49"/>
      <c r="S23" s="60"/>
      <c r="T23" s="60"/>
      <c r="U23" s="60"/>
    </row>
    <row r="24" spans="1:21" x14ac:dyDescent="0.25">
      <c r="A24" s="32" t="s">
        <v>101</v>
      </c>
      <c r="B24" s="55">
        <v>1.26</v>
      </c>
      <c r="C24" s="55">
        <v>1.24</v>
      </c>
      <c r="D24" s="55">
        <v>1.18</v>
      </c>
      <c r="E24" s="42">
        <f t="shared" si="0"/>
        <v>3.6799999999999997</v>
      </c>
      <c r="F24" s="42">
        <f>E24/3</f>
        <v>1.2266666666666666</v>
      </c>
      <c r="G24" s="59"/>
      <c r="Q24" s="49"/>
      <c r="S24" s="60"/>
      <c r="T24" s="60"/>
      <c r="U24" s="60"/>
    </row>
    <row r="25" spans="1:21" x14ac:dyDescent="0.25">
      <c r="A25" s="32" t="s">
        <v>102</v>
      </c>
      <c r="B25" s="55">
        <v>1.23</v>
      </c>
      <c r="C25" s="55">
        <v>1.25</v>
      </c>
      <c r="D25" s="55">
        <v>1.23</v>
      </c>
      <c r="E25" s="42">
        <f t="shared" si="0"/>
        <v>3.71</v>
      </c>
      <c r="F25" s="42">
        <f t="shared" ref="F25:F26" si="7">E25/3</f>
        <v>1.2366666666666666</v>
      </c>
      <c r="G25" s="59"/>
      <c r="S25" s="60"/>
      <c r="T25" s="60"/>
      <c r="U25" s="60"/>
    </row>
    <row r="26" spans="1:21" x14ac:dyDescent="0.25">
      <c r="A26" s="32" t="s">
        <v>103</v>
      </c>
      <c r="B26" s="55">
        <v>1.2</v>
      </c>
      <c r="C26" s="55">
        <v>1.1599999999999999</v>
      </c>
      <c r="D26" s="55">
        <v>1.25</v>
      </c>
      <c r="E26" s="42">
        <f t="shared" si="0"/>
        <v>3.61</v>
      </c>
      <c r="F26" s="42">
        <f t="shared" si="7"/>
        <v>1.2033333333333334</v>
      </c>
      <c r="G26" s="59"/>
    </row>
    <row r="27" spans="1:21" x14ac:dyDescent="0.25">
      <c r="A27" s="30" t="s">
        <v>4</v>
      </c>
      <c r="B27" s="31">
        <f>SUM(B9:B26)</f>
        <v>22.759999999999998</v>
      </c>
      <c r="C27" s="31">
        <f>SUM(C9:C26)</f>
        <v>22.59</v>
      </c>
      <c r="D27" s="31">
        <f>SUM(D9:D26)</f>
        <v>22.35</v>
      </c>
      <c r="E27" s="31">
        <f>SUM(E9:E26)</f>
        <v>67.699999999999989</v>
      </c>
      <c r="F27" s="31">
        <f>AVERAGE(B9:D26)</f>
        <v>1.2537037037037038</v>
      </c>
      <c r="G27" s="59"/>
    </row>
    <row r="28" spans="1:21" x14ac:dyDescent="0.25">
      <c r="A28" s="30" t="s">
        <v>5</v>
      </c>
      <c r="B28" s="31">
        <f>B27/18</f>
        <v>1.2644444444444443</v>
      </c>
      <c r="C28" s="31">
        <f>C27/18</f>
        <v>1.2549999999999999</v>
      </c>
      <c r="D28" s="31">
        <f>D27/18</f>
        <v>1.2416666666666667</v>
      </c>
      <c r="G28" s="59"/>
    </row>
    <row r="29" spans="1:21" x14ac:dyDescent="0.25">
      <c r="A29" s="30" t="s">
        <v>26</v>
      </c>
      <c r="B29" s="31">
        <f>(E27*E27)/54</f>
        <v>84.87574074074071</v>
      </c>
      <c r="C29" s="31"/>
      <c r="D29" s="31"/>
      <c r="G29" s="59"/>
    </row>
    <row r="30" spans="1:21" x14ac:dyDescent="0.25">
      <c r="A30" s="30" t="s">
        <v>27</v>
      </c>
      <c r="B30" s="31">
        <f>SUMSQ(B9:D26)-B29</f>
        <v>0.25545925925926838</v>
      </c>
      <c r="C30" s="30" t="s">
        <v>28</v>
      </c>
      <c r="D30" s="31">
        <f>(SUMSQ(B27:D27)/18)-B29</f>
        <v>4.7148148148465907E-3</v>
      </c>
      <c r="G30" s="59"/>
    </row>
    <row r="31" spans="1:21" x14ac:dyDescent="0.25">
      <c r="A31" s="30" t="s">
        <v>30</v>
      </c>
      <c r="B31" s="31">
        <f>(SUMSQ(E9:E26)/3)-B29</f>
        <v>0.18925925925927345</v>
      </c>
      <c r="C31" s="30" t="s">
        <v>31</v>
      </c>
      <c r="D31" s="31">
        <f>B30-B31-D30</f>
        <v>6.1485185185148339E-2</v>
      </c>
      <c r="G31" s="59"/>
    </row>
    <row r="34" spans="1:20" ht="15.75" x14ac:dyDescent="0.25">
      <c r="C34" s="56" t="s">
        <v>115</v>
      </c>
    </row>
    <row r="35" spans="1:20" ht="15.75" x14ac:dyDescent="0.25">
      <c r="C35" s="62" t="s">
        <v>117</v>
      </c>
    </row>
    <row r="37" spans="1:20" x14ac:dyDescent="0.25">
      <c r="A37" s="36" t="s">
        <v>104</v>
      </c>
      <c r="B37" s="38">
        <v>2</v>
      </c>
      <c r="C37" s="39"/>
      <c r="D37" s="39"/>
      <c r="E37" s="39"/>
      <c r="F37" s="39"/>
      <c r="G37" s="39"/>
      <c r="H37" s="39"/>
      <c r="I37" s="39"/>
      <c r="M37" s="35"/>
      <c r="N37" s="35"/>
      <c r="O37" s="39"/>
      <c r="P37" s="39"/>
    </row>
    <row r="38" spans="1:20" x14ac:dyDescent="0.25">
      <c r="A38" s="36" t="s">
        <v>105</v>
      </c>
      <c r="B38" s="38">
        <v>9</v>
      </c>
      <c r="C38" s="39" t="s">
        <v>107</v>
      </c>
      <c r="D38" s="39">
        <v>18</v>
      </c>
      <c r="E38" s="39"/>
      <c r="F38" s="39"/>
      <c r="G38" s="39"/>
      <c r="H38" s="39"/>
      <c r="I38" s="39"/>
      <c r="M38" s="35"/>
      <c r="N38" s="35"/>
      <c r="O38" s="39"/>
      <c r="P38" s="39"/>
    </row>
    <row r="39" spans="1:20" x14ac:dyDescent="0.25">
      <c r="A39" s="37" t="s">
        <v>106</v>
      </c>
      <c r="B39" s="40">
        <v>3</v>
      </c>
    </row>
    <row r="40" spans="1:20" s="41" customFormat="1" x14ac:dyDescent="0.25">
      <c r="A40" s="46" t="s">
        <v>0</v>
      </c>
      <c r="B40" s="30" t="s">
        <v>1</v>
      </c>
      <c r="C40" s="30" t="s">
        <v>2</v>
      </c>
      <c r="D40" s="30" t="s">
        <v>3</v>
      </c>
      <c r="E40" s="30" t="s">
        <v>4</v>
      </c>
      <c r="F40" s="30" t="s">
        <v>5</v>
      </c>
      <c r="O40" s="41" t="s">
        <v>7</v>
      </c>
      <c r="Q40" s="37"/>
    </row>
    <row r="41" spans="1:20" s="41" customFormat="1" x14ac:dyDescent="0.25">
      <c r="A41" s="32" t="s">
        <v>86</v>
      </c>
      <c r="B41" s="57">
        <v>0.32</v>
      </c>
      <c r="C41" s="57">
        <v>0.36000000000000004</v>
      </c>
      <c r="D41" s="57">
        <v>0.36000000000000004</v>
      </c>
      <c r="E41" s="31">
        <f>SUM(B41:D41)</f>
        <v>1.04</v>
      </c>
      <c r="F41" s="69">
        <f>E41/3</f>
        <v>0.34666666666666668</v>
      </c>
      <c r="H41" s="47"/>
      <c r="I41" s="47"/>
      <c r="J41" s="47" t="s">
        <v>6</v>
      </c>
      <c r="K41" s="47"/>
      <c r="L41" s="47"/>
      <c r="M41" s="47"/>
      <c r="N41" s="47"/>
      <c r="O41" s="33">
        <v>1</v>
      </c>
      <c r="P41" s="42">
        <f>SUM(F41:F49)/9</f>
        <v>0.44399999999999995</v>
      </c>
      <c r="Q41" s="49">
        <f>RANK(P41,P$41:P$42,0)</f>
        <v>1</v>
      </c>
      <c r="S41" s="33">
        <v>1</v>
      </c>
      <c r="T41" s="78">
        <v>0.49481481481481482</v>
      </c>
    </row>
    <row r="42" spans="1:20" s="41" customFormat="1" x14ac:dyDescent="0.25">
      <c r="A42" s="32" t="s">
        <v>87</v>
      </c>
      <c r="B42" s="57">
        <v>0.43</v>
      </c>
      <c r="C42" s="57">
        <v>0.44</v>
      </c>
      <c r="D42" s="57">
        <v>0.48000000000000004</v>
      </c>
      <c r="E42" s="31">
        <f>SUM(B42:D42)</f>
        <v>1.35</v>
      </c>
      <c r="F42" s="69">
        <f>E42/3</f>
        <v>0.45</v>
      </c>
      <c r="G42" s="31"/>
      <c r="H42" s="30" t="s">
        <v>8</v>
      </c>
      <c r="I42" s="30" t="s">
        <v>9</v>
      </c>
      <c r="J42" s="30" t="s">
        <v>10</v>
      </c>
      <c r="K42" s="30" t="s">
        <v>11</v>
      </c>
      <c r="L42" s="30" t="s">
        <v>12</v>
      </c>
      <c r="M42" s="30" t="s">
        <v>112</v>
      </c>
      <c r="N42" s="50"/>
      <c r="O42" s="33">
        <v>2</v>
      </c>
      <c r="P42" s="42">
        <f>SUM(F50:F58)/9</f>
        <v>0.41555555555555557</v>
      </c>
      <c r="Q42" s="49">
        <f>RANK(P42,P$41:P$42,0)</f>
        <v>2</v>
      </c>
      <c r="S42" s="33">
        <v>2</v>
      </c>
      <c r="T42" s="78">
        <v>0.47185185185185191</v>
      </c>
    </row>
    <row r="43" spans="1:20" s="41" customFormat="1" x14ac:dyDescent="0.25">
      <c r="A43" s="32" t="s">
        <v>88</v>
      </c>
      <c r="B43" s="57">
        <v>0.48000000000000004</v>
      </c>
      <c r="C43" s="57">
        <v>0.48000000000000004</v>
      </c>
      <c r="D43" s="57">
        <v>0.54999999999999993</v>
      </c>
      <c r="E43" s="31">
        <f>SUM(B43:D43)</f>
        <v>1.51</v>
      </c>
      <c r="F43" s="69">
        <f>E43/3</f>
        <v>0.5033333333333333</v>
      </c>
      <c r="G43" s="31" t="s">
        <v>13</v>
      </c>
      <c r="H43" s="31">
        <f>B39-1</f>
        <v>2</v>
      </c>
      <c r="I43" s="31">
        <f>D62</f>
        <v>6.4253333333272877E-3</v>
      </c>
      <c r="J43" s="31">
        <f>I43/H43</f>
        <v>3.2126666666636439E-3</v>
      </c>
      <c r="K43" s="31">
        <f>J43/$J$16</f>
        <v>1.7765363532311262</v>
      </c>
      <c r="L43" s="31">
        <f>FINV(0.05,H43,$H$16)</f>
        <v>3.275897990672394</v>
      </c>
      <c r="M43" s="31" t="str">
        <f>IF(K43&gt;=L43, "S", "NS")</f>
        <v>NS</v>
      </c>
      <c r="N43" s="39"/>
      <c r="O43" s="30" t="s">
        <v>14</v>
      </c>
      <c r="P43" s="42">
        <f>SQRT(J48/(3*9))</f>
        <v>5.5389293696608763E-3</v>
      </c>
      <c r="Q43" s="37"/>
      <c r="S43" s="30" t="s">
        <v>14</v>
      </c>
      <c r="T43" s="78">
        <v>5.6687808435969388E-3</v>
      </c>
    </row>
    <row r="44" spans="1:20" s="41" customFormat="1" x14ac:dyDescent="0.25">
      <c r="A44" s="32" t="s">
        <v>89</v>
      </c>
      <c r="B44" s="57">
        <v>0.36000000000000004</v>
      </c>
      <c r="C44" s="57">
        <v>0.42000000000000004</v>
      </c>
      <c r="D44" s="57">
        <v>0.39</v>
      </c>
      <c r="E44" s="31">
        <f>SUM(B44:D44)</f>
        <v>1.17</v>
      </c>
      <c r="F44" s="69">
        <f>E44/3</f>
        <v>0.38999999999999996</v>
      </c>
      <c r="G44" s="31" t="s">
        <v>15</v>
      </c>
      <c r="H44" s="31">
        <f>D38-1</f>
        <v>17</v>
      </c>
      <c r="I44" s="31">
        <f>B63</f>
        <v>0.24539199999999539</v>
      </c>
      <c r="J44" s="31">
        <f t="shared" ref="J44:J48" si="8">I44/H44</f>
        <v>1.4434823529411493E-2</v>
      </c>
      <c r="K44" s="31">
        <f>J44/$J$16</f>
        <v>7.9821504728677146</v>
      </c>
      <c r="L44" s="31">
        <f>FINV(0.05,H44,$H$16)</f>
        <v>1.9332068318040869</v>
      </c>
      <c r="M44" s="43" t="str">
        <f t="shared" ref="M44" si="9">IF(K44&gt;=L44, "S", "NS")</f>
        <v>S</v>
      </c>
      <c r="N44" s="30" t="s">
        <v>113</v>
      </c>
      <c r="O44" s="30" t="s">
        <v>16</v>
      </c>
      <c r="P44" s="42">
        <f>SQRT((2*J48)/(3*9))*L49</f>
        <v>1.5919036697828404E-2</v>
      </c>
      <c r="Q44" s="37"/>
      <c r="S44" s="30" t="s">
        <v>16</v>
      </c>
      <c r="T44" s="78">
        <v>1.6292233344908466E-2</v>
      </c>
    </row>
    <row r="45" spans="1:20" s="41" customFormat="1" x14ac:dyDescent="0.25">
      <c r="A45" s="32" t="s">
        <v>90</v>
      </c>
      <c r="B45" s="57">
        <v>0.49000000000000005</v>
      </c>
      <c r="C45" s="57">
        <v>0.47000000000000003</v>
      </c>
      <c r="D45" s="57">
        <v>0.52</v>
      </c>
      <c r="E45" s="31">
        <f t="shared" ref="E45:E58" si="10">SUM(B45:D45)</f>
        <v>1.48</v>
      </c>
      <c r="F45" s="69">
        <f t="shared" ref="F45:F55" si="11">E45/3</f>
        <v>0.49333333333333335</v>
      </c>
      <c r="G45" s="31" t="s">
        <v>108</v>
      </c>
      <c r="H45" s="31">
        <f>B37-1</f>
        <v>1</v>
      </c>
      <c r="I45" s="31">
        <f>(SUM(E41:E49)^2+SUM(E50:E58)^2)/27-B61</f>
        <v>1.0922666666658642E-2</v>
      </c>
      <c r="J45" s="31">
        <f t="shared" si="8"/>
        <v>1.0922666666658642E-2</v>
      </c>
      <c r="K45" s="31">
        <f>J45/$J$16</f>
        <v>6.0400024094925868</v>
      </c>
      <c r="L45" s="31">
        <f>FINV(0.05,H45,$H$16)</f>
        <v>4.1300177456520188</v>
      </c>
      <c r="M45" s="31" t="str">
        <f>IF(K45&gt;=L45, "S", "NS")</f>
        <v>S</v>
      </c>
      <c r="N45" s="39"/>
      <c r="O45" s="33">
        <v>1</v>
      </c>
      <c r="P45" s="42">
        <f>(F41+F50)/2</f>
        <v>0.33333333333333337</v>
      </c>
      <c r="Q45" s="49">
        <f>RANK(P45,P$45:P$53,0)</f>
        <v>9</v>
      </c>
      <c r="R45" s="51">
        <v>9</v>
      </c>
      <c r="S45" s="33">
        <v>1</v>
      </c>
      <c r="T45" s="78">
        <v>0.38166666666666665</v>
      </c>
    </row>
    <row r="46" spans="1:20" s="41" customFormat="1" x14ac:dyDescent="0.25">
      <c r="A46" s="32" t="s">
        <v>91</v>
      </c>
      <c r="B46" s="57">
        <v>0.54999999999999993</v>
      </c>
      <c r="C46" s="57">
        <v>0.6</v>
      </c>
      <c r="D46" s="57">
        <v>0.55999999999999994</v>
      </c>
      <c r="E46" s="31">
        <f t="shared" si="10"/>
        <v>1.71</v>
      </c>
      <c r="F46" s="69">
        <f t="shared" si="11"/>
        <v>0.56999999999999995</v>
      </c>
      <c r="G46" s="31" t="s">
        <v>109</v>
      </c>
      <c r="H46" s="31">
        <f>B38-1</f>
        <v>8</v>
      </c>
      <c r="I46" s="31">
        <f>((E41+E50)^2+(E42+E51)^2+(E43+E52)^2+(E44+E53)^2+(E45+E54)^2+(E46+E55)^2+(E47+E56)^2+(E48+E57)^2+(E49+E58)^2/6)-B61</f>
        <v>47.271071333333317</v>
      </c>
      <c r="J46" s="31">
        <f t="shared" si="8"/>
        <v>5.9088839166666647</v>
      </c>
      <c r="K46" s="31">
        <f>J46/$J$16</f>
        <v>3267.4871607151672</v>
      </c>
      <c r="L46" s="31">
        <f>FINV(0.05,H46,$H$16)</f>
        <v>2.2253399674380931</v>
      </c>
      <c r="M46" s="31" t="str">
        <f>IF(K46&gt;=L46, "S", "NS")</f>
        <v>S</v>
      </c>
      <c r="N46" s="39"/>
      <c r="O46" s="33">
        <v>2</v>
      </c>
      <c r="P46" s="42">
        <f t="shared" ref="P46:P53" si="12">(F42+F51)/2</f>
        <v>0.43166666666666664</v>
      </c>
      <c r="Q46" s="49">
        <f t="shared" ref="Q46:Q53" si="13">RANK(P46,P$45:P$53,0)</f>
        <v>5</v>
      </c>
      <c r="R46" s="52">
        <v>5</v>
      </c>
      <c r="S46" s="33">
        <v>2</v>
      </c>
      <c r="T46" s="78">
        <v>0.49</v>
      </c>
    </row>
    <row r="47" spans="1:20" s="41" customFormat="1" x14ac:dyDescent="0.25">
      <c r="A47" s="32" t="s">
        <v>92</v>
      </c>
      <c r="B47" s="57">
        <v>0.41</v>
      </c>
      <c r="C47" s="57">
        <v>0.37</v>
      </c>
      <c r="D47" s="57">
        <v>0.42000000000000004</v>
      </c>
      <c r="E47" s="31">
        <f>SUM(B47:D47)</f>
        <v>1.2000000000000002</v>
      </c>
      <c r="F47" s="69">
        <f t="shared" si="11"/>
        <v>0.40000000000000008</v>
      </c>
      <c r="G47" s="26" t="s">
        <v>110</v>
      </c>
      <c r="H47" s="31">
        <f>H45*H46</f>
        <v>8</v>
      </c>
      <c r="I47" s="31">
        <f>I44-(I45+I46)</f>
        <v>-47.036601999999981</v>
      </c>
      <c r="J47" s="31">
        <f t="shared" si="8"/>
        <v>-5.8795752499999976</v>
      </c>
      <c r="K47" s="44">
        <f>J47/$J$16</f>
        <v>-3251.2800912615098</v>
      </c>
      <c r="L47" s="31">
        <f>FINV(0.05,H47,$H$16)</f>
        <v>2.2253399674380931</v>
      </c>
      <c r="M47" s="31" t="str">
        <f t="shared" ref="M47" si="14">IF(K47&gt;=L47, "S", "NS")</f>
        <v>NS</v>
      </c>
      <c r="N47" s="39"/>
      <c r="O47" s="33">
        <v>3</v>
      </c>
      <c r="P47" s="42">
        <f t="shared" si="12"/>
        <v>0.49666666666666665</v>
      </c>
      <c r="Q47" s="49">
        <f t="shared" si="13"/>
        <v>2</v>
      </c>
      <c r="R47" s="52">
        <v>2</v>
      </c>
      <c r="S47" s="33">
        <v>3</v>
      </c>
      <c r="T47" s="78">
        <v>0.55000000000000004</v>
      </c>
    </row>
    <row r="48" spans="1:20" s="41" customFormat="1" x14ac:dyDescent="0.25">
      <c r="A48" s="32" t="s">
        <v>93</v>
      </c>
      <c r="B48" s="57">
        <v>0.45800000000000002</v>
      </c>
      <c r="C48" s="57">
        <v>0.44</v>
      </c>
      <c r="D48" s="57">
        <v>0.47000000000000003</v>
      </c>
      <c r="E48" s="31">
        <f t="shared" si="10"/>
        <v>1.3680000000000001</v>
      </c>
      <c r="F48" s="69">
        <f t="shared" si="11"/>
        <v>0.45600000000000002</v>
      </c>
      <c r="G48" s="45" t="s">
        <v>23</v>
      </c>
      <c r="H48" s="31">
        <f>((B39-1)*(B37*B38-1))</f>
        <v>34</v>
      </c>
      <c r="I48" s="31">
        <f>D63</f>
        <v>2.81640000000003E-2</v>
      </c>
      <c r="J48" s="31">
        <f t="shared" si="8"/>
        <v>8.2835294117647939E-4</v>
      </c>
      <c r="O48" s="33">
        <v>4</v>
      </c>
      <c r="P48" s="42">
        <f t="shared" si="12"/>
        <v>0.37666666666666665</v>
      </c>
      <c r="Q48" s="49">
        <f t="shared" si="13"/>
        <v>7</v>
      </c>
      <c r="R48" s="52">
        <v>7</v>
      </c>
      <c r="S48" s="33">
        <v>4</v>
      </c>
      <c r="T48" s="78">
        <v>0.42500000000000004</v>
      </c>
    </row>
    <row r="49" spans="1:20" x14ac:dyDescent="0.25">
      <c r="A49" s="32" t="s">
        <v>94</v>
      </c>
      <c r="B49" s="57">
        <v>0.41</v>
      </c>
      <c r="C49" s="57">
        <v>0.37</v>
      </c>
      <c r="D49" s="57">
        <v>0.38</v>
      </c>
      <c r="E49" s="31">
        <f>SUM(B49:D49)</f>
        <v>1.1600000000000001</v>
      </c>
      <c r="F49" s="69">
        <f t="shared" si="11"/>
        <v>0.38666666666666671</v>
      </c>
      <c r="G49" s="44" t="s">
        <v>4</v>
      </c>
      <c r="H49" s="31">
        <f>SUM(H43:H48)-H44</f>
        <v>53</v>
      </c>
      <c r="I49" s="31">
        <f>B62</f>
        <v>0.27998133333332298</v>
      </c>
      <c r="K49" s="31" t="s">
        <v>111</v>
      </c>
      <c r="L49" s="41">
        <f>TINV(0.05,34)</f>
        <v>2.0322445093177191</v>
      </c>
      <c r="O49" s="33">
        <v>5</v>
      </c>
      <c r="P49" s="42">
        <f t="shared" si="12"/>
        <v>0.48333333333333339</v>
      </c>
      <c r="Q49" s="49">
        <f t="shared" si="13"/>
        <v>3</v>
      </c>
      <c r="R49" s="51">
        <v>3</v>
      </c>
      <c r="S49" s="33">
        <v>5</v>
      </c>
      <c r="T49" s="78">
        <v>0.53666666666666663</v>
      </c>
    </row>
    <row r="50" spans="1:20" x14ac:dyDescent="0.25">
      <c r="A50" s="32" t="s">
        <v>95</v>
      </c>
      <c r="B50" s="68">
        <v>0.27</v>
      </c>
      <c r="C50" s="68">
        <v>0.34</v>
      </c>
      <c r="D50" s="68">
        <v>0.35000000000000003</v>
      </c>
      <c r="E50" s="31">
        <f t="shared" si="10"/>
        <v>0.96000000000000019</v>
      </c>
      <c r="F50" s="42">
        <f t="shared" si="11"/>
        <v>0.32000000000000006</v>
      </c>
      <c r="G50" s="34" t="s">
        <v>14</v>
      </c>
      <c r="H50" s="31">
        <f>SQRT(J48/3)</f>
        <v>1.6616788108982629E-2</v>
      </c>
      <c r="O50" s="33">
        <v>6</v>
      </c>
      <c r="P50" s="42">
        <f t="shared" si="12"/>
        <v>0.54666666666666663</v>
      </c>
      <c r="Q50" s="49">
        <f t="shared" si="13"/>
        <v>1</v>
      </c>
      <c r="R50" s="52">
        <v>1</v>
      </c>
      <c r="S50" s="33">
        <v>6</v>
      </c>
      <c r="T50" s="78">
        <v>0.60666666666666669</v>
      </c>
    </row>
    <row r="51" spans="1:20" x14ac:dyDescent="0.25">
      <c r="A51" s="32" t="s">
        <v>96</v>
      </c>
      <c r="B51" s="57">
        <v>0.41000000000000003</v>
      </c>
      <c r="C51" s="68">
        <v>0.4</v>
      </c>
      <c r="D51" s="68">
        <v>0.43</v>
      </c>
      <c r="E51" s="31">
        <f t="shared" si="10"/>
        <v>1.24</v>
      </c>
      <c r="F51" s="42">
        <f t="shared" si="11"/>
        <v>0.41333333333333333</v>
      </c>
      <c r="G51" s="34" t="s">
        <v>16</v>
      </c>
      <c r="H51" s="31">
        <f>(SQRT((2*J48)/3))*L49</f>
        <v>4.7757110093485218E-2</v>
      </c>
      <c r="O51" s="33">
        <v>7</v>
      </c>
      <c r="P51" s="42">
        <f t="shared" si="12"/>
        <v>0.39333333333333342</v>
      </c>
      <c r="Q51" s="49">
        <f t="shared" si="13"/>
        <v>6</v>
      </c>
      <c r="R51" s="52">
        <v>6</v>
      </c>
      <c r="S51" s="33">
        <v>7</v>
      </c>
      <c r="T51" s="78">
        <v>0.45999999999999996</v>
      </c>
    </row>
    <row r="52" spans="1:20" x14ac:dyDescent="0.25">
      <c r="A52" s="32" t="s">
        <v>97</v>
      </c>
      <c r="B52" s="57">
        <v>0.48000000000000004</v>
      </c>
      <c r="C52" s="68">
        <v>0.5</v>
      </c>
      <c r="D52" s="68">
        <v>0.49000000000000005</v>
      </c>
      <c r="E52" s="31">
        <f t="shared" si="10"/>
        <v>1.47</v>
      </c>
      <c r="F52" s="42">
        <f t="shared" si="11"/>
        <v>0.49</v>
      </c>
      <c r="G52" s="34" t="s">
        <v>29</v>
      </c>
      <c r="H52" s="31">
        <f>((SQRT(J48))/F59)*100</f>
        <v>6.696744864795205</v>
      </c>
      <c r="O52" s="33">
        <v>8</v>
      </c>
      <c r="P52" s="42">
        <f t="shared" si="12"/>
        <v>0.44133333333333336</v>
      </c>
      <c r="Q52" s="49">
        <f t="shared" si="13"/>
        <v>4</v>
      </c>
      <c r="R52" s="51">
        <v>4</v>
      </c>
      <c r="S52" s="33">
        <v>8</v>
      </c>
      <c r="T52" s="78">
        <v>0.49166666666666664</v>
      </c>
    </row>
    <row r="53" spans="1:20" x14ac:dyDescent="0.25">
      <c r="A53" s="32" t="s">
        <v>98</v>
      </c>
      <c r="B53" s="57">
        <v>0.4</v>
      </c>
      <c r="C53" s="57">
        <v>0.30000000000000004</v>
      </c>
      <c r="D53" s="57">
        <v>0.39</v>
      </c>
      <c r="E53" s="31">
        <f t="shared" si="10"/>
        <v>1.0900000000000001</v>
      </c>
      <c r="F53" s="42">
        <f t="shared" si="11"/>
        <v>0.36333333333333334</v>
      </c>
      <c r="O53" s="33">
        <v>9</v>
      </c>
      <c r="P53" s="42">
        <f t="shared" si="12"/>
        <v>0.36499999999999999</v>
      </c>
      <c r="Q53" s="49">
        <f t="shared" si="13"/>
        <v>8</v>
      </c>
      <c r="R53" s="52">
        <v>8</v>
      </c>
      <c r="S53" s="33">
        <v>9</v>
      </c>
      <c r="T53" s="78">
        <v>0.40833333333333333</v>
      </c>
    </row>
    <row r="54" spans="1:20" x14ac:dyDescent="0.25">
      <c r="A54" s="32" t="s">
        <v>99</v>
      </c>
      <c r="B54" s="57">
        <v>0.47000000000000003</v>
      </c>
      <c r="C54" s="57">
        <v>0.46</v>
      </c>
      <c r="D54" s="57">
        <v>0.49000000000000005</v>
      </c>
      <c r="E54" s="31">
        <f t="shared" si="10"/>
        <v>1.4200000000000002</v>
      </c>
      <c r="F54" s="42">
        <f t="shared" si="11"/>
        <v>0.47333333333333338</v>
      </c>
      <c r="O54" s="30" t="s">
        <v>14</v>
      </c>
      <c r="P54" s="42">
        <f>SQRT(J48/(3*2))</f>
        <v>1.1749843553401605E-2</v>
      </c>
      <c r="Q54" s="49"/>
      <c r="S54" s="30" t="s">
        <v>14</v>
      </c>
      <c r="T54" s="78">
        <v>1.202530012670338E-2</v>
      </c>
    </row>
    <row r="55" spans="1:20" x14ac:dyDescent="0.25">
      <c r="A55" s="32" t="s">
        <v>100</v>
      </c>
      <c r="B55" s="57">
        <v>0.53999999999999992</v>
      </c>
      <c r="C55" s="57">
        <v>0.47000000000000003</v>
      </c>
      <c r="D55" s="57">
        <v>0.55999999999999994</v>
      </c>
      <c r="E55" s="31">
        <f t="shared" si="10"/>
        <v>1.5699999999999998</v>
      </c>
      <c r="F55" s="42">
        <f t="shared" si="11"/>
        <v>0.52333333333333332</v>
      </c>
      <c r="G55" s="59"/>
      <c r="H55" s="78"/>
      <c r="I55" s="76"/>
      <c r="J55" s="76"/>
      <c r="K55" s="76"/>
      <c r="N55" s="30" t="s">
        <v>109</v>
      </c>
      <c r="O55" s="30" t="s">
        <v>16</v>
      </c>
      <c r="P55" s="42">
        <f>SQRT((2*J48)/(3*2))*L49</f>
        <v>3.3769376396975914E-2</v>
      </c>
      <c r="Q55" s="49"/>
      <c r="S55" s="30" t="s">
        <v>16</v>
      </c>
      <c r="T55" s="78">
        <v>3.4561046036575102E-2</v>
      </c>
    </row>
    <row r="56" spans="1:20" x14ac:dyDescent="0.25">
      <c r="A56" s="32" t="s">
        <v>101</v>
      </c>
      <c r="B56" s="57">
        <v>0.4</v>
      </c>
      <c r="C56" s="57">
        <v>0.34</v>
      </c>
      <c r="D56" s="57">
        <v>0.42000000000000004</v>
      </c>
      <c r="E56" s="31">
        <f t="shared" si="10"/>
        <v>1.1600000000000001</v>
      </c>
      <c r="F56" s="42">
        <f>E56/3</f>
        <v>0.38666666666666671</v>
      </c>
      <c r="G56" s="59"/>
      <c r="H56" s="78"/>
      <c r="I56" s="76"/>
      <c r="J56" s="76"/>
      <c r="K56" s="76"/>
      <c r="Q56" s="49"/>
    </row>
    <row r="57" spans="1:20" x14ac:dyDescent="0.25">
      <c r="A57" s="32" t="s">
        <v>102</v>
      </c>
      <c r="B57" s="57">
        <v>0.42000000000000004</v>
      </c>
      <c r="C57" s="57">
        <v>0.42000000000000004</v>
      </c>
      <c r="D57" s="57">
        <v>0.44</v>
      </c>
      <c r="E57" s="31">
        <f t="shared" si="10"/>
        <v>1.28</v>
      </c>
      <c r="F57" s="42">
        <f t="shared" ref="F57:F58" si="15">E57/3</f>
        <v>0.42666666666666669</v>
      </c>
      <c r="G57" s="59"/>
      <c r="H57" s="78"/>
      <c r="I57" s="76"/>
      <c r="J57" s="76"/>
      <c r="K57" s="76"/>
    </row>
    <row r="58" spans="1:20" x14ac:dyDescent="0.25">
      <c r="A58" s="32" t="s">
        <v>103</v>
      </c>
      <c r="B58" s="57">
        <v>0.34</v>
      </c>
      <c r="C58" s="57">
        <v>0.38</v>
      </c>
      <c r="D58" s="57">
        <v>0.31</v>
      </c>
      <c r="E58" s="31">
        <f t="shared" si="10"/>
        <v>1.03</v>
      </c>
      <c r="F58" s="42">
        <f t="shared" si="15"/>
        <v>0.34333333333333332</v>
      </c>
      <c r="G58" s="59"/>
      <c r="H58" s="78"/>
      <c r="I58" s="76"/>
      <c r="J58" s="76"/>
      <c r="K58" s="76"/>
    </row>
    <row r="59" spans="1:20" x14ac:dyDescent="0.25">
      <c r="A59" s="30" t="s">
        <v>4</v>
      </c>
      <c r="B59" s="31">
        <f>SUM(B41:B58)</f>
        <v>7.6380000000000017</v>
      </c>
      <c r="C59" s="31">
        <f>SUM(C41:C58)</f>
        <v>7.5600000000000005</v>
      </c>
      <c r="D59" s="31">
        <f>SUM(D41:D58)</f>
        <v>8.01</v>
      </c>
      <c r="E59" s="31">
        <f>SUM(E41:E58)</f>
        <v>23.208000000000009</v>
      </c>
      <c r="F59" s="31">
        <f>AVERAGE(B41:D58)</f>
        <v>0.4297777777777777</v>
      </c>
      <c r="G59" s="59"/>
      <c r="H59" s="78"/>
      <c r="I59" s="76"/>
      <c r="J59" s="76"/>
      <c r="K59" s="76"/>
    </row>
    <row r="60" spans="1:20" x14ac:dyDescent="0.25">
      <c r="A60" s="30" t="s">
        <v>5</v>
      </c>
      <c r="B60" s="31">
        <f>B59/18</f>
        <v>0.42433333333333345</v>
      </c>
      <c r="C60" s="31">
        <f>C59/18</f>
        <v>0.42000000000000004</v>
      </c>
      <c r="D60" s="31">
        <f>D59/18</f>
        <v>0.44500000000000001</v>
      </c>
      <c r="G60" s="59"/>
      <c r="H60" s="78"/>
      <c r="I60" s="76"/>
      <c r="J60" s="76"/>
      <c r="K60" s="76"/>
    </row>
    <row r="61" spans="1:20" x14ac:dyDescent="0.25">
      <c r="A61" s="30" t="s">
        <v>26</v>
      </c>
      <c r="B61" s="31">
        <f>(E59*E59)/54</f>
        <v>9.9742826666666744</v>
      </c>
      <c r="C61" s="31"/>
      <c r="D61" s="31"/>
      <c r="G61" s="59"/>
      <c r="H61" s="78"/>
      <c r="I61" s="76"/>
      <c r="J61" s="76"/>
      <c r="K61" s="76"/>
    </row>
    <row r="62" spans="1:20" x14ac:dyDescent="0.25">
      <c r="A62" s="30" t="s">
        <v>27</v>
      </c>
      <c r="B62" s="31">
        <f>SUMSQ(B41:D58)-B61</f>
        <v>0.27998133333332298</v>
      </c>
      <c r="C62" s="30" t="s">
        <v>28</v>
      </c>
      <c r="D62" s="31">
        <f>(SUMSQ(B59:D59)/18)-B61</f>
        <v>6.4253333333272877E-3</v>
      </c>
      <c r="G62" s="59"/>
      <c r="H62" s="78"/>
      <c r="I62" s="76"/>
      <c r="J62" s="76"/>
      <c r="K62" s="76"/>
    </row>
    <row r="63" spans="1:20" x14ac:dyDescent="0.25">
      <c r="A63" s="30" t="s">
        <v>30</v>
      </c>
      <c r="B63" s="31">
        <f>(SUMSQ(E41:E58)/3)-B61</f>
        <v>0.24539199999999539</v>
      </c>
      <c r="C63" s="30" t="s">
        <v>31</v>
      </c>
      <c r="D63" s="31">
        <f>B62-B63-D62</f>
        <v>2.81640000000003E-2</v>
      </c>
      <c r="G63" s="59"/>
      <c r="H63" s="78"/>
      <c r="I63" s="76"/>
      <c r="J63" s="76"/>
      <c r="K63" s="76"/>
    </row>
    <row r="64" spans="1:20" x14ac:dyDescent="0.25">
      <c r="I64" s="76"/>
      <c r="J64" s="76"/>
      <c r="K64" s="76"/>
    </row>
    <row r="65" spans="1:19" x14ac:dyDescent="0.25">
      <c r="I65" s="76"/>
      <c r="J65" s="76"/>
      <c r="K65" s="76"/>
    </row>
    <row r="66" spans="1:19" x14ac:dyDescent="0.25">
      <c r="I66" s="76"/>
      <c r="J66" s="76"/>
      <c r="K66" s="76"/>
    </row>
    <row r="67" spans="1:19" ht="15.75" x14ac:dyDescent="0.25">
      <c r="C67" s="56" t="s">
        <v>118</v>
      </c>
      <c r="I67" s="76"/>
      <c r="J67" s="76"/>
      <c r="K67" s="76"/>
    </row>
    <row r="68" spans="1:19" x14ac:dyDescent="0.25">
      <c r="C68" s="48" t="s">
        <v>116</v>
      </c>
      <c r="I68" s="76"/>
      <c r="J68" s="76"/>
      <c r="K68" s="76"/>
    </row>
    <row r="69" spans="1:19" x14ac:dyDescent="0.25">
      <c r="A69" s="36" t="s">
        <v>104</v>
      </c>
      <c r="B69" s="38">
        <v>2</v>
      </c>
      <c r="C69" s="39"/>
      <c r="D69" s="39"/>
      <c r="E69" s="39"/>
      <c r="F69" s="39"/>
      <c r="G69" s="39"/>
      <c r="H69" s="39"/>
      <c r="I69" s="76"/>
      <c r="J69" s="76"/>
      <c r="K69" s="76"/>
      <c r="L69" s="39"/>
      <c r="M69" s="35"/>
      <c r="N69" s="35"/>
      <c r="O69" s="39"/>
      <c r="P69" s="39"/>
    </row>
    <row r="70" spans="1:19" x14ac:dyDescent="0.25">
      <c r="A70" s="36" t="s">
        <v>105</v>
      </c>
      <c r="B70" s="38">
        <v>9</v>
      </c>
      <c r="C70" s="39" t="s">
        <v>107</v>
      </c>
      <c r="D70" s="39">
        <v>18</v>
      </c>
      <c r="E70" s="39"/>
      <c r="F70" s="39"/>
      <c r="G70" s="39"/>
      <c r="H70" s="39"/>
      <c r="I70" s="76"/>
      <c r="J70" s="76"/>
      <c r="K70" s="76"/>
      <c r="L70" s="39"/>
      <c r="M70" s="35"/>
      <c r="N70" s="35"/>
      <c r="O70" s="39"/>
      <c r="P70" s="39"/>
    </row>
    <row r="71" spans="1:19" x14ac:dyDescent="0.25">
      <c r="A71" s="37" t="s">
        <v>106</v>
      </c>
      <c r="B71" s="40">
        <v>3</v>
      </c>
      <c r="I71" s="76"/>
      <c r="J71" s="76"/>
      <c r="K71" s="76"/>
    </row>
    <row r="72" spans="1:19" x14ac:dyDescent="0.25">
      <c r="A72" s="46" t="s">
        <v>0</v>
      </c>
      <c r="B72" s="30" t="s">
        <v>1</v>
      </c>
      <c r="C72" s="30" t="s">
        <v>2</v>
      </c>
      <c r="D72" s="30" t="s">
        <v>3</v>
      </c>
      <c r="E72" s="30" t="s">
        <v>4</v>
      </c>
      <c r="F72" s="30" t="s">
        <v>5</v>
      </c>
      <c r="I72" s="76"/>
      <c r="J72" s="76"/>
      <c r="K72" s="76"/>
      <c r="O72" s="41" t="s">
        <v>7</v>
      </c>
      <c r="R72" s="41"/>
      <c r="S72" s="41"/>
    </row>
    <row r="73" spans="1:19" x14ac:dyDescent="0.25">
      <c r="A73" s="32" t="s">
        <v>86</v>
      </c>
      <c r="B73" s="57">
        <f>DATA!O8</f>
        <v>31.004999999999999</v>
      </c>
      <c r="C73" s="57">
        <f>DATA!P8</f>
        <v>26.904</v>
      </c>
      <c r="D73" s="57">
        <f>DATA!Q8</f>
        <v>25.009599999999992</v>
      </c>
      <c r="E73" s="42">
        <f>SUM(B73:D73)</f>
        <v>82.918599999999998</v>
      </c>
      <c r="F73" s="42">
        <f>E73/3</f>
        <v>27.639533333333333</v>
      </c>
      <c r="H73" s="47"/>
      <c r="I73" s="47"/>
      <c r="J73" s="47" t="s">
        <v>6</v>
      </c>
      <c r="K73" s="47"/>
      <c r="L73" s="47"/>
      <c r="M73" s="47"/>
      <c r="N73" s="47"/>
      <c r="O73" s="33">
        <v>1</v>
      </c>
      <c r="P73" s="42">
        <f>SUM(F73:F81)/9</f>
        <v>51.625851851851856</v>
      </c>
      <c r="Q73" s="49">
        <f>RANK(P73,P$73:P$74,0)</f>
        <v>1</v>
      </c>
      <c r="R73" s="41"/>
      <c r="S73" s="41"/>
    </row>
    <row r="74" spans="1:19" x14ac:dyDescent="0.25">
      <c r="A74" s="32" t="s">
        <v>87</v>
      </c>
      <c r="B74" s="57">
        <f>DATA!O9</f>
        <v>49.013999999999996</v>
      </c>
      <c r="C74" s="57">
        <f>DATA!P9</f>
        <v>53.172000000000011</v>
      </c>
      <c r="D74" s="57">
        <f>DATA!Q9</f>
        <v>54.374999999999993</v>
      </c>
      <c r="E74" s="42">
        <f t="shared" ref="E74:E90" si="16">SUM(B74:D74)</f>
        <v>156.56100000000001</v>
      </c>
      <c r="F74" s="42">
        <f t="shared" ref="F74:F87" si="17">E74/3</f>
        <v>52.187000000000005</v>
      </c>
      <c r="G74" s="31"/>
      <c r="H74" s="30" t="s">
        <v>8</v>
      </c>
      <c r="I74" s="30" t="s">
        <v>9</v>
      </c>
      <c r="J74" s="30" t="s">
        <v>10</v>
      </c>
      <c r="K74" s="30" t="s">
        <v>11</v>
      </c>
      <c r="L74" s="30" t="s">
        <v>12</v>
      </c>
      <c r="M74" s="30" t="s">
        <v>112</v>
      </c>
      <c r="N74" s="50"/>
      <c r="O74" s="33">
        <v>2</v>
      </c>
      <c r="P74" s="42">
        <f>SUM(F82:F90)/9</f>
        <v>48.369</v>
      </c>
      <c r="Q74" s="49">
        <f>RANK(P74,P$73:P$74,0)</f>
        <v>2</v>
      </c>
      <c r="R74" s="41"/>
      <c r="S74" s="41"/>
    </row>
    <row r="75" spans="1:19" x14ac:dyDescent="0.25">
      <c r="A75" s="32" t="s">
        <v>88</v>
      </c>
      <c r="B75" s="57">
        <f>DATA!O10</f>
        <v>64.152000000000001</v>
      </c>
      <c r="C75" s="57">
        <f>DATA!P10</f>
        <v>63.73040000000001</v>
      </c>
      <c r="D75" s="57">
        <f>DATA!Q10</f>
        <v>60.455999999999989</v>
      </c>
      <c r="E75" s="42">
        <f t="shared" si="16"/>
        <v>188.33840000000001</v>
      </c>
      <c r="F75" s="42">
        <f t="shared" si="17"/>
        <v>62.779466666666671</v>
      </c>
      <c r="G75" s="31" t="s">
        <v>13</v>
      </c>
      <c r="H75" s="31">
        <f>B71-1</f>
        <v>2</v>
      </c>
      <c r="I75" s="31">
        <f>D94</f>
        <v>33.986990143661387</v>
      </c>
      <c r="J75" s="31">
        <f>I75/H75</f>
        <v>16.993495071830694</v>
      </c>
      <c r="K75" s="31">
        <f>J75/$J$16</f>
        <v>9397.0414287994263</v>
      </c>
      <c r="L75" s="31">
        <f>FINV(0.05,H75,$H$16)</f>
        <v>3.275897990672394</v>
      </c>
      <c r="M75" s="31" t="str">
        <f>IF(K75&gt;=L75, "S", "NS")</f>
        <v>S</v>
      </c>
      <c r="N75" s="39"/>
      <c r="O75" s="30" t="s">
        <v>14</v>
      </c>
      <c r="P75" s="42">
        <f>SQRT(J80/(3*9))</f>
        <v>0.57461261207976944</v>
      </c>
      <c r="R75" s="41"/>
      <c r="S75" s="41"/>
    </row>
    <row r="76" spans="1:19" x14ac:dyDescent="0.25">
      <c r="A76" s="32" t="s">
        <v>89</v>
      </c>
      <c r="B76" s="57">
        <f>DATA!O11</f>
        <v>48.25</v>
      </c>
      <c r="C76" s="57">
        <f>DATA!P11</f>
        <v>46.493999999999993</v>
      </c>
      <c r="D76" s="57">
        <f>DATA!Q11</f>
        <v>46.336000000000006</v>
      </c>
      <c r="E76" s="42">
        <f t="shared" si="16"/>
        <v>141.08000000000001</v>
      </c>
      <c r="F76" s="42">
        <f t="shared" si="17"/>
        <v>47.026666666666671</v>
      </c>
      <c r="G76" s="31" t="s">
        <v>15</v>
      </c>
      <c r="H76" s="31">
        <f>D70-1</f>
        <v>17</v>
      </c>
      <c r="I76" s="31">
        <f>B95</f>
        <v>6774.4356470436614</v>
      </c>
      <c r="J76" s="31">
        <f t="shared" ref="J76:J80" si="18">I76/H76</f>
        <v>398.49621453198006</v>
      </c>
      <c r="K76" s="31">
        <f>J76/$J$16</f>
        <v>220359.93310076318</v>
      </c>
      <c r="L76" s="31">
        <f>FINV(0.05,H76,$H$16)</f>
        <v>1.9332068318040869</v>
      </c>
      <c r="M76" s="43" t="str">
        <f t="shared" ref="M76" si="19">IF(K76&gt;=L76, "S", "NS")</f>
        <v>S</v>
      </c>
      <c r="N76" s="30" t="s">
        <v>113</v>
      </c>
      <c r="O76" s="30" t="s">
        <v>16</v>
      </c>
      <c r="P76" s="42">
        <f>SQRT((2*J80)/(3*9))*L81</f>
        <v>1.6514525909711923</v>
      </c>
      <c r="R76" s="41"/>
      <c r="S76" s="41"/>
    </row>
    <row r="77" spans="1:19" x14ac:dyDescent="0.25">
      <c r="A77" s="32" t="s">
        <v>90</v>
      </c>
      <c r="B77" s="57">
        <f>DATA!O12</f>
        <v>57.25</v>
      </c>
      <c r="C77" s="57">
        <f>DATA!P12</f>
        <v>62.832000000000001</v>
      </c>
      <c r="D77" s="57">
        <f>DATA!Q12</f>
        <v>59.629999999999995</v>
      </c>
      <c r="E77" s="42">
        <f t="shared" si="16"/>
        <v>179.71199999999999</v>
      </c>
      <c r="F77" s="42">
        <f t="shared" si="17"/>
        <v>59.903999999999996</v>
      </c>
      <c r="G77" s="31" t="s">
        <v>108</v>
      </c>
      <c r="H77" s="31">
        <f>B69-1</f>
        <v>1</v>
      </c>
      <c r="I77" s="31">
        <f>(SUM(E73:E81)^2+SUM(E82:E90)^2)/27-B93</f>
        <v>143.19563379627652</v>
      </c>
      <c r="J77" s="31">
        <f t="shared" si="18"/>
        <v>143.19563379627652</v>
      </c>
      <c r="K77" s="31">
        <f>J77/$J$16</f>
        <v>79184.140609035981</v>
      </c>
      <c r="L77" s="31">
        <f>FINV(0.05,H77,$H$16)</f>
        <v>4.1300177456520188</v>
      </c>
      <c r="M77" s="31" t="str">
        <f>IF(K77&gt;=L77, "S", "NS")</f>
        <v>S</v>
      </c>
      <c r="N77" s="39"/>
      <c r="O77" s="33">
        <v>1</v>
      </c>
      <c r="P77" s="42">
        <f>(F73+F82)/2</f>
        <v>26.003599999999999</v>
      </c>
      <c r="Q77" s="49">
        <f>RANK(P77,P$77:P$85,0)</f>
        <v>9</v>
      </c>
      <c r="R77" s="51">
        <v>9</v>
      </c>
      <c r="S77" s="41"/>
    </row>
    <row r="78" spans="1:19" x14ac:dyDescent="0.25">
      <c r="A78" s="32" t="s">
        <v>91</v>
      </c>
      <c r="B78" s="57">
        <f>DATA!O13</f>
        <v>69.411999999999992</v>
      </c>
      <c r="C78" s="57">
        <f>DATA!P13</f>
        <v>70.715999999999994</v>
      </c>
      <c r="D78" s="57">
        <f>DATA!Q13</f>
        <v>65.007999999999996</v>
      </c>
      <c r="E78" s="42">
        <f t="shared" si="16"/>
        <v>205.13599999999997</v>
      </c>
      <c r="F78" s="42">
        <f t="shared" si="17"/>
        <v>68.37866666666666</v>
      </c>
      <c r="G78" s="31" t="s">
        <v>109</v>
      </c>
      <c r="H78" s="31">
        <f>B70-1</f>
        <v>8</v>
      </c>
      <c r="I78" s="31">
        <f>((E73+E82)^2+(E74+E83)^2+(E75+E84)^2+(E76+E85)^2+(E77+E86)^2+(E78+E87)^2+(E79+E88)^2+(E80+E89)^2+(E81+E90)^2/6)-B93</f>
        <v>658384.70108509017</v>
      </c>
      <c r="J78" s="31">
        <f t="shared" si="18"/>
        <v>82298.087635636271</v>
      </c>
      <c r="K78" s="31">
        <f>J78/$J$16</f>
        <v>45509092.494162627</v>
      </c>
      <c r="L78" s="31">
        <f>FINV(0.05,H78,$H$16)</f>
        <v>2.2253399674380931</v>
      </c>
      <c r="M78" s="31" t="str">
        <f>IF(K78&gt;=L78, "S", "NS")</f>
        <v>S</v>
      </c>
      <c r="N78" s="39"/>
      <c r="O78" s="33">
        <v>2</v>
      </c>
      <c r="P78" s="42">
        <f t="shared" ref="P78:P85" si="20">(F74+F83)/2</f>
        <v>49.435000000000002</v>
      </c>
      <c r="Q78" s="49">
        <f t="shared" ref="Q78:Q84" si="21">RANK(P78,P$77:P$85,0)</f>
        <v>5</v>
      </c>
      <c r="R78" s="52">
        <v>5</v>
      </c>
      <c r="S78" s="41"/>
    </row>
    <row r="79" spans="1:19" x14ac:dyDescent="0.25">
      <c r="A79" s="32" t="s">
        <v>92</v>
      </c>
      <c r="B79" s="57">
        <f>DATA!O14</f>
        <v>53.064</v>
      </c>
      <c r="C79" s="57">
        <f>DATA!P14</f>
        <v>49.375</v>
      </c>
      <c r="D79" s="57">
        <f>DATA!Q14</f>
        <v>47.068999999999996</v>
      </c>
      <c r="E79" s="42">
        <f t="shared" si="16"/>
        <v>149.50799999999998</v>
      </c>
      <c r="F79" s="42">
        <f t="shared" si="17"/>
        <v>49.835999999999991</v>
      </c>
      <c r="G79" s="26" t="s">
        <v>110</v>
      </c>
      <c r="H79" s="31">
        <f>H77*H78</f>
        <v>8</v>
      </c>
      <c r="I79" s="31">
        <f>I76-(I77+I78)</f>
        <v>-651753.46107184282</v>
      </c>
      <c r="J79" s="31">
        <f t="shared" si="18"/>
        <v>-81469.182633980352</v>
      </c>
      <c r="K79" s="44">
        <f>J79/$J$16</f>
        <v>-45050725.65389964</v>
      </c>
      <c r="L79" s="31">
        <f>FINV(0.05,H79,$H$16)</f>
        <v>2.2253399674380931</v>
      </c>
      <c r="M79" s="31" t="str">
        <f t="shared" ref="M79" si="22">IF(K79&gt;=L79, "S", "NS")</f>
        <v>NS</v>
      </c>
      <c r="N79" s="39"/>
      <c r="O79" s="33">
        <v>3</v>
      </c>
      <c r="P79" s="42">
        <f t="shared" si="20"/>
        <v>61.545066666666671</v>
      </c>
      <c r="Q79" s="49">
        <f t="shared" si="21"/>
        <v>2</v>
      </c>
      <c r="R79" s="52">
        <v>2</v>
      </c>
      <c r="S79" s="41"/>
    </row>
    <row r="80" spans="1:19" x14ac:dyDescent="0.25">
      <c r="A80" s="32" t="s">
        <v>93</v>
      </c>
      <c r="B80" s="57">
        <f>DATA!O15</f>
        <v>55.679999999999993</v>
      </c>
      <c r="C80" s="57">
        <f>DATA!P15</f>
        <v>52.274999999999991</v>
      </c>
      <c r="D80" s="57">
        <f>DATA!Q15</f>
        <v>52.793999999999997</v>
      </c>
      <c r="E80" s="42">
        <f t="shared" si="16"/>
        <v>160.74899999999997</v>
      </c>
      <c r="F80" s="42">
        <f t="shared" si="17"/>
        <v>53.582999999999991</v>
      </c>
      <c r="G80" s="45" t="s">
        <v>23</v>
      </c>
      <c r="H80" s="31">
        <f>((B71-1)*(B69*B70-1))</f>
        <v>34</v>
      </c>
      <c r="I80" s="31">
        <f>D95</f>
        <v>303.10492233632249</v>
      </c>
      <c r="J80" s="31">
        <f t="shared" si="18"/>
        <v>8.9148506569506623</v>
      </c>
      <c r="O80" s="33">
        <v>4</v>
      </c>
      <c r="P80" s="42">
        <f t="shared" si="20"/>
        <v>46.187333333333328</v>
      </c>
      <c r="Q80" s="49">
        <f t="shared" si="21"/>
        <v>7</v>
      </c>
      <c r="R80" s="52">
        <v>7</v>
      </c>
      <c r="S80" s="41"/>
    </row>
    <row r="81" spans="1:18" x14ac:dyDescent="0.25">
      <c r="A81" s="32" t="s">
        <v>94</v>
      </c>
      <c r="B81" s="57">
        <f>DATA!O16</f>
        <v>45.625</v>
      </c>
      <c r="C81" s="57">
        <f>DATA!P16</f>
        <v>43.554000000000002</v>
      </c>
      <c r="D81" s="57">
        <f>DATA!Q16</f>
        <v>40.715999999999994</v>
      </c>
      <c r="E81" s="42">
        <f t="shared" si="16"/>
        <v>129.89499999999998</v>
      </c>
      <c r="F81" s="42">
        <f t="shared" si="17"/>
        <v>43.298333333333325</v>
      </c>
      <c r="G81" s="44" t="s">
        <v>4</v>
      </c>
      <c r="H81" s="31">
        <f>SUM(H75:H80)-H76</f>
        <v>53</v>
      </c>
      <c r="I81" s="31">
        <f>B94</f>
        <v>7111.5275595236453</v>
      </c>
      <c r="K81" s="31" t="s">
        <v>111</v>
      </c>
      <c r="L81" s="41">
        <f>TINV(0.05,34)</f>
        <v>2.0322445093177191</v>
      </c>
      <c r="O81" s="33">
        <v>5</v>
      </c>
      <c r="P81" s="42">
        <f t="shared" si="20"/>
        <v>56.376666666666665</v>
      </c>
      <c r="Q81" s="49">
        <f t="shared" si="21"/>
        <v>3</v>
      </c>
      <c r="R81" s="51">
        <v>3</v>
      </c>
    </row>
    <row r="82" spans="1:18" x14ac:dyDescent="0.25">
      <c r="A82" s="32" t="s">
        <v>95</v>
      </c>
      <c r="B82" s="57">
        <f>DATA!O17</f>
        <v>28.355000000000004</v>
      </c>
      <c r="C82" s="57">
        <f>DATA!P17</f>
        <v>17.627999999999997</v>
      </c>
      <c r="D82" s="57">
        <f>DATA!Q17</f>
        <v>27.12</v>
      </c>
      <c r="E82" s="42">
        <f t="shared" si="16"/>
        <v>73.103000000000009</v>
      </c>
      <c r="F82" s="42">
        <f t="shared" si="17"/>
        <v>24.367666666666668</v>
      </c>
      <c r="G82" s="34" t="s">
        <v>14</v>
      </c>
      <c r="H82" s="31">
        <f>SQRT(J80/3)</f>
        <v>1.7238378362393085</v>
      </c>
      <c r="O82" s="33">
        <v>6</v>
      </c>
      <c r="P82" s="42">
        <f t="shared" si="20"/>
        <v>66.550666666666658</v>
      </c>
      <c r="Q82" s="49">
        <f t="shared" si="21"/>
        <v>1</v>
      </c>
      <c r="R82" s="52">
        <v>1</v>
      </c>
    </row>
    <row r="83" spans="1:18" x14ac:dyDescent="0.25">
      <c r="A83" s="32" t="s">
        <v>96</v>
      </c>
      <c r="B83" s="57">
        <f>DATA!O18</f>
        <v>48.125</v>
      </c>
      <c r="C83" s="57">
        <f>DATA!P18</f>
        <v>47.32</v>
      </c>
      <c r="D83" s="57">
        <f>DATA!Q18</f>
        <v>44.603999999999992</v>
      </c>
      <c r="E83" s="42">
        <f t="shared" si="16"/>
        <v>140.04899999999998</v>
      </c>
      <c r="F83" s="42">
        <f t="shared" si="17"/>
        <v>46.682999999999993</v>
      </c>
      <c r="G83" s="34" t="s">
        <v>16</v>
      </c>
      <c r="H83" s="31">
        <f>(SQRT((2*J80)/3))*L81</f>
        <v>4.9543577729135775</v>
      </c>
      <c r="O83" s="33">
        <v>7</v>
      </c>
      <c r="P83" s="42">
        <f t="shared" si="20"/>
        <v>47.926333333333325</v>
      </c>
      <c r="Q83" s="49">
        <f t="shared" si="21"/>
        <v>6</v>
      </c>
      <c r="R83" s="52">
        <v>6</v>
      </c>
    </row>
    <row r="84" spans="1:18" x14ac:dyDescent="0.25">
      <c r="A84" s="32" t="s">
        <v>97</v>
      </c>
      <c r="B84" s="57">
        <f>DATA!O19</f>
        <v>65.007999999999996</v>
      </c>
      <c r="C84" s="57">
        <f>DATA!P19</f>
        <v>60.372</v>
      </c>
      <c r="D84" s="57">
        <f>DATA!Q19</f>
        <v>55.552</v>
      </c>
      <c r="E84" s="42">
        <f t="shared" si="16"/>
        <v>180.93199999999999</v>
      </c>
      <c r="F84" s="42">
        <f t="shared" si="17"/>
        <v>60.310666666666663</v>
      </c>
      <c r="G84" s="34" t="s">
        <v>29</v>
      </c>
      <c r="H84" s="31">
        <f>((SQRT(J80))/F91)*100</f>
        <v>5.9718568727911672</v>
      </c>
      <c r="K84" s="78">
        <f>P73-P74</f>
        <v>3.2568518518518559</v>
      </c>
      <c r="O84" s="33">
        <v>8</v>
      </c>
      <c r="P84" s="42">
        <f t="shared" si="20"/>
        <v>52.740333333333325</v>
      </c>
      <c r="Q84" s="49">
        <f t="shared" si="21"/>
        <v>4</v>
      </c>
      <c r="R84" s="51">
        <v>4</v>
      </c>
    </row>
    <row r="85" spans="1:18" x14ac:dyDescent="0.25">
      <c r="A85" s="32" t="s">
        <v>98</v>
      </c>
      <c r="B85" s="57">
        <f>DATA!O20</f>
        <v>46</v>
      </c>
      <c r="C85" s="57">
        <f>DATA!P20</f>
        <v>43.08</v>
      </c>
      <c r="D85" s="57">
        <f>DATA!Q20</f>
        <v>46.963999999999992</v>
      </c>
      <c r="E85" s="42">
        <f t="shared" si="16"/>
        <v>136.04399999999998</v>
      </c>
      <c r="F85" s="42">
        <f t="shared" si="17"/>
        <v>45.347999999999992</v>
      </c>
      <c r="O85" s="33">
        <v>9</v>
      </c>
      <c r="P85" s="42">
        <f t="shared" si="20"/>
        <v>43.211833333333331</v>
      </c>
      <c r="Q85" s="49">
        <f>RANK(P85,P$77:P$85,0)</f>
        <v>8</v>
      </c>
      <c r="R85" s="52">
        <v>8</v>
      </c>
    </row>
    <row r="86" spans="1:18" x14ac:dyDescent="0.25">
      <c r="A86" s="32" t="s">
        <v>99</v>
      </c>
      <c r="B86" s="57">
        <f>DATA!O21</f>
        <v>48.91</v>
      </c>
      <c r="C86" s="57">
        <f>DATA!P21</f>
        <v>56.088000000000008</v>
      </c>
      <c r="D86" s="57">
        <f>DATA!Q21</f>
        <v>53.55</v>
      </c>
      <c r="E86" s="42">
        <f t="shared" si="16"/>
        <v>158.548</v>
      </c>
      <c r="F86" s="42">
        <f t="shared" si="17"/>
        <v>52.849333333333334</v>
      </c>
      <c r="O86" s="30" t="s">
        <v>14</v>
      </c>
      <c r="P86" s="42">
        <f>SQRT(J80/(3*2))</f>
        <v>1.2189374236707602</v>
      </c>
      <c r="Q86" s="49"/>
    </row>
    <row r="87" spans="1:18" x14ac:dyDescent="0.25">
      <c r="A87" s="32" t="s">
        <v>100</v>
      </c>
      <c r="B87" s="57">
        <f>DATA!O22</f>
        <v>63.647999999999996</v>
      </c>
      <c r="C87" s="57">
        <f>DATA!P22</f>
        <v>70.103999999999985</v>
      </c>
      <c r="D87" s="57">
        <f>DATA!Q22</f>
        <v>60.416000000000004</v>
      </c>
      <c r="E87" s="42">
        <f t="shared" si="16"/>
        <v>194.16799999999998</v>
      </c>
      <c r="F87" s="42">
        <f t="shared" si="17"/>
        <v>64.722666666666655</v>
      </c>
      <c r="N87" s="30" t="s">
        <v>109</v>
      </c>
      <c r="O87" s="30" t="s">
        <v>16</v>
      </c>
      <c r="P87" s="42">
        <f>SQRT((2*J80)/(3*2))*L81</f>
        <v>3.5032599776514721</v>
      </c>
      <c r="Q87" s="49"/>
    </row>
    <row r="88" spans="1:18" x14ac:dyDescent="0.25">
      <c r="A88" s="32" t="s">
        <v>101</v>
      </c>
      <c r="B88" s="57">
        <f>DATA!O23</f>
        <v>47.753999999999998</v>
      </c>
      <c r="C88" s="57">
        <f>DATA!P23</f>
        <v>46.871999999999993</v>
      </c>
      <c r="D88" s="57">
        <f>DATA!Q23</f>
        <v>43.423999999999992</v>
      </c>
      <c r="E88" s="42">
        <f t="shared" si="16"/>
        <v>138.04999999999998</v>
      </c>
      <c r="F88" s="42">
        <f>E88/3</f>
        <v>46.016666666666659</v>
      </c>
      <c r="Q88" s="49"/>
    </row>
    <row r="89" spans="1:18" x14ac:dyDescent="0.25">
      <c r="A89" s="32" t="s">
        <v>102</v>
      </c>
      <c r="B89" s="57">
        <f>DATA!O24</f>
        <v>50.306999999999988</v>
      </c>
      <c r="C89" s="57">
        <f>DATA!P24</f>
        <v>52.25</v>
      </c>
      <c r="D89" s="57">
        <f>DATA!Q24</f>
        <v>53.136000000000003</v>
      </c>
      <c r="E89" s="42">
        <f t="shared" si="16"/>
        <v>155.69299999999998</v>
      </c>
      <c r="F89" s="42">
        <f t="shared" ref="F89:F90" si="23">E89/3</f>
        <v>51.897666666666659</v>
      </c>
    </row>
    <row r="90" spans="1:18" x14ac:dyDescent="0.25">
      <c r="A90" s="32" t="s">
        <v>103</v>
      </c>
      <c r="B90" s="57">
        <f>DATA!O25</f>
        <v>41.76</v>
      </c>
      <c r="C90" s="57">
        <f>DATA!P25</f>
        <v>43.616</v>
      </c>
      <c r="D90" s="57">
        <f>DATA!Q25</f>
        <v>44</v>
      </c>
      <c r="E90" s="42">
        <f t="shared" si="16"/>
        <v>129.376</v>
      </c>
      <c r="F90" s="42">
        <f t="shared" si="23"/>
        <v>43.125333333333337</v>
      </c>
    </row>
    <row r="91" spans="1:18" x14ac:dyDescent="0.25">
      <c r="A91" s="30" t="s">
        <v>4</v>
      </c>
      <c r="B91" s="31">
        <f>SUM(B73:B90)</f>
        <v>913.31900000000007</v>
      </c>
      <c r="C91" s="31">
        <f t="shared" ref="C91:D91" si="24">SUM(C73:C90)</f>
        <v>906.38239999999985</v>
      </c>
      <c r="D91" s="31">
        <f t="shared" si="24"/>
        <v>880.15959999999995</v>
      </c>
      <c r="E91" s="31">
        <f>SUM(E73:E90)</f>
        <v>2699.8609999999999</v>
      </c>
      <c r="F91" s="31">
        <f>AVERAGE(B73:D90)</f>
        <v>49.997425925925924</v>
      </c>
    </row>
    <row r="92" spans="1:18" x14ac:dyDescent="0.25">
      <c r="A92" s="30" t="s">
        <v>5</v>
      </c>
      <c r="B92" s="31">
        <f>B91/18</f>
        <v>50.739944444444447</v>
      </c>
      <c r="C92" s="31">
        <f>C91/18</f>
        <v>50.35457777777777</v>
      </c>
      <c r="D92" s="31">
        <f>D91/18</f>
        <v>48.897755555555555</v>
      </c>
    </row>
    <row r="93" spans="1:18" x14ac:dyDescent="0.25">
      <c r="A93" s="30" t="s">
        <v>26</v>
      </c>
      <c r="B93" s="31">
        <f>(E91*E91)/54</f>
        <v>134986.1003577963</v>
      </c>
      <c r="C93" s="31"/>
      <c r="D93" s="31"/>
    </row>
    <row r="94" spans="1:18" x14ac:dyDescent="0.25">
      <c r="A94" s="30" t="s">
        <v>27</v>
      </c>
      <c r="B94" s="31">
        <f>SUMSQ(B73:D90)-B93</f>
        <v>7111.5275595236453</v>
      </c>
      <c r="C94" s="30" t="s">
        <v>28</v>
      </c>
      <c r="D94" s="31">
        <f>(SUMSQ(B91:D91)/18)-B93</f>
        <v>33.986990143661387</v>
      </c>
    </row>
    <row r="95" spans="1:18" x14ac:dyDescent="0.25">
      <c r="A95" s="30" t="s">
        <v>30</v>
      </c>
      <c r="B95" s="31">
        <f>(SUMSQ(E73:E90)/3)-B93</f>
        <v>6774.4356470436614</v>
      </c>
      <c r="C95" s="30" t="s">
        <v>31</v>
      </c>
      <c r="D95" s="31">
        <f>B94-B95-D94</f>
        <v>303.10492233632249</v>
      </c>
    </row>
    <row r="99" spans="1:18" ht="15.75" x14ac:dyDescent="0.25">
      <c r="C99" s="56" t="s">
        <v>118</v>
      </c>
    </row>
    <row r="100" spans="1:18" ht="15.75" x14ac:dyDescent="0.25">
      <c r="C100" s="62" t="s">
        <v>117</v>
      </c>
    </row>
    <row r="101" spans="1:18" x14ac:dyDescent="0.25">
      <c r="A101" s="36" t="s">
        <v>104</v>
      </c>
      <c r="B101" s="38">
        <v>2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5"/>
      <c r="N101" s="35"/>
      <c r="O101" s="39"/>
      <c r="P101" s="39"/>
    </row>
    <row r="102" spans="1:18" x14ac:dyDescent="0.25">
      <c r="A102" s="36" t="s">
        <v>105</v>
      </c>
      <c r="B102" s="38">
        <v>9</v>
      </c>
      <c r="C102" s="39" t="s">
        <v>107</v>
      </c>
      <c r="D102" s="39">
        <v>18</v>
      </c>
      <c r="E102" s="39"/>
      <c r="F102" s="39"/>
      <c r="G102" s="39"/>
      <c r="H102" s="39"/>
      <c r="I102" s="39"/>
      <c r="J102" s="39"/>
      <c r="K102" s="39"/>
      <c r="L102" s="39"/>
      <c r="M102" s="35"/>
      <c r="N102" s="35"/>
      <c r="O102" s="39"/>
      <c r="P102" s="39"/>
    </row>
    <row r="103" spans="1:18" x14ac:dyDescent="0.25">
      <c r="A103" s="37" t="s">
        <v>106</v>
      </c>
      <c r="B103" s="40">
        <v>3</v>
      </c>
    </row>
    <row r="104" spans="1:18" x14ac:dyDescent="0.25">
      <c r="A104" s="46" t="s">
        <v>0</v>
      </c>
      <c r="B104" s="30" t="s">
        <v>1</v>
      </c>
      <c r="C104" s="30" t="s">
        <v>2</v>
      </c>
      <c r="D104" s="30" t="s">
        <v>3</v>
      </c>
      <c r="E104" s="30" t="s">
        <v>4</v>
      </c>
      <c r="F104" s="30" t="s">
        <v>5</v>
      </c>
      <c r="O104" s="41" t="s">
        <v>7</v>
      </c>
      <c r="R104" s="41"/>
    </row>
    <row r="105" spans="1:18" x14ac:dyDescent="0.25">
      <c r="A105" s="32" t="s">
        <v>86</v>
      </c>
      <c r="B105" s="57">
        <f>DATA!O31</f>
        <v>11.968</v>
      </c>
      <c r="C105" s="57">
        <f>DATA!P31</f>
        <v>13.248000000000001</v>
      </c>
      <c r="D105" s="57">
        <f>DATA!Q31</f>
        <v>14.688000000000001</v>
      </c>
      <c r="E105" s="42">
        <f>SUM(B105:D105)</f>
        <v>39.904000000000003</v>
      </c>
      <c r="F105" s="42">
        <f>E105/3</f>
        <v>13.301333333333334</v>
      </c>
      <c r="H105" s="47"/>
      <c r="I105" s="47"/>
      <c r="J105" s="47" t="s">
        <v>6</v>
      </c>
      <c r="K105" s="47"/>
      <c r="L105" s="47"/>
      <c r="M105" s="47"/>
      <c r="N105" s="47"/>
      <c r="O105" s="33">
        <v>1</v>
      </c>
      <c r="P105" s="42">
        <f>SUM(F105:F113)/9</f>
        <v>28.361570370370369</v>
      </c>
      <c r="Q105" s="49">
        <f>RANK(P105,P$105:P$106,0)</f>
        <v>1</v>
      </c>
      <c r="R105" s="41"/>
    </row>
    <row r="106" spans="1:18" x14ac:dyDescent="0.25">
      <c r="A106" s="32" t="s">
        <v>87</v>
      </c>
      <c r="B106" s="57">
        <f>DATA!O32</f>
        <v>26.315999999999999</v>
      </c>
      <c r="C106" s="57">
        <f>DATA!P32</f>
        <v>29.128</v>
      </c>
      <c r="D106" s="57">
        <f>DATA!Q32</f>
        <v>31.776000000000003</v>
      </c>
      <c r="E106" s="42">
        <f t="shared" ref="E106:E122" si="25">SUM(B106:D106)</f>
        <v>87.22</v>
      </c>
      <c r="F106" s="42">
        <f t="shared" ref="F106:F119" si="26">E106/3</f>
        <v>29.073333333333334</v>
      </c>
      <c r="G106" s="31"/>
      <c r="H106" s="30" t="s">
        <v>8</v>
      </c>
      <c r="I106" s="30" t="s">
        <v>9</v>
      </c>
      <c r="J106" s="30" t="s">
        <v>10</v>
      </c>
      <c r="K106" s="30" t="s">
        <v>11</v>
      </c>
      <c r="L106" s="30" t="s">
        <v>12</v>
      </c>
      <c r="M106" s="30" t="s">
        <v>112</v>
      </c>
      <c r="N106" s="50"/>
      <c r="O106" s="33">
        <v>2</v>
      </c>
      <c r="P106" s="42">
        <f>SUM(F114:F122)/9</f>
        <v>25.83040740740741</v>
      </c>
      <c r="Q106" s="49">
        <f>RANK(P106,P$105:P$106,0)</f>
        <v>2</v>
      </c>
      <c r="R106" s="41"/>
    </row>
    <row r="107" spans="1:18" x14ac:dyDescent="0.25">
      <c r="A107" s="32" t="s">
        <v>88</v>
      </c>
      <c r="B107" s="57">
        <f>DATA!O33</f>
        <v>33.072000000000003</v>
      </c>
      <c r="C107" s="57">
        <f>DATA!P33</f>
        <v>33.696000000000005</v>
      </c>
      <c r="D107" s="57">
        <f>DATA!Q33</f>
        <v>39.379999999999995</v>
      </c>
      <c r="E107" s="42">
        <f t="shared" si="25"/>
        <v>106.148</v>
      </c>
      <c r="F107" s="42">
        <f t="shared" si="26"/>
        <v>35.382666666666665</v>
      </c>
      <c r="G107" s="31" t="s">
        <v>13</v>
      </c>
      <c r="H107" s="31">
        <f>B103-1</f>
        <v>2</v>
      </c>
      <c r="I107" s="77">
        <f>D126</f>
        <v>27.025456591130933</v>
      </c>
      <c r="J107" s="77">
        <f>I107/H107</f>
        <v>13.512728295565466</v>
      </c>
      <c r="K107" s="77">
        <f>J107/$J$16</f>
        <v>7472.2514157800933</v>
      </c>
      <c r="L107" s="31">
        <f>FINV(0.05,H107,$H$16)</f>
        <v>3.275897990672394</v>
      </c>
      <c r="M107" s="31" t="str">
        <f>IF(K107&gt;=L107, "S", "NS")</f>
        <v>S</v>
      </c>
      <c r="N107" s="39"/>
      <c r="O107" s="30" t="s">
        <v>14</v>
      </c>
      <c r="P107" s="42">
        <f>SQRT(J112/(3*9))</f>
        <v>0.42900523792944018</v>
      </c>
      <c r="R107" s="41"/>
    </row>
    <row r="108" spans="1:18" x14ac:dyDescent="0.25">
      <c r="A108" s="32" t="s">
        <v>89</v>
      </c>
      <c r="B108" s="57">
        <f>DATA!O34</f>
        <v>22.176000000000002</v>
      </c>
      <c r="C108" s="57">
        <f>DATA!P34</f>
        <v>24.990000000000002</v>
      </c>
      <c r="D108" s="57">
        <f>DATA!Q34</f>
        <v>25.155000000000001</v>
      </c>
      <c r="E108" s="42">
        <f t="shared" si="25"/>
        <v>72.320999999999998</v>
      </c>
      <c r="F108" s="42">
        <f t="shared" si="26"/>
        <v>24.106999999999999</v>
      </c>
      <c r="G108" s="31" t="s">
        <v>15</v>
      </c>
      <c r="H108" s="31">
        <f>D102-1</f>
        <v>17</v>
      </c>
      <c r="I108" s="77">
        <f>B127</f>
        <v>3069.9853041133319</v>
      </c>
      <c r="J108" s="77">
        <f t="shared" ref="J108:J112" si="27">I108/H108</f>
        <v>180.58737083019599</v>
      </c>
      <c r="K108" s="77">
        <f>J108/$J$16</f>
        <v>99860.976099162261</v>
      </c>
      <c r="L108" s="31">
        <f>FINV(0.05,H108,$H$16)</f>
        <v>1.9332068318040869</v>
      </c>
      <c r="M108" s="43" t="str">
        <f t="shared" ref="M108" si="28">IF(K108&gt;=L108, "S", "NS")</f>
        <v>S</v>
      </c>
      <c r="N108" s="30" t="s">
        <v>113</v>
      </c>
      <c r="O108" s="30" t="s">
        <v>16</v>
      </c>
      <c r="P108" s="42">
        <f>SQRT((2*J112)/(3*9))*L113</f>
        <v>1.2329729574756241</v>
      </c>
      <c r="R108" s="41"/>
    </row>
    <row r="109" spans="1:18" x14ac:dyDescent="0.25">
      <c r="A109" s="32" t="s">
        <v>90</v>
      </c>
      <c r="B109" s="57">
        <f>DATA!O35</f>
        <v>34.496000000000009</v>
      </c>
      <c r="C109" s="57">
        <f>DATA!P35</f>
        <v>31.396000000000001</v>
      </c>
      <c r="D109" s="57">
        <f>DATA!Q35</f>
        <v>34.735999999999997</v>
      </c>
      <c r="E109" s="42">
        <f t="shared" si="25"/>
        <v>100.62800000000001</v>
      </c>
      <c r="F109" s="42">
        <f t="shared" si="26"/>
        <v>33.542666666666669</v>
      </c>
      <c r="G109" s="31" t="s">
        <v>108</v>
      </c>
      <c r="H109" s="31">
        <f>B101-1</f>
        <v>1</v>
      </c>
      <c r="I109" s="77">
        <f>(SUM(E105:E113)^2+SUM(E114:E122)^2)/27-B125</f>
        <v>86.491610258512083</v>
      </c>
      <c r="J109" s="77">
        <f t="shared" si="27"/>
        <v>86.491610258512083</v>
      </c>
      <c r="K109" s="77">
        <f>J109/$J$16</f>
        <v>47828.021334474841</v>
      </c>
      <c r="L109" s="31">
        <f>FINV(0.05,H109,$H$16)</f>
        <v>4.1300177456520188</v>
      </c>
      <c r="M109" s="31" t="str">
        <f>IF(K109&gt;=L109, "S", "NS")</f>
        <v>S</v>
      </c>
      <c r="N109" s="39"/>
      <c r="O109" s="33">
        <v>1</v>
      </c>
      <c r="P109" s="42">
        <f>(F105+F114)/2</f>
        <v>12.436833333333334</v>
      </c>
      <c r="Q109" s="49">
        <f>RANK(P109,P$109:P$117,0)</f>
        <v>9</v>
      </c>
      <c r="R109" s="51">
        <v>9</v>
      </c>
    </row>
    <row r="110" spans="1:18" x14ac:dyDescent="0.25">
      <c r="A110" s="32" t="s">
        <v>91</v>
      </c>
      <c r="B110" s="57">
        <f>DATA!O36</f>
        <v>39.159999999999997</v>
      </c>
      <c r="C110" s="57">
        <f>DATA!P36</f>
        <v>46.26</v>
      </c>
      <c r="D110" s="57">
        <f>DATA!Q36</f>
        <v>37.855999999999995</v>
      </c>
      <c r="E110" s="42">
        <f t="shared" si="25"/>
        <v>123.27599999999998</v>
      </c>
      <c r="F110" s="42">
        <f t="shared" si="26"/>
        <v>41.091999999999992</v>
      </c>
      <c r="G110" s="31" t="s">
        <v>109</v>
      </c>
      <c r="H110" s="31">
        <f>B102-1</f>
        <v>8</v>
      </c>
      <c r="I110" s="31">
        <f>((E105+E114)^2+(E106+E115)^2+(E107+E116)^2+(E108+E117)^2+(E109+E118)^2+(E110+E119)^2+(E111+E120)^2+(E112+E121)^2+(E113+E122)^2/6)-B125</f>
        <v>202093.70783582004</v>
      </c>
      <c r="J110" s="31">
        <f t="shared" si="27"/>
        <v>25261.713479477505</v>
      </c>
      <c r="K110" s="31">
        <f>J110/$J$16</f>
        <v>13969190.394659508</v>
      </c>
      <c r="L110" s="31">
        <f>FINV(0.05,H110,$H$16)</f>
        <v>2.2253399674380931</v>
      </c>
      <c r="M110" s="31" t="str">
        <f>IF(K110&gt;=L110, "S", "NS")</f>
        <v>S</v>
      </c>
      <c r="N110" s="39"/>
      <c r="O110" s="33">
        <v>2</v>
      </c>
      <c r="P110" s="42">
        <f t="shared" ref="P110:P117" si="29">(F106+F115)/2</f>
        <v>27.523166666666668</v>
      </c>
      <c r="Q110" s="49">
        <f t="shared" ref="Q110:Q117" si="30">RANK(P110,P$109:P$117,0)</f>
        <v>5</v>
      </c>
      <c r="R110" s="52">
        <v>5</v>
      </c>
    </row>
    <row r="111" spans="1:18" x14ac:dyDescent="0.25">
      <c r="A111" s="32" t="s">
        <v>92</v>
      </c>
      <c r="B111" s="57">
        <f>DATA!O37</f>
        <v>26.035000000000004</v>
      </c>
      <c r="C111" s="57">
        <f>DATA!P37</f>
        <v>22.495999999999999</v>
      </c>
      <c r="D111" s="57">
        <f>DATA!Q37</f>
        <v>27.132000000000001</v>
      </c>
      <c r="E111" s="42">
        <f t="shared" si="25"/>
        <v>75.663000000000011</v>
      </c>
      <c r="F111" s="42">
        <f t="shared" si="26"/>
        <v>25.221000000000004</v>
      </c>
      <c r="G111" s="26" t="s">
        <v>110</v>
      </c>
      <c r="H111" s="31">
        <f>H109*H110</f>
        <v>8</v>
      </c>
      <c r="I111" s="31">
        <f>I108-(I109+I110)</f>
        <v>-199110.21414196523</v>
      </c>
      <c r="J111" s="31">
        <f t="shared" si="27"/>
        <v>-24888.776767745654</v>
      </c>
      <c r="K111" s="44">
        <f>J111/$J$16</f>
        <v>-13762964.323115598</v>
      </c>
      <c r="L111" s="31">
        <f>FINV(0.05,H111,$H$16)</f>
        <v>2.2253399674380931</v>
      </c>
      <c r="M111" s="31" t="str">
        <f t="shared" ref="M111" si="31">IF(K111&gt;=L111, "S", "NS")</f>
        <v>NS</v>
      </c>
      <c r="N111" s="39"/>
      <c r="O111" s="33">
        <v>3</v>
      </c>
      <c r="P111" s="42">
        <f t="shared" si="29"/>
        <v>34.440666666666672</v>
      </c>
      <c r="Q111" s="49">
        <f t="shared" si="30"/>
        <v>2</v>
      </c>
      <c r="R111" s="52">
        <v>2</v>
      </c>
    </row>
    <row r="112" spans="1:18" x14ac:dyDescent="0.25">
      <c r="A112" s="32" t="s">
        <v>93</v>
      </c>
      <c r="B112" s="57">
        <f>DATA!O38</f>
        <v>31.510400000000001</v>
      </c>
      <c r="C112" s="57">
        <f>DATA!P38</f>
        <v>28.423999999999992</v>
      </c>
      <c r="D112" s="57">
        <f>DATA!Q38</f>
        <v>30.973000000000006</v>
      </c>
      <c r="E112" s="42">
        <f t="shared" si="25"/>
        <v>90.907399999999996</v>
      </c>
      <c r="F112" s="42">
        <f t="shared" si="26"/>
        <v>30.302466666666664</v>
      </c>
      <c r="G112" s="45" t="s">
        <v>23</v>
      </c>
      <c r="H112" s="31">
        <f>((B103-1)*(B101*B102-1))</f>
        <v>34</v>
      </c>
      <c r="I112" s="31">
        <f>D127</f>
        <v>168.95376364888216</v>
      </c>
      <c r="J112" s="31">
        <f t="shared" si="27"/>
        <v>4.9692283426141808</v>
      </c>
      <c r="O112" s="33">
        <v>4</v>
      </c>
      <c r="P112" s="42">
        <f t="shared" si="29"/>
        <v>23.036666666666669</v>
      </c>
      <c r="Q112" s="49">
        <f t="shared" si="30"/>
        <v>7</v>
      </c>
      <c r="R112" s="52">
        <v>7</v>
      </c>
    </row>
    <row r="113" spans="1:18" x14ac:dyDescent="0.25">
      <c r="A113" s="32" t="s">
        <v>94</v>
      </c>
      <c r="B113" s="57">
        <f>DATA!O39</f>
        <v>24.559000000000001</v>
      </c>
      <c r="C113" s="57">
        <f>DATA!P39</f>
        <v>22.791999999999998</v>
      </c>
      <c r="D113" s="57">
        <f>DATA!Q39</f>
        <v>22.343999999999998</v>
      </c>
      <c r="E113" s="42">
        <f t="shared" si="25"/>
        <v>69.694999999999993</v>
      </c>
      <c r="F113" s="42">
        <f t="shared" si="26"/>
        <v>23.231666666666666</v>
      </c>
      <c r="G113" s="44" t="s">
        <v>4</v>
      </c>
      <c r="H113" s="31">
        <f>SUM(H107:H112)-H108</f>
        <v>53</v>
      </c>
      <c r="I113" s="31">
        <f>B126</f>
        <v>3265.964524353345</v>
      </c>
      <c r="K113" s="31" t="s">
        <v>111</v>
      </c>
      <c r="L113" s="41">
        <f>TINV(0.05,34)</f>
        <v>2.0322445093177191</v>
      </c>
      <c r="O113" s="33">
        <v>5</v>
      </c>
      <c r="P113" s="42">
        <f t="shared" si="29"/>
        <v>32.506166666666672</v>
      </c>
      <c r="Q113" s="49">
        <f t="shared" si="30"/>
        <v>3</v>
      </c>
      <c r="R113" s="51">
        <v>3</v>
      </c>
    </row>
    <row r="114" spans="1:18" x14ac:dyDescent="0.25">
      <c r="A114" s="32" t="s">
        <v>95</v>
      </c>
      <c r="B114" s="57">
        <f>DATA!O40</f>
        <v>9.6390000000000011</v>
      </c>
      <c r="C114" s="57">
        <f>DATA!P40</f>
        <v>11.288000000000002</v>
      </c>
      <c r="D114" s="57">
        <f>DATA!Q40</f>
        <v>13.790000000000003</v>
      </c>
      <c r="E114" s="42">
        <f t="shared" si="25"/>
        <v>34.717000000000006</v>
      </c>
      <c r="F114" s="42">
        <f t="shared" si="26"/>
        <v>11.572333333333335</v>
      </c>
      <c r="G114" s="34" t="s">
        <v>14</v>
      </c>
      <c r="H114" s="31">
        <f>SQRT(J112/3)</f>
        <v>1.2870157137883205</v>
      </c>
      <c r="O114" s="33">
        <v>6</v>
      </c>
      <c r="P114" s="42">
        <f t="shared" si="29"/>
        <v>38.93066666666666</v>
      </c>
      <c r="Q114" s="49">
        <f t="shared" si="30"/>
        <v>1</v>
      </c>
      <c r="R114" s="52">
        <v>1</v>
      </c>
    </row>
    <row r="115" spans="1:18" x14ac:dyDescent="0.25">
      <c r="A115" s="32" t="s">
        <v>96</v>
      </c>
      <c r="B115" s="57">
        <f>DATA!O41</f>
        <v>24.805000000000003</v>
      </c>
      <c r="C115" s="57">
        <f>DATA!P41</f>
        <v>25.680000000000003</v>
      </c>
      <c r="D115" s="57">
        <f>DATA!Q41</f>
        <v>27.433999999999997</v>
      </c>
      <c r="E115" s="42">
        <f t="shared" si="25"/>
        <v>77.919000000000011</v>
      </c>
      <c r="F115" s="42">
        <f t="shared" si="26"/>
        <v>25.973000000000003</v>
      </c>
      <c r="G115" s="34" t="s">
        <v>16</v>
      </c>
      <c r="H115" s="31">
        <f>(SQRT((2*J112)/3))*L113</f>
        <v>3.698918872426872</v>
      </c>
      <c r="O115" s="33">
        <v>7</v>
      </c>
      <c r="P115" s="42">
        <f t="shared" si="29"/>
        <v>24.450499999999998</v>
      </c>
      <c r="Q115" s="49">
        <f t="shared" si="30"/>
        <v>6</v>
      </c>
      <c r="R115" s="52">
        <v>6</v>
      </c>
    </row>
    <row r="116" spans="1:18" x14ac:dyDescent="0.25">
      <c r="A116" s="32" t="s">
        <v>97</v>
      </c>
      <c r="B116" s="57">
        <f>DATA!O42</f>
        <v>33.503999999999998</v>
      </c>
      <c r="C116" s="57">
        <f>DATA!P42</f>
        <v>32.299999999999997</v>
      </c>
      <c r="D116" s="57">
        <f>DATA!Q42</f>
        <v>34.692</v>
      </c>
      <c r="E116" s="42">
        <f t="shared" si="25"/>
        <v>100.49600000000001</v>
      </c>
      <c r="F116" s="42">
        <f t="shared" si="26"/>
        <v>33.498666666666672</v>
      </c>
      <c r="G116" s="34" t="s">
        <v>29</v>
      </c>
      <c r="H116" s="31">
        <f>((SQRT(J112))/F123)*100</f>
        <v>8.2269616198986668</v>
      </c>
      <c r="O116" s="33">
        <v>8</v>
      </c>
      <c r="P116" s="42">
        <f t="shared" si="29"/>
        <v>28.951899999999998</v>
      </c>
      <c r="Q116" s="49">
        <f t="shared" si="30"/>
        <v>4</v>
      </c>
      <c r="R116" s="51">
        <v>4</v>
      </c>
    </row>
    <row r="117" spans="1:18" x14ac:dyDescent="0.25">
      <c r="A117" s="32" t="s">
        <v>98</v>
      </c>
      <c r="B117" s="57">
        <f>DATA!O43</f>
        <v>23.560000000000002</v>
      </c>
      <c r="C117" s="57">
        <f>DATA!P43</f>
        <v>17.730000000000004</v>
      </c>
      <c r="D117" s="57">
        <f>DATA!Q43</f>
        <v>24.609000000000002</v>
      </c>
      <c r="E117" s="42">
        <f t="shared" si="25"/>
        <v>65.899000000000001</v>
      </c>
      <c r="F117" s="42">
        <f t="shared" si="26"/>
        <v>21.966333333333335</v>
      </c>
      <c r="O117" s="33">
        <v>9</v>
      </c>
      <c r="P117" s="42">
        <f t="shared" si="29"/>
        <v>21.587333333333333</v>
      </c>
      <c r="Q117" s="49">
        <f t="shared" si="30"/>
        <v>8</v>
      </c>
      <c r="R117" s="52">
        <v>8</v>
      </c>
    </row>
    <row r="118" spans="1:18" x14ac:dyDescent="0.25">
      <c r="A118" s="32" t="s">
        <v>99</v>
      </c>
      <c r="B118" s="57">
        <f>DATA!O44</f>
        <v>29.845000000000006</v>
      </c>
      <c r="C118" s="57">
        <f>DATA!P44</f>
        <v>31.832000000000004</v>
      </c>
      <c r="D118" s="57">
        <f>DATA!Q44</f>
        <v>32.731999999999999</v>
      </c>
      <c r="E118" s="42">
        <f t="shared" si="25"/>
        <v>94.409000000000006</v>
      </c>
      <c r="F118" s="42">
        <f t="shared" si="26"/>
        <v>31.469666666666669</v>
      </c>
      <c r="O118" s="30" t="s">
        <v>14</v>
      </c>
      <c r="P118" s="42">
        <f>SQRT(J112/(3*2))</f>
        <v>0.91005753871336625</v>
      </c>
      <c r="Q118" s="49"/>
    </row>
    <row r="119" spans="1:18" x14ac:dyDescent="0.25">
      <c r="A119" s="32" t="s">
        <v>100</v>
      </c>
      <c r="B119" s="57">
        <f>DATA!O45</f>
        <v>38.663999999999994</v>
      </c>
      <c r="C119" s="57">
        <f>DATA!P45</f>
        <v>34.404000000000003</v>
      </c>
      <c r="D119" s="57">
        <f>DATA!Q45</f>
        <v>37.239999999999995</v>
      </c>
      <c r="E119" s="42">
        <f t="shared" si="25"/>
        <v>110.30799999999999</v>
      </c>
      <c r="F119" s="42">
        <f t="shared" si="26"/>
        <v>36.769333333333329</v>
      </c>
      <c r="N119" s="30" t="s">
        <v>109</v>
      </c>
      <c r="O119" s="30" t="s">
        <v>16</v>
      </c>
      <c r="P119" s="42">
        <f>SQRT((2*J112)/(3*2))*L113</f>
        <v>2.6155306177519391</v>
      </c>
      <c r="Q119" s="49"/>
    </row>
    <row r="120" spans="1:18" x14ac:dyDescent="0.25">
      <c r="A120" s="32" t="s">
        <v>101</v>
      </c>
      <c r="B120" s="57">
        <f>DATA!O46</f>
        <v>24.72</v>
      </c>
      <c r="C120" s="57">
        <f>DATA!P46</f>
        <v>21.623999999999999</v>
      </c>
      <c r="D120" s="57">
        <f>DATA!Q46</f>
        <v>24.696000000000002</v>
      </c>
      <c r="E120" s="42">
        <f t="shared" si="25"/>
        <v>71.039999999999992</v>
      </c>
      <c r="F120" s="42">
        <f>E120/3</f>
        <v>23.679999999999996</v>
      </c>
      <c r="Q120" s="49"/>
    </row>
    <row r="121" spans="1:18" x14ac:dyDescent="0.25">
      <c r="A121" s="32" t="s">
        <v>102</v>
      </c>
      <c r="B121" s="57">
        <f>DATA!O47</f>
        <v>26.124000000000002</v>
      </c>
      <c r="C121" s="57">
        <f>DATA!P47</f>
        <v>27.552</v>
      </c>
      <c r="D121" s="57">
        <f>DATA!Q47</f>
        <v>29.128</v>
      </c>
      <c r="E121" s="42">
        <f t="shared" si="25"/>
        <v>82.804000000000002</v>
      </c>
      <c r="F121" s="42">
        <f t="shared" ref="F121:F122" si="32">E121/3</f>
        <v>27.601333333333333</v>
      </c>
    </row>
    <row r="122" spans="1:18" x14ac:dyDescent="0.25">
      <c r="A122" s="32" t="s">
        <v>103</v>
      </c>
      <c r="B122" s="57">
        <f>DATA!O48</f>
        <v>20.332000000000001</v>
      </c>
      <c r="C122" s="57">
        <f>DATA!P48</f>
        <v>22.23</v>
      </c>
      <c r="D122" s="57">
        <f>DATA!Q48</f>
        <v>17.266999999999999</v>
      </c>
      <c r="E122" s="42">
        <f t="shared" si="25"/>
        <v>59.828999999999994</v>
      </c>
      <c r="F122" s="42">
        <f t="shared" si="32"/>
        <v>19.942999999999998</v>
      </c>
    </row>
    <row r="123" spans="1:18" x14ac:dyDescent="0.25">
      <c r="A123" s="30" t="s">
        <v>4</v>
      </c>
      <c r="B123" s="31">
        <f>SUM(B105:B122)</f>
        <v>480.48540000000003</v>
      </c>
      <c r="C123" s="31">
        <f t="shared" ref="C123:D123" si="33">SUM(C105:C122)</f>
        <v>477.07000000000011</v>
      </c>
      <c r="D123" s="31">
        <f t="shared" si="33"/>
        <v>505.62800000000004</v>
      </c>
      <c r="E123" s="31">
        <f>SUM(E105:E122)</f>
        <v>1463.1833999999999</v>
      </c>
      <c r="F123" s="31">
        <f>AVERAGE(B105:D122)</f>
        <v>27.095988888888883</v>
      </c>
    </row>
    <row r="124" spans="1:18" x14ac:dyDescent="0.25">
      <c r="A124" s="30" t="s">
        <v>5</v>
      </c>
      <c r="B124" s="31">
        <f>B123/18</f>
        <v>26.693633333333334</v>
      </c>
      <c r="C124" s="31">
        <f>C123/18</f>
        <v>26.503888888888895</v>
      </c>
      <c r="D124" s="31">
        <f>D123/18</f>
        <v>28.090444444444447</v>
      </c>
    </row>
    <row r="125" spans="1:18" x14ac:dyDescent="0.25">
      <c r="A125" s="30" t="s">
        <v>26</v>
      </c>
      <c r="B125" s="31">
        <f>(E123*E123)/54</f>
        <v>39646.401148806661</v>
      </c>
      <c r="C125" s="31"/>
      <c r="D125" s="31"/>
    </row>
    <row r="126" spans="1:18" x14ac:dyDescent="0.25">
      <c r="A126" s="30" t="s">
        <v>27</v>
      </c>
      <c r="B126" s="31">
        <f>SUMSQ(B105:D122)-B125</f>
        <v>3265.964524353345</v>
      </c>
      <c r="C126" s="30" t="s">
        <v>28</v>
      </c>
      <c r="D126" s="31">
        <f>(SUMSQ(B123:D123)/18)-B125</f>
        <v>27.025456591130933</v>
      </c>
    </row>
    <row r="127" spans="1:18" x14ac:dyDescent="0.25">
      <c r="A127" s="30" t="s">
        <v>30</v>
      </c>
      <c r="B127" s="31">
        <f>(SUMSQ(E105:E122)/3)-B125</f>
        <v>3069.9853041133319</v>
      </c>
      <c r="C127" s="30" t="s">
        <v>31</v>
      </c>
      <c r="D127" s="31">
        <f>B126-B127-D126</f>
        <v>168.95376364888216</v>
      </c>
    </row>
    <row r="128" spans="1:18" x14ac:dyDescent="0.25">
      <c r="A128" s="50"/>
      <c r="B128" s="39"/>
      <c r="C128" s="50"/>
      <c r="D128" s="39"/>
    </row>
    <row r="129" spans="1:18" x14ac:dyDescent="0.25">
      <c r="A129" s="50"/>
      <c r="B129" s="39"/>
      <c r="C129" s="50"/>
      <c r="D129" s="39"/>
    </row>
    <row r="130" spans="1:18" x14ac:dyDescent="0.25">
      <c r="A130" s="50"/>
      <c r="B130" s="39"/>
      <c r="C130" s="50"/>
      <c r="D130" s="39"/>
    </row>
    <row r="131" spans="1:18" ht="15.75" x14ac:dyDescent="0.25">
      <c r="C131" s="56" t="s">
        <v>118</v>
      </c>
    </row>
    <row r="132" spans="1:18" ht="15.75" x14ac:dyDescent="0.25">
      <c r="C132" s="62" t="s">
        <v>119</v>
      </c>
    </row>
    <row r="133" spans="1:18" x14ac:dyDescent="0.25">
      <c r="A133" s="36" t="s">
        <v>104</v>
      </c>
      <c r="B133" s="38">
        <v>2</v>
      </c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5"/>
      <c r="N133" s="35"/>
      <c r="O133" s="39"/>
      <c r="P133" s="39"/>
    </row>
    <row r="134" spans="1:18" x14ac:dyDescent="0.25">
      <c r="A134" s="36" t="s">
        <v>105</v>
      </c>
      <c r="B134" s="38">
        <v>9</v>
      </c>
      <c r="C134" s="39" t="s">
        <v>107</v>
      </c>
      <c r="D134" s="39">
        <v>18</v>
      </c>
      <c r="E134" s="39"/>
      <c r="F134" s="39"/>
      <c r="G134" s="39"/>
      <c r="H134" s="39"/>
      <c r="I134" s="39"/>
      <c r="J134" s="39"/>
      <c r="K134" s="39"/>
      <c r="L134" s="39"/>
      <c r="M134" s="35"/>
      <c r="N134" s="35"/>
      <c r="O134" s="39"/>
      <c r="P134" s="39"/>
    </row>
    <row r="135" spans="1:18" x14ac:dyDescent="0.25">
      <c r="A135" s="37" t="s">
        <v>106</v>
      </c>
      <c r="B135" s="40">
        <v>3</v>
      </c>
    </row>
    <row r="136" spans="1:18" x14ac:dyDescent="0.25">
      <c r="A136" s="46" t="s">
        <v>0</v>
      </c>
      <c r="B136" s="30" t="s">
        <v>1</v>
      </c>
      <c r="C136" s="30" t="s">
        <v>2</v>
      </c>
      <c r="D136" s="30" t="s">
        <v>3</v>
      </c>
      <c r="E136" s="30" t="s">
        <v>4</v>
      </c>
      <c r="F136" s="30" t="s">
        <v>5</v>
      </c>
      <c r="O136" s="41" t="s">
        <v>7</v>
      </c>
      <c r="R136" s="41"/>
    </row>
    <row r="137" spans="1:18" x14ac:dyDescent="0.25">
      <c r="A137" s="32" t="s">
        <v>86</v>
      </c>
      <c r="B137" s="58">
        <f>B73+B105</f>
        <v>42.972999999999999</v>
      </c>
      <c r="C137" s="58">
        <f t="shared" ref="C137:D137" si="34">C73+C105</f>
        <v>40.152000000000001</v>
      </c>
      <c r="D137" s="58">
        <f t="shared" si="34"/>
        <v>39.697599999999994</v>
      </c>
      <c r="E137" s="31">
        <f>SUM(B137:D137)</f>
        <v>122.82259999999999</v>
      </c>
      <c r="F137" s="31">
        <f>E137/3</f>
        <v>40.940866666666665</v>
      </c>
      <c r="H137" s="47"/>
      <c r="I137" s="47"/>
      <c r="J137" s="47" t="s">
        <v>6</v>
      </c>
      <c r="K137" s="47"/>
      <c r="L137" s="47"/>
      <c r="M137" s="47"/>
      <c r="N137" s="47"/>
      <c r="O137" s="33">
        <v>1</v>
      </c>
      <c r="P137" s="42">
        <f>SUM(F137:F145)/9</f>
        <v>79.987422222222207</v>
      </c>
      <c r="Q137" s="75">
        <f>RANK(P137,P$137:P$138,0)</f>
        <v>1</v>
      </c>
      <c r="R137" s="41"/>
    </row>
    <row r="138" spans="1:18" x14ac:dyDescent="0.25">
      <c r="A138" s="32" t="s">
        <v>87</v>
      </c>
      <c r="B138" s="58">
        <f t="shared" ref="B138:D138" si="35">B74+B106</f>
        <v>75.33</v>
      </c>
      <c r="C138" s="58">
        <f t="shared" si="35"/>
        <v>82.300000000000011</v>
      </c>
      <c r="D138" s="58">
        <f t="shared" si="35"/>
        <v>86.150999999999996</v>
      </c>
      <c r="E138" s="31">
        <f t="shared" ref="E138:E154" si="36">SUM(B138:D138)</f>
        <v>243.78100000000001</v>
      </c>
      <c r="F138" s="31">
        <f t="shared" ref="F138:F151" si="37">E138/3</f>
        <v>81.260333333333335</v>
      </c>
      <c r="G138" s="31"/>
      <c r="H138" s="30" t="s">
        <v>8</v>
      </c>
      <c r="I138" s="30" t="s">
        <v>9</v>
      </c>
      <c r="J138" s="30" t="s">
        <v>10</v>
      </c>
      <c r="K138" s="30" t="s">
        <v>11</v>
      </c>
      <c r="L138" s="30" t="s">
        <v>12</v>
      </c>
      <c r="M138" s="30" t="s">
        <v>112</v>
      </c>
      <c r="N138" s="50"/>
      <c r="O138" s="33">
        <v>2</v>
      </c>
      <c r="P138" s="42">
        <f>SUM(F146:F154)/9</f>
        <v>74.199407407407406</v>
      </c>
      <c r="Q138" s="75">
        <f>RANK(P138,P$137:P$138,0)</f>
        <v>2</v>
      </c>
      <c r="R138" s="41"/>
    </row>
    <row r="139" spans="1:18" x14ac:dyDescent="0.25">
      <c r="A139" s="32" t="s">
        <v>88</v>
      </c>
      <c r="B139" s="58">
        <f t="shared" ref="B139:D139" si="38">B75+B107</f>
        <v>97.224000000000004</v>
      </c>
      <c r="C139" s="58">
        <f t="shared" si="38"/>
        <v>97.426400000000015</v>
      </c>
      <c r="D139" s="58">
        <f t="shared" si="38"/>
        <v>99.835999999999984</v>
      </c>
      <c r="E139" s="31">
        <f t="shared" si="36"/>
        <v>294.4864</v>
      </c>
      <c r="F139" s="31">
        <f t="shared" si="37"/>
        <v>98.16213333333333</v>
      </c>
      <c r="G139" s="31" t="s">
        <v>13</v>
      </c>
      <c r="H139" s="31">
        <f>B135-1</f>
        <v>2</v>
      </c>
      <c r="I139" s="31">
        <f>D158</f>
        <v>3.275669356866274</v>
      </c>
      <c r="J139" s="31">
        <f>I139/H139</f>
        <v>1.637834678433137</v>
      </c>
      <c r="K139" s="31">
        <f>J139/$J$16</f>
        <v>905.68775061895121</v>
      </c>
      <c r="L139" s="31">
        <f>FINV(0.05,H139,$H$16)</f>
        <v>3.275897990672394</v>
      </c>
      <c r="M139" s="31" t="str">
        <f>IF(K139&gt;=L139, "S", "NS")</f>
        <v>S</v>
      </c>
      <c r="N139" s="39"/>
      <c r="O139" s="30" t="s">
        <v>14</v>
      </c>
      <c r="P139" s="42">
        <f>SQRT(J144/(3*9))</f>
        <v>0.76727741536628191</v>
      </c>
      <c r="R139" s="41"/>
    </row>
    <row r="140" spans="1:18" x14ac:dyDescent="0.25">
      <c r="A140" s="32" t="s">
        <v>89</v>
      </c>
      <c r="B140" s="58">
        <f t="shared" ref="B140:D140" si="39">B76+B108</f>
        <v>70.426000000000002</v>
      </c>
      <c r="C140" s="58">
        <f t="shared" si="39"/>
        <v>71.483999999999995</v>
      </c>
      <c r="D140" s="58">
        <f t="shared" si="39"/>
        <v>71.491000000000014</v>
      </c>
      <c r="E140" s="31">
        <f t="shared" si="36"/>
        <v>213.40100000000001</v>
      </c>
      <c r="F140" s="31">
        <f t="shared" si="37"/>
        <v>71.13366666666667</v>
      </c>
      <c r="G140" s="31" t="s">
        <v>15</v>
      </c>
      <c r="H140" s="31">
        <f>D134-1</f>
        <v>17</v>
      </c>
      <c r="I140" s="31">
        <f>B159</f>
        <v>18823.222971534706</v>
      </c>
      <c r="J140" s="31">
        <f t="shared" ref="J140:J144" si="40">I140/H140</f>
        <v>1107.2484100902768</v>
      </c>
      <c r="K140" s="31">
        <f>J140/$J$16</f>
        <v>612284.82649447827</v>
      </c>
      <c r="L140" s="31">
        <f>FINV(0.05,H140,$H$16)</f>
        <v>1.9332068318040869</v>
      </c>
      <c r="M140" s="43" t="str">
        <f t="shared" ref="M140" si="41">IF(K140&gt;=L140, "S", "NS")</f>
        <v>S</v>
      </c>
      <c r="N140" s="30" t="s">
        <v>113</v>
      </c>
      <c r="O140" s="30" t="s">
        <v>16</v>
      </c>
      <c r="P140" s="42">
        <f>SQRT((2*J144)/(3*9))*L145</f>
        <v>2.2051765815130073</v>
      </c>
      <c r="R140" s="41"/>
    </row>
    <row r="141" spans="1:18" x14ac:dyDescent="0.25">
      <c r="A141" s="32" t="s">
        <v>90</v>
      </c>
      <c r="B141" s="58">
        <f t="shared" ref="B141:D141" si="42">B77+B109</f>
        <v>91.746000000000009</v>
      </c>
      <c r="C141" s="58">
        <f t="shared" si="42"/>
        <v>94.228000000000009</v>
      </c>
      <c r="D141" s="58">
        <f t="shared" si="42"/>
        <v>94.365999999999985</v>
      </c>
      <c r="E141" s="31">
        <f t="shared" si="36"/>
        <v>280.34000000000003</v>
      </c>
      <c r="F141" s="31">
        <f t="shared" si="37"/>
        <v>93.446666666666673</v>
      </c>
      <c r="G141" s="31" t="s">
        <v>108</v>
      </c>
      <c r="H141" s="31">
        <f>B133-1</f>
        <v>1</v>
      </c>
      <c r="I141" s="31">
        <f>(SUM(E137:E145)^2+SUM(E146:E154)^2)/27-B157</f>
        <v>452.26505920290947</v>
      </c>
      <c r="J141" s="31">
        <f t="shared" si="40"/>
        <v>452.26505920290947</v>
      </c>
      <c r="K141" s="31">
        <f>J141/$J$16</f>
        <v>250092.96087495919</v>
      </c>
      <c r="L141" s="31">
        <f>FINV(0.05,H141,$H$16)</f>
        <v>4.1300177456520188</v>
      </c>
      <c r="M141" s="31" t="str">
        <f>IF(K141&gt;=L141, "S", "NS")</f>
        <v>S</v>
      </c>
      <c r="N141" s="39"/>
      <c r="O141" s="33">
        <v>1</v>
      </c>
      <c r="P141" s="42">
        <f>(F137+F146)/2</f>
        <v>38.440433333333331</v>
      </c>
      <c r="Q141" s="75">
        <f>RANK(P141,P$141:P$149,0)</f>
        <v>9</v>
      </c>
      <c r="R141" s="51">
        <v>9</v>
      </c>
    </row>
    <row r="142" spans="1:18" x14ac:dyDescent="0.25">
      <c r="A142" s="32" t="s">
        <v>91</v>
      </c>
      <c r="B142" s="58">
        <f t="shared" ref="B142:D142" si="43">B78+B110</f>
        <v>108.57199999999999</v>
      </c>
      <c r="C142" s="58">
        <f t="shared" si="43"/>
        <v>116.976</v>
      </c>
      <c r="D142" s="58">
        <f t="shared" si="43"/>
        <v>102.86399999999999</v>
      </c>
      <c r="E142" s="31">
        <f t="shared" si="36"/>
        <v>328.41199999999998</v>
      </c>
      <c r="F142" s="31">
        <f t="shared" si="37"/>
        <v>109.47066666666666</v>
      </c>
      <c r="G142" s="31" t="s">
        <v>109</v>
      </c>
      <c r="H142" s="31">
        <f>B134-1</f>
        <v>8</v>
      </c>
      <c r="I142" s="31">
        <f>((E137+E146)^2+(E138+E147)^2+(E139+E148)^2+(E140+E149)^2+(E141+E150)^2+(E142+E151)^2+(E143+E152)^2+(E144+E153)^2+(E145+E154)^2/6)-B157</f>
        <v>1588632.3479871545</v>
      </c>
      <c r="J142" s="31">
        <f t="shared" si="40"/>
        <v>198579.04349839431</v>
      </c>
      <c r="K142" s="31">
        <f>J142/$J$16</f>
        <v>109809988.51372522</v>
      </c>
      <c r="L142" s="31">
        <f>FINV(0.05,H142,$H$16)</f>
        <v>2.2253399674380931</v>
      </c>
      <c r="M142" s="31" t="str">
        <f>IF(K142&gt;=L142, "S", "NS")</f>
        <v>S</v>
      </c>
      <c r="N142" s="39"/>
      <c r="O142" s="33">
        <v>2</v>
      </c>
      <c r="P142" s="42">
        <f t="shared" ref="P142:P149" si="44">(F138+F147)/2</f>
        <v>76.958166666666671</v>
      </c>
      <c r="Q142" s="75">
        <f t="shared" ref="Q142:Q149" si="45">RANK(P142,P$141:P$149,0)</f>
        <v>5</v>
      </c>
      <c r="R142" s="52">
        <v>5</v>
      </c>
    </row>
    <row r="143" spans="1:18" x14ac:dyDescent="0.25">
      <c r="A143" s="32" t="s">
        <v>92</v>
      </c>
      <c r="B143" s="58">
        <f t="shared" ref="B143:D143" si="46">B79+B111</f>
        <v>79.099000000000004</v>
      </c>
      <c r="C143" s="58">
        <f t="shared" si="46"/>
        <v>71.870999999999995</v>
      </c>
      <c r="D143" s="58">
        <f t="shared" si="46"/>
        <v>74.200999999999993</v>
      </c>
      <c r="E143" s="31">
        <f t="shared" si="36"/>
        <v>225.17099999999999</v>
      </c>
      <c r="F143" s="31">
        <f t="shared" si="37"/>
        <v>75.057000000000002</v>
      </c>
      <c r="G143" s="26" t="s">
        <v>110</v>
      </c>
      <c r="H143" s="31">
        <f>H141*H142</f>
        <v>8</v>
      </c>
      <c r="I143" s="31">
        <f>I140-(I141+I142)</f>
        <v>-1570261.3900748226</v>
      </c>
      <c r="J143" s="31">
        <f t="shared" si="40"/>
        <v>-196282.67375935282</v>
      </c>
      <c r="K143" s="44">
        <f>J143/$J$16</f>
        <v>-108540144.87753381</v>
      </c>
      <c r="L143" s="31">
        <f>FINV(0.05,H143,$H$16)</f>
        <v>2.2253399674380931</v>
      </c>
      <c r="M143" s="31" t="str">
        <f t="shared" ref="M143" si="47">IF(K143&gt;=L143, "S", "NS")</f>
        <v>NS</v>
      </c>
      <c r="N143" s="39"/>
      <c r="O143" s="33">
        <v>3</v>
      </c>
      <c r="P143" s="42">
        <f t="shared" si="44"/>
        <v>95.985733333333329</v>
      </c>
      <c r="Q143" s="75">
        <f t="shared" si="45"/>
        <v>2</v>
      </c>
      <c r="R143" s="52">
        <v>2</v>
      </c>
    </row>
    <row r="144" spans="1:18" x14ac:dyDescent="0.25">
      <c r="A144" s="32" t="s">
        <v>93</v>
      </c>
      <c r="B144" s="58">
        <f t="shared" ref="B144:D144" si="48">B80+B112</f>
        <v>87.190399999999997</v>
      </c>
      <c r="C144" s="58">
        <f t="shared" si="48"/>
        <v>80.698999999999984</v>
      </c>
      <c r="D144" s="58">
        <f t="shared" si="48"/>
        <v>83.766999999999996</v>
      </c>
      <c r="E144" s="31">
        <f t="shared" si="36"/>
        <v>251.65639999999996</v>
      </c>
      <c r="F144" s="31">
        <f t="shared" si="37"/>
        <v>83.885466666666659</v>
      </c>
      <c r="G144" s="45" t="s">
        <v>23</v>
      </c>
      <c r="H144" s="31">
        <f>((B135-1)*(B133*B134-1))</f>
        <v>34</v>
      </c>
      <c r="I144" s="31">
        <f>D159</f>
        <v>540.44003229640657</v>
      </c>
      <c r="J144" s="31">
        <f t="shared" si="40"/>
        <v>15.895295067541369</v>
      </c>
      <c r="O144" s="33">
        <v>4</v>
      </c>
      <c r="P144" s="42">
        <f t="shared" si="44"/>
        <v>69.22399999999999</v>
      </c>
      <c r="Q144" s="75">
        <f t="shared" si="45"/>
        <v>7</v>
      </c>
      <c r="R144" s="52">
        <v>7</v>
      </c>
    </row>
    <row r="145" spans="1:18" x14ac:dyDescent="0.25">
      <c r="A145" s="32" t="s">
        <v>94</v>
      </c>
      <c r="B145" s="58">
        <f t="shared" ref="B145:D145" si="49">B81+B113</f>
        <v>70.183999999999997</v>
      </c>
      <c r="C145" s="58">
        <f t="shared" si="49"/>
        <v>66.346000000000004</v>
      </c>
      <c r="D145" s="58">
        <f t="shared" si="49"/>
        <v>63.059999999999988</v>
      </c>
      <c r="E145" s="31">
        <f t="shared" si="36"/>
        <v>199.58999999999997</v>
      </c>
      <c r="F145" s="31">
        <f t="shared" si="37"/>
        <v>66.529999999999987</v>
      </c>
      <c r="G145" s="44" t="s">
        <v>4</v>
      </c>
      <c r="H145" s="31">
        <f>SUM(H139:H144)-H140</f>
        <v>53</v>
      </c>
      <c r="I145" s="31">
        <f>B158</f>
        <v>19366.938673187979</v>
      </c>
      <c r="K145" s="31" t="s">
        <v>111</v>
      </c>
      <c r="L145" s="41">
        <f>TINV(0.05,34)</f>
        <v>2.0322445093177191</v>
      </c>
      <c r="O145" s="33">
        <v>5</v>
      </c>
      <c r="P145" s="42">
        <f t="shared" si="44"/>
        <v>88.882833333333338</v>
      </c>
      <c r="Q145" s="75">
        <f t="shared" si="45"/>
        <v>3</v>
      </c>
      <c r="R145" s="51">
        <v>3</v>
      </c>
    </row>
    <row r="146" spans="1:18" x14ac:dyDescent="0.25">
      <c r="A146" s="32" t="s">
        <v>95</v>
      </c>
      <c r="B146" s="58">
        <f t="shared" ref="B146:D146" si="50">B82+B114</f>
        <v>37.994000000000007</v>
      </c>
      <c r="C146" s="58">
        <f t="shared" si="50"/>
        <v>28.915999999999997</v>
      </c>
      <c r="D146" s="58">
        <f t="shared" si="50"/>
        <v>40.910000000000004</v>
      </c>
      <c r="E146" s="31">
        <f t="shared" si="36"/>
        <v>107.82</v>
      </c>
      <c r="F146" s="31">
        <f t="shared" si="37"/>
        <v>35.94</v>
      </c>
      <c r="G146" s="34" t="s">
        <v>14</v>
      </c>
      <c r="H146" s="31">
        <f>SQRT(J144/3)</f>
        <v>2.3018322460988454</v>
      </c>
      <c r="O146" s="33">
        <v>6</v>
      </c>
      <c r="P146" s="42">
        <f t="shared" si="44"/>
        <v>105.48133333333334</v>
      </c>
      <c r="Q146" s="75">
        <f t="shared" si="45"/>
        <v>1</v>
      </c>
      <c r="R146" s="52">
        <v>1</v>
      </c>
    </row>
    <row r="147" spans="1:18" x14ac:dyDescent="0.25">
      <c r="A147" s="32" t="s">
        <v>96</v>
      </c>
      <c r="B147" s="58">
        <f t="shared" ref="B147:D147" si="51">B83+B115</f>
        <v>72.930000000000007</v>
      </c>
      <c r="C147" s="58">
        <f t="shared" si="51"/>
        <v>73</v>
      </c>
      <c r="D147" s="58">
        <f t="shared" si="51"/>
        <v>72.037999999999982</v>
      </c>
      <c r="E147" s="31">
        <f t="shared" si="36"/>
        <v>217.96799999999999</v>
      </c>
      <c r="F147" s="31">
        <f t="shared" si="37"/>
        <v>72.655999999999992</v>
      </c>
      <c r="G147" s="34" t="s">
        <v>16</v>
      </c>
      <c r="H147" s="31">
        <f>(SQRT((2*J144)/3))*L145</f>
        <v>6.6155297445390229</v>
      </c>
      <c r="O147" s="33">
        <v>7</v>
      </c>
      <c r="P147" s="42">
        <f t="shared" si="44"/>
        <v>72.376833333333337</v>
      </c>
      <c r="Q147" s="75">
        <f t="shared" si="45"/>
        <v>6</v>
      </c>
      <c r="R147" s="52">
        <v>6</v>
      </c>
    </row>
    <row r="148" spans="1:18" x14ac:dyDescent="0.25">
      <c r="A148" s="32" t="s">
        <v>97</v>
      </c>
      <c r="B148" s="58">
        <f t="shared" ref="B148:D148" si="52">B84+B116</f>
        <v>98.512</v>
      </c>
      <c r="C148" s="58">
        <f t="shared" si="52"/>
        <v>92.671999999999997</v>
      </c>
      <c r="D148" s="58">
        <f t="shared" si="52"/>
        <v>90.244</v>
      </c>
      <c r="E148" s="31">
        <f t="shared" si="36"/>
        <v>281.428</v>
      </c>
      <c r="F148" s="31">
        <f t="shared" si="37"/>
        <v>93.809333333333328</v>
      </c>
      <c r="G148" s="34" t="s">
        <v>29</v>
      </c>
      <c r="H148" s="31">
        <f>((SQRT(J144))/F155)*100</f>
        <v>5.171505776881788</v>
      </c>
      <c r="O148" s="33">
        <v>8</v>
      </c>
      <c r="P148" s="42">
        <f t="shared" si="44"/>
        <v>81.69223333333332</v>
      </c>
      <c r="Q148" s="75">
        <f t="shared" si="45"/>
        <v>4</v>
      </c>
      <c r="R148" s="51">
        <v>4</v>
      </c>
    </row>
    <row r="149" spans="1:18" x14ac:dyDescent="0.25">
      <c r="A149" s="32" t="s">
        <v>98</v>
      </c>
      <c r="B149" s="58">
        <f t="shared" ref="B149:D149" si="53">B85+B117</f>
        <v>69.56</v>
      </c>
      <c r="C149" s="58">
        <f t="shared" si="53"/>
        <v>60.81</v>
      </c>
      <c r="D149" s="58">
        <f t="shared" si="53"/>
        <v>71.572999999999993</v>
      </c>
      <c r="E149" s="31">
        <f t="shared" si="36"/>
        <v>201.94299999999998</v>
      </c>
      <c r="F149" s="31">
        <f t="shared" si="37"/>
        <v>67.314333333333323</v>
      </c>
      <c r="O149" s="33">
        <v>9</v>
      </c>
      <c r="P149" s="42">
        <f t="shared" si="44"/>
        <v>64.79916666666665</v>
      </c>
      <c r="Q149" s="75">
        <f t="shared" si="45"/>
        <v>8</v>
      </c>
      <c r="R149" s="52">
        <v>8</v>
      </c>
    </row>
    <row r="150" spans="1:18" x14ac:dyDescent="0.25">
      <c r="A150" s="32" t="s">
        <v>99</v>
      </c>
      <c r="B150" s="58">
        <f t="shared" ref="B150:D150" si="54">B86+B118</f>
        <v>78.754999999999995</v>
      </c>
      <c r="C150" s="58">
        <f t="shared" si="54"/>
        <v>87.920000000000016</v>
      </c>
      <c r="D150" s="58">
        <f t="shared" si="54"/>
        <v>86.281999999999996</v>
      </c>
      <c r="E150" s="31">
        <f t="shared" si="36"/>
        <v>252.95699999999999</v>
      </c>
      <c r="F150" s="31">
        <f t="shared" si="37"/>
        <v>84.319000000000003</v>
      </c>
      <c r="O150" s="30" t="s">
        <v>14</v>
      </c>
      <c r="P150" s="42">
        <f>SQRT(J144/(3*2))</f>
        <v>1.6276411903703556</v>
      </c>
      <c r="Q150" s="49"/>
    </row>
    <row r="151" spans="1:18" x14ac:dyDescent="0.25">
      <c r="A151" s="32" t="s">
        <v>100</v>
      </c>
      <c r="B151" s="58">
        <f t="shared" ref="B151:D151" si="55">B87+B119</f>
        <v>102.31199999999998</v>
      </c>
      <c r="C151" s="58">
        <f t="shared" si="55"/>
        <v>104.50799999999998</v>
      </c>
      <c r="D151" s="58">
        <f t="shared" si="55"/>
        <v>97.656000000000006</v>
      </c>
      <c r="E151" s="31">
        <f t="shared" si="36"/>
        <v>304.476</v>
      </c>
      <c r="F151" s="31">
        <f t="shared" si="37"/>
        <v>101.492</v>
      </c>
      <c r="N151" s="30" t="s">
        <v>109</v>
      </c>
      <c r="O151" s="30" t="s">
        <v>16</v>
      </c>
      <c r="P151" s="42">
        <f>SQRT((2*J144)/(3*2))*L145</f>
        <v>4.677885943504851</v>
      </c>
      <c r="Q151" s="49"/>
    </row>
    <row r="152" spans="1:18" x14ac:dyDescent="0.25">
      <c r="A152" s="32" t="s">
        <v>101</v>
      </c>
      <c r="B152" s="58">
        <f t="shared" ref="B152:D152" si="56">B88+B120</f>
        <v>72.47399999999999</v>
      </c>
      <c r="C152" s="58">
        <f t="shared" si="56"/>
        <v>68.495999999999995</v>
      </c>
      <c r="D152" s="58">
        <f t="shared" si="56"/>
        <v>68.11999999999999</v>
      </c>
      <c r="E152" s="31">
        <f t="shared" si="36"/>
        <v>209.08999999999997</v>
      </c>
      <c r="F152" s="31">
        <f>E152/3</f>
        <v>69.696666666666658</v>
      </c>
      <c r="Q152" s="49"/>
    </row>
    <row r="153" spans="1:18" x14ac:dyDescent="0.25">
      <c r="A153" s="32" t="s">
        <v>102</v>
      </c>
      <c r="B153" s="58">
        <f t="shared" ref="B153:D153" si="57">B89+B121</f>
        <v>76.430999999999983</v>
      </c>
      <c r="C153" s="58">
        <f t="shared" si="57"/>
        <v>79.801999999999992</v>
      </c>
      <c r="D153" s="58">
        <f t="shared" si="57"/>
        <v>82.26400000000001</v>
      </c>
      <c r="E153" s="31">
        <f t="shared" si="36"/>
        <v>238.49699999999999</v>
      </c>
      <c r="F153" s="31">
        <f t="shared" ref="F153:F154" si="58">E153/3</f>
        <v>79.498999999999995</v>
      </c>
    </row>
    <row r="154" spans="1:18" x14ac:dyDescent="0.25">
      <c r="A154" s="32" t="s">
        <v>103</v>
      </c>
      <c r="B154" s="58">
        <f t="shared" ref="B154:D154" si="59">B90+B122</f>
        <v>62.091999999999999</v>
      </c>
      <c r="C154" s="58">
        <f t="shared" si="59"/>
        <v>65.846000000000004</v>
      </c>
      <c r="D154" s="58">
        <f t="shared" si="59"/>
        <v>61.266999999999996</v>
      </c>
      <c r="E154" s="31">
        <f t="shared" si="36"/>
        <v>189.20499999999998</v>
      </c>
      <c r="F154" s="31">
        <f t="shared" si="58"/>
        <v>63.068333333333328</v>
      </c>
    </row>
    <row r="155" spans="1:18" x14ac:dyDescent="0.25">
      <c r="A155" s="30" t="s">
        <v>4</v>
      </c>
      <c r="B155" s="31">
        <f>SUM(B137:B154)</f>
        <v>1393.8043999999998</v>
      </c>
      <c r="C155" s="31">
        <f t="shared" ref="C155:D155" si="60">SUM(C137:C154)</f>
        <v>1383.4524000000001</v>
      </c>
      <c r="D155" s="31">
        <f t="shared" si="60"/>
        <v>1385.7875999999999</v>
      </c>
      <c r="E155" s="31">
        <f>SUM(E137:E154)</f>
        <v>4163.0444000000007</v>
      </c>
      <c r="F155" s="31">
        <f>AVERAGE(B137:D154)</f>
        <v>77.093414814814821</v>
      </c>
    </row>
    <row r="156" spans="1:18" x14ac:dyDescent="0.25">
      <c r="A156" s="30" t="s">
        <v>5</v>
      </c>
      <c r="B156" s="31">
        <f>B155/18</f>
        <v>77.433577777777771</v>
      </c>
      <c r="C156" s="31">
        <f>C155/18</f>
        <v>76.858466666666672</v>
      </c>
      <c r="D156" s="31">
        <f>D155/18</f>
        <v>76.988199999999992</v>
      </c>
    </row>
    <row r="157" spans="1:18" x14ac:dyDescent="0.25">
      <c r="A157" s="30" t="s">
        <v>26</v>
      </c>
      <c r="B157" s="31">
        <f>(E155*E155)/54</f>
        <v>320943.30882169196</v>
      </c>
      <c r="C157" s="31"/>
      <c r="D157" s="31"/>
    </row>
    <row r="158" spans="1:18" x14ac:dyDescent="0.25">
      <c r="A158" s="30" t="s">
        <v>27</v>
      </c>
      <c r="B158" s="31">
        <f>SUMSQ(B137:D154)-B157</f>
        <v>19366.938673187979</v>
      </c>
      <c r="C158" s="30" t="s">
        <v>28</v>
      </c>
      <c r="D158" s="31">
        <f>(SUMSQ(B155:D155)/18)-B157</f>
        <v>3.275669356866274</v>
      </c>
    </row>
    <row r="159" spans="1:18" x14ac:dyDescent="0.25">
      <c r="A159" s="30" t="s">
        <v>30</v>
      </c>
      <c r="B159" s="31">
        <f>(SUMSQ(E137:E154)/3)-B157</f>
        <v>18823.222971534706</v>
      </c>
      <c r="C159" s="30" t="s">
        <v>31</v>
      </c>
      <c r="D159" s="31">
        <f>B158-B159-D158</f>
        <v>540.44003229640657</v>
      </c>
    </row>
    <row r="160" spans="1:18" x14ac:dyDescent="0.25">
      <c r="A160" s="50"/>
      <c r="B160" s="39"/>
      <c r="C160" s="50"/>
      <c r="D160" s="39"/>
    </row>
    <row r="164" spans="1:21" x14ac:dyDescent="0.25">
      <c r="C164" s="63">
        <v>2020</v>
      </c>
    </row>
    <row r="165" spans="1:21" ht="15.75" x14ac:dyDescent="0.25">
      <c r="C165" s="56" t="s">
        <v>115</v>
      </c>
    </row>
    <row r="166" spans="1:21" x14ac:dyDescent="0.25">
      <c r="C166" s="48" t="s">
        <v>116</v>
      </c>
    </row>
    <row r="167" spans="1:21" x14ac:dyDescent="0.25">
      <c r="A167" s="36" t="s">
        <v>104</v>
      </c>
      <c r="B167" s="38">
        <v>2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5"/>
      <c r="N167" s="35"/>
      <c r="O167" s="39"/>
      <c r="P167" s="39"/>
    </row>
    <row r="168" spans="1:21" x14ac:dyDescent="0.25">
      <c r="A168" s="36" t="s">
        <v>105</v>
      </c>
      <c r="B168" s="38">
        <v>9</v>
      </c>
      <c r="C168" s="39" t="s">
        <v>107</v>
      </c>
      <c r="D168" s="39">
        <v>18</v>
      </c>
      <c r="E168" s="39"/>
      <c r="F168" s="39"/>
      <c r="G168" s="39"/>
      <c r="H168" s="39"/>
      <c r="I168" s="39"/>
      <c r="J168" s="39"/>
      <c r="K168" s="39"/>
      <c r="L168" s="39"/>
      <c r="M168" s="35"/>
      <c r="N168" s="35"/>
      <c r="O168" s="39"/>
      <c r="P168" s="39"/>
    </row>
    <row r="169" spans="1:21" x14ac:dyDescent="0.25">
      <c r="A169" s="37" t="s">
        <v>106</v>
      </c>
      <c r="B169" s="40">
        <v>3</v>
      </c>
    </row>
    <row r="170" spans="1:21" x14ac:dyDescent="0.25">
      <c r="A170" s="46" t="s">
        <v>0</v>
      </c>
      <c r="B170" s="30" t="s">
        <v>1</v>
      </c>
      <c r="C170" s="30" t="s">
        <v>2</v>
      </c>
      <c r="D170" s="30" t="s">
        <v>3</v>
      </c>
      <c r="E170" s="30" t="s">
        <v>4</v>
      </c>
      <c r="F170" s="30" t="s">
        <v>5</v>
      </c>
      <c r="O170" s="41" t="s">
        <v>7</v>
      </c>
      <c r="S170" s="53"/>
      <c r="T170" s="53"/>
      <c r="U170" s="53"/>
    </row>
    <row r="171" spans="1:21" x14ac:dyDescent="0.25">
      <c r="A171" s="32" t="s">
        <v>86</v>
      </c>
      <c r="B171" s="55">
        <v>1.17</v>
      </c>
      <c r="C171" s="55">
        <v>1.1499999999999999</v>
      </c>
      <c r="D171" s="55">
        <v>1.19</v>
      </c>
      <c r="E171" s="42">
        <f t="shared" ref="E171:E188" si="61">SUM(B171:D171)</f>
        <v>3.51</v>
      </c>
      <c r="F171" s="42">
        <f>E171/3</f>
        <v>1.17</v>
      </c>
      <c r="H171" s="47"/>
      <c r="I171" s="47"/>
      <c r="J171" s="47" t="s">
        <v>6</v>
      </c>
      <c r="K171" s="47"/>
      <c r="L171" s="47"/>
      <c r="M171" s="47"/>
      <c r="N171" s="47"/>
      <c r="O171" s="33">
        <v>1</v>
      </c>
      <c r="P171" s="42">
        <f>SUM(F171:F179)/9</f>
        <v>1.2837037037037036</v>
      </c>
      <c r="Q171" s="75">
        <f>RANK(P171,P$171:P$172,0)</f>
        <v>1</v>
      </c>
      <c r="S171" s="53"/>
      <c r="T171" s="53"/>
      <c r="U171" s="53"/>
    </row>
    <row r="172" spans="1:21" x14ac:dyDescent="0.25">
      <c r="A172" s="32" t="s">
        <v>87</v>
      </c>
      <c r="B172" s="55">
        <v>1.28</v>
      </c>
      <c r="C172" s="55">
        <v>1.26</v>
      </c>
      <c r="D172" s="55">
        <v>1.25</v>
      </c>
      <c r="E172" s="42">
        <f t="shared" si="61"/>
        <v>3.79</v>
      </c>
      <c r="F172" s="42">
        <f t="shared" ref="F172:F185" si="62">E172/3</f>
        <v>1.2633333333333334</v>
      </c>
      <c r="G172" s="31"/>
      <c r="H172" s="30" t="s">
        <v>8</v>
      </c>
      <c r="I172" s="30" t="s">
        <v>9</v>
      </c>
      <c r="J172" s="30" t="s">
        <v>10</v>
      </c>
      <c r="K172" s="30" t="s">
        <v>11</v>
      </c>
      <c r="L172" s="30" t="s">
        <v>12</v>
      </c>
      <c r="M172" s="30" t="s">
        <v>112</v>
      </c>
      <c r="N172" s="50"/>
      <c r="O172" s="33">
        <v>2</v>
      </c>
      <c r="P172" s="42">
        <f>SUM(F180:F188)/9</f>
        <v>1.2511111111111113</v>
      </c>
      <c r="Q172" s="75">
        <f>RANK(P172,P$171:P$172,0)</f>
        <v>2</v>
      </c>
      <c r="S172" s="53"/>
      <c r="T172" s="53"/>
      <c r="U172" s="53"/>
    </row>
    <row r="173" spans="1:21" x14ac:dyDescent="0.25">
      <c r="A173" s="32" t="s">
        <v>88</v>
      </c>
      <c r="B173" s="55">
        <v>1.32</v>
      </c>
      <c r="C173" s="55">
        <v>1.34</v>
      </c>
      <c r="D173" s="55">
        <v>1.35</v>
      </c>
      <c r="E173" s="42">
        <f t="shared" si="61"/>
        <v>4.01</v>
      </c>
      <c r="F173" s="42">
        <f t="shared" si="62"/>
        <v>1.3366666666666667</v>
      </c>
      <c r="G173" s="31" t="s">
        <v>13</v>
      </c>
      <c r="H173" s="31">
        <f>B169-1</f>
        <v>2</v>
      </c>
      <c r="I173" s="31">
        <f>D192</f>
        <v>7.5703703703737801E-3</v>
      </c>
      <c r="J173" s="31">
        <f>I173/H173</f>
        <v>3.7851851851868901E-3</v>
      </c>
      <c r="K173" s="31">
        <f>J173/$J$16</f>
        <v>2.0931269200672538</v>
      </c>
      <c r="L173" s="31">
        <f>FINV(0.05,H173,$H$16)</f>
        <v>3.275897990672394</v>
      </c>
      <c r="M173" s="31" t="str">
        <f>IF(K173&gt;=L173, "S", "NS")</f>
        <v>NS</v>
      </c>
      <c r="N173" s="39"/>
      <c r="O173" s="30" t="s">
        <v>14</v>
      </c>
      <c r="P173" s="42">
        <f>SQRT(J178/(3*9))</f>
        <v>9.2823242136013968E-3</v>
      </c>
      <c r="Q173" s="41"/>
      <c r="S173" s="53"/>
      <c r="T173" s="53"/>
      <c r="U173" s="53"/>
    </row>
    <row r="174" spans="1:21" x14ac:dyDescent="0.25">
      <c r="A174" s="32" t="s">
        <v>89</v>
      </c>
      <c r="B174" s="55">
        <v>1.28</v>
      </c>
      <c r="C174" s="55">
        <v>1.25</v>
      </c>
      <c r="D174" s="55">
        <v>1.28</v>
      </c>
      <c r="E174" s="42">
        <f t="shared" si="61"/>
        <v>3.8100000000000005</v>
      </c>
      <c r="F174" s="42">
        <f t="shared" si="62"/>
        <v>1.2700000000000002</v>
      </c>
      <c r="G174" s="31" t="s">
        <v>15</v>
      </c>
      <c r="H174" s="31">
        <f>D168-1</f>
        <v>17</v>
      </c>
      <c r="I174" s="31">
        <f>B193</f>
        <v>0.17877037037035848</v>
      </c>
      <c r="J174" s="31">
        <f t="shared" ref="J174:J178" si="63">I174/H174</f>
        <v>1.0515904139432852E-2</v>
      </c>
      <c r="K174" s="31">
        <f>J174/$J$16</f>
        <v>5.8150713812451924</v>
      </c>
      <c r="L174" s="31">
        <f>FINV(0.05,H174,$H$16)</f>
        <v>1.9332068318040869</v>
      </c>
      <c r="M174" s="43" t="str">
        <f t="shared" ref="M174" si="64">IF(K174&gt;=L174, "S", "NS")</f>
        <v>S</v>
      </c>
      <c r="N174" s="30" t="s">
        <v>113</v>
      </c>
      <c r="O174" s="30" t="s">
        <v>16</v>
      </c>
      <c r="P174" s="42">
        <f>SQRT((2*J178)/(3*9))*L179</f>
        <v>2.6677657347796955E-2</v>
      </c>
      <c r="Q174" s="41"/>
      <c r="S174" s="53"/>
      <c r="T174" s="53"/>
      <c r="U174" s="53"/>
    </row>
    <row r="175" spans="1:21" x14ac:dyDescent="0.25">
      <c r="A175" s="32" t="s">
        <v>90</v>
      </c>
      <c r="B175" s="55">
        <v>1.27</v>
      </c>
      <c r="C175" s="55">
        <v>1.3199999999999998</v>
      </c>
      <c r="D175" s="55">
        <v>1.35</v>
      </c>
      <c r="E175" s="42">
        <f t="shared" si="61"/>
        <v>3.94</v>
      </c>
      <c r="F175" s="42">
        <f t="shared" si="62"/>
        <v>1.3133333333333332</v>
      </c>
      <c r="G175" s="31" t="s">
        <v>108</v>
      </c>
      <c r="H175" s="31">
        <f>B167-1</f>
        <v>1</v>
      </c>
      <c r="I175" s="31">
        <f>(SUM(E171:E179)^2+SUM(E180:E188)^2)/27-B191</f>
        <v>1.4340740740735214E-2</v>
      </c>
      <c r="J175" s="31">
        <f t="shared" si="63"/>
        <v>1.4340740740735214E-2</v>
      </c>
      <c r="K175" s="31">
        <f>J175/$J$16</f>
        <v>7.9301246912853545</v>
      </c>
      <c r="L175" s="31">
        <f>FINV(0.05,H175,$H$16)</f>
        <v>4.1300177456520188</v>
      </c>
      <c r="M175" s="31" t="str">
        <f>IF(K175&gt;=L175, "S", "NS")</f>
        <v>S</v>
      </c>
      <c r="N175" s="39"/>
      <c r="O175" s="33">
        <v>1</v>
      </c>
      <c r="P175" s="42">
        <f>(F171+F180)/2</f>
        <v>1.1633333333333331</v>
      </c>
      <c r="Q175" s="75">
        <f>RANK(P175,P$175:P$183,0)</f>
        <v>9</v>
      </c>
      <c r="R175" s="51">
        <v>9</v>
      </c>
      <c r="S175" s="54"/>
      <c r="T175" s="54"/>
      <c r="U175" s="54"/>
    </row>
    <row r="176" spans="1:21" x14ac:dyDescent="0.25">
      <c r="A176" s="32" t="s">
        <v>91</v>
      </c>
      <c r="B176" s="55">
        <v>1.36</v>
      </c>
      <c r="C176" s="55">
        <v>1.44</v>
      </c>
      <c r="D176" s="55">
        <v>1.3599999999999999</v>
      </c>
      <c r="E176" s="42">
        <f t="shared" si="61"/>
        <v>4.16</v>
      </c>
      <c r="F176" s="42">
        <f t="shared" si="62"/>
        <v>1.3866666666666667</v>
      </c>
      <c r="G176" s="31" t="s">
        <v>109</v>
      </c>
      <c r="H176" s="31">
        <f>B168-1</f>
        <v>8</v>
      </c>
      <c r="I176" s="31">
        <f>((E171+E180)^2+(E172+E181)^2+(E173+E182)^2+(E174+E183)^2+(E175+E184)^2+(E176+E185)^2+(E177+E186)^2+(E178+E187)^2+(E179+E188)^2/6)-B191</f>
        <v>389.15975370370364</v>
      </c>
      <c r="J176" s="31">
        <f t="shared" si="63"/>
        <v>48.644969212962955</v>
      </c>
      <c r="K176" s="31">
        <f>J176/$J$16</f>
        <v>26899.633598895703</v>
      </c>
      <c r="L176" s="31">
        <f>FINV(0.05,H176,$H$16)</f>
        <v>2.2253399674380931</v>
      </c>
      <c r="M176" s="31" t="str">
        <f>IF(K176&gt;=L176, "S", "NS")</f>
        <v>S</v>
      </c>
      <c r="N176" s="39"/>
      <c r="O176" s="33">
        <v>2</v>
      </c>
      <c r="P176" s="42">
        <f t="shared" ref="P176:P183" si="65">(F172+F181)/2</f>
        <v>1.2633333333333334</v>
      </c>
      <c r="Q176" s="75">
        <f t="shared" ref="Q176:Q183" si="66">RANK(P176,P$175:P$183,0)</f>
        <v>5</v>
      </c>
      <c r="R176" s="52">
        <v>5</v>
      </c>
      <c r="S176" s="53"/>
      <c r="T176" s="53"/>
      <c r="U176" s="53"/>
    </row>
    <row r="177" spans="1:21" x14ac:dyDescent="0.25">
      <c r="A177" s="32" t="s">
        <v>92</v>
      </c>
      <c r="B177" s="55">
        <v>1.34</v>
      </c>
      <c r="C177" s="55">
        <v>1.28</v>
      </c>
      <c r="D177" s="55">
        <v>1.21</v>
      </c>
      <c r="E177" s="42">
        <f t="shared" si="61"/>
        <v>3.83</v>
      </c>
      <c r="F177" s="42">
        <f t="shared" si="62"/>
        <v>1.2766666666666666</v>
      </c>
      <c r="G177" s="26" t="s">
        <v>110</v>
      </c>
      <c r="H177" s="31">
        <f>H175*H176</f>
        <v>8</v>
      </c>
      <c r="I177" s="31">
        <f>I174-(I175+I176)</f>
        <v>-388.99532407407401</v>
      </c>
      <c r="J177" s="31">
        <f t="shared" si="63"/>
        <v>-48.624415509259251</v>
      </c>
      <c r="K177" s="44">
        <f>J177/$J$16</f>
        <v>-26888.267837796968</v>
      </c>
      <c r="L177" s="31">
        <f>FINV(0.05,H177,$H$16)</f>
        <v>2.2253399674380931</v>
      </c>
      <c r="M177" s="31" t="str">
        <f t="shared" ref="M177" si="67">IF(K177&gt;=L177, "S", "NS")</f>
        <v>NS</v>
      </c>
      <c r="N177" s="39"/>
      <c r="O177" s="33">
        <v>3</v>
      </c>
      <c r="P177" s="42">
        <f t="shared" si="65"/>
        <v>1.32</v>
      </c>
      <c r="Q177" s="75">
        <f t="shared" si="66"/>
        <v>2</v>
      </c>
      <c r="R177" s="52">
        <v>2</v>
      </c>
      <c r="S177" s="53"/>
      <c r="T177" s="53"/>
      <c r="U177" s="53"/>
    </row>
    <row r="178" spans="1:21" x14ac:dyDescent="0.25">
      <c r="A178" s="32" t="s">
        <v>93</v>
      </c>
      <c r="B178" s="55">
        <v>1.32</v>
      </c>
      <c r="C178" s="55">
        <v>1.25</v>
      </c>
      <c r="D178" s="55">
        <v>1.27</v>
      </c>
      <c r="E178" s="42">
        <f t="shared" si="61"/>
        <v>3.8400000000000003</v>
      </c>
      <c r="F178" s="42">
        <f t="shared" si="62"/>
        <v>1.28</v>
      </c>
      <c r="G178" s="45" t="s">
        <v>23</v>
      </c>
      <c r="H178" s="31">
        <f>((B169-1)*(B167*B168-1))</f>
        <v>34</v>
      </c>
      <c r="I178" s="31">
        <f>D193</f>
        <v>7.9096296296285118E-2</v>
      </c>
      <c r="J178" s="31">
        <f t="shared" si="63"/>
        <v>2.3263616557730915E-3</v>
      </c>
      <c r="O178" s="33">
        <v>4</v>
      </c>
      <c r="P178" s="42">
        <f t="shared" si="65"/>
        <v>1.2433333333333334</v>
      </c>
      <c r="Q178" s="75">
        <f t="shared" si="66"/>
        <v>7</v>
      </c>
      <c r="R178" s="52">
        <v>7</v>
      </c>
      <c r="S178" s="53"/>
      <c r="T178" s="53"/>
      <c r="U178" s="53"/>
    </row>
    <row r="179" spans="1:21" x14ac:dyDescent="0.25">
      <c r="A179" s="32" t="s">
        <v>94</v>
      </c>
      <c r="B179" s="55">
        <v>1.24</v>
      </c>
      <c r="C179" s="55">
        <v>1.28</v>
      </c>
      <c r="D179" s="55">
        <v>1.25</v>
      </c>
      <c r="E179" s="42">
        <f t="shared" si="61"/>
        <v>3.77</v>
      </c>
      <c r="F179" s="42">
        <f t="shared" si="62"/>
        <v>1.2566666666666666</v>
      </c>
      <c r="G179" s="44" t="s">
        <v>4</v>
      </c>
      <c r="H179" s="31">
        <f>SUM(H173:H178)-H174</f>
        <v>53</v>
      </c>
      <c r="I179" s="31">
        <f>B192</f>
        <v>0.26543703703701738</v>
      </c>
      <c r="K179" s="31" t="s">
        <v>111</v>
      </c>
      <c r="L179" s="41">
        <f>TINV(0.05,34)</f>
        <v>2.0322445093177191</v>
      </c>
      <c r="O179" s="33">
        <v>5</v>
      </c>
      <c r="P179" s="42">
        <f t="shared" si="65"/>
        <v>1.3016666666666667</v>
      </c>
      <c r="Q179" s="75">
        <f t="shared" si="66"/>
        <v>3</v>
      </c>
      <c r="R179" s="51">
        <v>3</v>
      </c>
      <c r="S179" s="60"/>
      <c r="T179" s="60"/>
      <c r="U179" s="60"/>
    </row>
    <row r="180" spans="1:21" x14ac:dyDescent="0.25">
      <c r="A180" s="32" t="s">
        <v>95</v>
      </c>
      <c r="B180" s="55">
        <v>1.08</v>
      </c>
      <c r="C180" s="55">
        <v>1.17</v>
      </c>
      <c r="D180" s="55">
        <v>1.22</v>
      </c>
      <c r="E180" s="42">
        <f t="shared" si="61"/>
        <v>3.4699999999999998</v>
      </c>
      <c r="F180" s="42">
        <f t="shared" si="62"/>
        <v>1.1566666666666665</v>
      </c>
      <c r="G180" s="34" t="s">
        <v>14</v>
      </c>
      <c r="H180" s="31">
        <f>SQRT(J178/3)</f>
        <v>2.7846972640804192E-2</v>
      </c>
      <c r="O180" s="33">
        <v>6</v>
      </c>
      <c r="P180" s="42">
        <f t="shared" si="65"/>
        <v>1.3666666666666667</v>
      </c>
      <c r="Q180" s="75">
        <f t="shared" si="66"/>
        <v>1</v>
      </c>
      <c r="R180" s="52">
        <v>1</v>
      </c>
      <c r="S180" s="60"/>
      <c r="T180" s="60"/>
      <c r="U180" s="60"/>
    </row>
    <row r="181" spans="1:21" x14ac:dyDescent="0.25">
      <c r="A181" s="32" t="s">
        <v>96</v>
      </c>
      <c r="B181" s="55">
        <v>1.26</v>
      </c>
      <c r="C181" s="55">
        <v>1.35</v>
      </c>
      <c r="D181" s="55">
        <v>1.18</v>
      </c>
      <c r="E181" s="42">
        <f t="shared" si="61"/>
        <v>3.79</v>
      </c>
      <c r="F181" s="42">
        <f t="shared" si="62"/>
        <v>1.2633333333333334</v>
      </c>
      <c r="G181" s="34" t="s">
        <v>16</v>
      </c>
      <c r="H181" s="31">
        <f>(SQRT((2*J178)/3))*L179</f>
        <v>8.0032972043390868E-2</v>
      </c>
      <c r="K181" s="38"/>
      <c r="L181" s="96"/>
      <c r="O181" s="33">
        <v>7</v>
      </c>
      <c r="P181" s="42">
        <f t="shared" si="65"/>
        <v>1.2516666666666665</v>
      </c>
      <c r="Q181" s="75">
        <f t="shared" si="66"/>
        <v>6</v>
      </c>
      <c r="R181" s="52">
        <v>6</v>
      </c>
      <c r="S181" s="60"/>
      <c r="T181" s="60"/>
      <c r="U181" s="60"/>
    </row>
    <row r="182" spans="1:21" x14ac:dyDescent="0.25">
      <c r="A182" s="32" t="s">
        <v>97</v>
      </c>
      <c r="B182" s="55">
        <v>1.38</v>
      </c>
      <c r="C182" s="55">
        <v>1.29</v>
      </c>
      <c r="D182" s="55">
        <v>1.24</v>
      </c>
      <c r="E182" s="42">
        <f t="shared" si="61"/>
        <v>3.91</v>
      </c>
      <c r="F182" s="42">
        <f t="shared" si="62"/>
        <v>1.3033333333333335</v>
      </c>
      <c r="G182" s="34" t="s">
        <v>29</v>
      </c>
      <c r="H182" s="31">
        <f>((SQRT(J178))/F189)*100</f>
        <v>3.8055933055904143</v>
      </c>
      <c r="K182" s="38"/>
      <c r="L182" s="96"/>
      <c r="O182" s="33">
        <v>8</v>
      </c>
      <c r="P182" s="42">
        <f t="shared" si="65"/>
        <v>1.2650000000000001</v>
      </c>
      <c r="Q182" s="75">
        <f t="shared" si="66"/>
        <v>4</v>
      </c>
      <c r="R182" s="51">
        <v>4</v>
      </c>
      <c r="S182" s="60"/>
      <c r="T182" s="60"/>
      <c r="U182" s="60"/>
    </row>
    <row r="183" spans="1:21" x14ac:dyDescent="0.25">
      <c r="A183" s="32" t="s">
        <v>98</v>
      </c>
      <c r="B183" s="55">
        <v>1.25</v>
      </c>
      <c r="C183" s="55">
        <v>1.22</v>
      </c>
      <c r="D183" s="55">
        <v>1.18</v>
      </c>
      <c r="E183" s="42">
        <f t="shared" si="61"/>
        <v>3.6499999999999995</v>
      </c>
      <c r="F183" s="42">
        <f t="shared" si="62"/>
        <v>1.2166666666666666</v>
      </c>
      <c r="K183" s="50"/>
      <c r="L183" s="96"/>
      <c r="O183" s="33">
        <v>9</v>
      </c>
      <c r="P183" s="42">
        <f t="shared" si="65"/>
        <v>1.2316666666666667</v>
      </c>
      <c r="Q183" s="75">
        <f t="shared" si="66"/>
        <v>8</v>
      </c>
      <c r="R183" s="52">
        <v>8</v>
      </c>
      <c r="S183" s="60"/>
      <c r="T183" s="60"/>
      <c r="U183" s="60"/>
    </row>
    <row r="184" spans="1:21" x14ac:dyDescent="0.25">
      <c r="A184" s="32" t="s">
        <v>99</v>
      </c>
      <c r="B184" s="55">
        <v>1.38</v>
      </c>
      <c r="C184" s="55">
        <v>1.23</v>
      </c>
      <c r="D184" s="55">
        <v>1.26</v>
      </c>
      <c r="E184" s="42">
        <f t="shared" si="61"/>
        <v>3.87</v>
      </c>
      <c r="F184" s="42">
        <f t="shared" si="62"/>
        <v>1.29</v>
      </c>
      <c r="K184" s="50"/>
      <c r="L184" s="96"/>
      <c r="O184" s="30" t="s">
        <v>14</v>
      </c>
      <c r="P184" s="42">
        <f>SQRT(J178/(3*2))</f>
        <v>1.9690783189828906E-2</v>
      </c>
      <c r="Q184" s="49"/>
      <c r="S184" s="60"/>
      <c r="T184" s="60"/>
      <c r="U184" s="60"/>
    </row>
    <row r="185" spans="1:21" x14ac:dyDescent="0.25">
      <c r="A185" s="32" t="s">
        <v>100</v>
      </c>
      <c r="B185" s="55">
        <v>1.3599999999999999</v>
      </c>
      <c r="C185" s="55">
        <v>1.4</v>
      </c>
      <c r="D185" s="55">
        <v>1.28</v>
      </c>
      <c r="E185" s="42">
        <f t="shared" si="61"/>
        <v>4.04</v>
      </c>
      <c r="F185" s="42">
        <f t="shared" si="62"/>
        <v>1.3466666666666667</v>
      </c>
      <c r="G185" s="59"/>
      <c r="H185" s="78"/>
      <c r="K185" s="38"/>
      <c r="L185" s="96"/>
      <c r="N185" s="30" t="s">
        <v>109</v>
      </c>
      <c r="O185" s="30" t="s">
        <v>16</v>
      </c>
      <c r="P185" s="42">
        <f>SQRT((2*J178)/(3*2))*L179</f>
        <v>5.6591857250395061E-2</v>
      </c>
      <c r="Q185" s="49"/>
      <c r="S185" s="60"/>
      <c r="T185" s="60"/>
      <c r="U185" s="60"/>
    </row>
    <row r="186" spans="1:21" x14ac:dyDescent="0.25">
      <c r="A186" s="32" t="s">
        <v>101</v>
      </c>
      <c r="B186" s="55">
        <v>1.28</v>
      </c>
      <c r="C186" s="55">
        <v>1.22</v>
      </c>
      <c r="D186" s="55">
        <v>1.18</v>
      </c>
      <c r="E186" s="42">
        <f t="shared" si="61"/>
        <v>3.6799999999999997</v>
      </c>
      <c r="F186" s="42">
        <f>E186/3</f>
        <v>1.2266666666666666</v>
      </c>
      <c r="G186" s="59"/>
      <c r="H186" s="78"/>
      <c r="K186" s="38"/>
      <c r="L186" s="96"/>
      <c r="Q186" s="49"/>
      <c r="S186" s="60"/>
      <c r="T186" s="60"/>
      <c r="U186" s="60"/>
    </row>
    <row r="187" spans="1:21" x14ac:dyDescent="0.25">
      <c r="A187" s="32" t="s">
        <v>102</v>
      </c>
      <c r="B187" s="55">
        <v>1.25</v>
      </c>
      <c r="C187" s="55">
        <v>1.27</v>
      </c>
      <c r="D187" s="55">
        <v>1.23</v>
      </c>
      <c r="E187" s="42">
        <f t="shared" si="61"/>
        <v>3.75</v>
      </c>
      <c r="F187" s="42">
        <f t="shared" ref="F187:F188" si="68">E187/3</f>
        <v>1.25</v>
      </c>
      <c r="G187" s="59"/>
      <c r="H187" s="78"/>
      <c r="K187" s="38"/>
      <c r="L187" s="96"/>
      <c r="S187" s="60"/>
      <c r="T187" s="60"/>
      <c r="U187" s="60"/>
    </row>
    <row r="188" spans="1:21" x14ac:dyDescent="0.25">
      <c r="A188" s="32" t="s">
        <v>103</v>
      </c>
      <c r="B188" s="55">
        <v>1.2</v>
      </c>
      <c r="C188" s="55">
        <v>1.18</v>
      </c>
      <c r="D188" s="55">
        <v>1.24</v>
      </c>
      <c r="E188" s="42">
        <f t="shared" si="61"/>
        <v>3.62</v>
      </c>
      <c r="F188" s="42">
        <f t="shared" si="68"/>
        <v>1.2066666666666668</v>
      </c>
      <c r="G188" s="59"/>
      <c r="H188" s="78"/>
      <c r="K188" s="38"/>
      <c r="L188" s="96"/>
    </row>
    <row r="189" spans="1:21" x14ac:dyDescent="0.25">
      <c r="A189" s="30" t="s">
        <v>4</v>
      </c>
      <c r="B189" s="31">
        <f>SUM(B171:B188)</f>
        <v>23.02</v>
      </c>
      <c r="C189" s="31">
        <f>SUM(C171:C188)</f>
        <v>22.899999999999995</v>
      </c>
      <c r="D189" s="31">
        <f>SUM(D171:D188)</f>
        <v>22.52</v>
      </c>
      <c r="E189" s="31">
        <f>SUM(E171:E188)</f>
        <v>68.44</v>
      </c>
      <c r="F189" s="31">
        <f>AVERAGE(B171:D188)</f>
        <v>1.2674074074074075</v>
      </c>
      <c r="G189" s="59"/>
      <c r="H189" s="78"/>
      <c r="K189" s="38"/>
      <c r="L189" s="96"/>
    </row>
    <row r="190" spans="1:21" x14ac:dyDescent="0.25">
      <c r="A190" s="30" t="s">
        <v>5</v>
      </c>
      <c r="B190" s="31">
        <f>B189/18</f>
        <v>1.278888888888889</v>
      </c>
      <c r="C190" s="31">
        <f>C189/18</f>
        <v>1.2722222222222219</v>
      </c>
      <c r="D190" s="31">
        <f>D189/18</f>
        <v>1.2511111111111111</v>
      </c>
      <c r="G190" s="59"/>
      <c r="H190" s="78"/>
      <c r="K190" s="38"/>
      <c r="L190" s="96"/>
    </row>
    <row r="191" spans="1:21" x14ac:dyDescent="0.25">
      <c r="A191" s="30" t="s">
        <v>26</v>
      </c>
      <c r="B191" s="31">
        <f>(E189*E189)/54</f>
        <v>86.741362962962953</v>
      </c>
      <c r="C191" s="31"/>
      <c r="D191" s="31"/>
      <c r="G191" s="59"/>
      <c r="H191" s="78"/>
      <c r="K191" s="38"/>
      <c r="L191" s="96"/>
    </row>
    <row r="192" spans="1:21" x14ac:dyDescent="0.25">
      <c r="A192" s="30" t="s">
        <v>27</v>
      </c>
      <c r="B192" s="31">
        <f>SUMSQ(B171:D188)-B191</f>
        <v>0.26543703703701738</v>
      </c>
      <c r="C192" s="30" t="s">
        <v>28</v>
      </c>
      <c r="D192" s="31">
        <f>(SUMSQ(B189:D189)/18)-B191</f>
        <v>7.5703703703737801E-3</v>
      </c>
      <c r="G192" s="59"/>
      <c r="H192" s="78"/>
      <c r="K192" s="38"/>
      <c r="L192" s="96"/>
    </row>
    <row r="193" spans="1:18" x14ac:dyDescent="0.25">
      <c r="A193" s="30" t="s">
        <v>30</v>
      </c>
      <c r="B193" s="31">
        <f>(SUMSQ(E171:E188)/3)-B191</f>
        <v>0.17877037037035848</v>
      </c>
      <c r="C193" s="30" t="s">
        <v>31</v>
      </c>
      <c r="D193" s="31">
        <f>B192-B193-D192</f>
        <v>7.9096296296285118E-2</v>
      </c>
      <c r="G193" s="59"/>
      <c r="H193" s="78"/>
      <c r="K193" s="38"/>
      <c r="L193" s="96"/>
    </row>
    <row r="194" spans="1:18" x14ac:dyDescent="0.25">
      <c r="K194" s="50"/>
      <c r="L194" s="96"/>
    </row>
    <row r="195" spans="1:18" x14ac:dyDescent="0.25">
      <c r="K195" s="50"/>
      <c r="L195" s="96"/>
    </row>
    <row r="196" spans="1:18" ht="15.75" x14ac:dyDescent="0.25">
      <c r="C196" s="56" t="s">
        <v>115</v>
      </c>
    </row>
    <row r="197" spans="1:18" ht="15.75" x14ac:dyDescent="0.25">
      <c r="C197" s="62" t="s">
        <v>117</v>
      </c>
    </row>
    <row r="199" spans="1:18" x14ac:dyDescent="0.25">
      <c r="A199" s="36" t="s">
        <v>104</v>
      </c>
      <c r="B199" s="38">
        <v>2</v>
      </c>
      <c r="C199" s="39"/>
      <c r="D199" s="39"/>
      <c r="E199" s="39"/>
      <c r="F199" s="39"/>
      <c r="G199" s="39"/>
      <c r="H199" s="39"/>
      <c r="I199" s="39"/>
      <c r="M199" s="35"/>
      <c r="N199" s="35"/>
      <c r="O199" s="39"/>
      <c r="P199" s="39"/>
    </row>
    <row r="200" spans="1:18" x14ac:dyDescent="0.25">
      <c r="A200" s="36" t="s">
        <v>105</v>
      </c>
      <c r="B200" s="38">
        <v>9</v>
      </c>
      <c r="C200" s="39" t="s">
        <v>107</v>
      </c>
      <c r="D200" s="39">
        <v>18</v>
      </c>
      <c r="E200" s="39"/>
      <c r="F200" s="39"/>
      <c r="G200" s="39"/>
      <c r="H200" s="39"/>
      <c r="I200" s="39"/>
      <c r="M200" s="35"/>
      <c r="N200" s="35"/>
      <c r="O200" s="39"/>
      <c r="P200" s="39"/>
    </row>
    <row r="201" spans="1:18" x14ac:dyDescent="0.25">
      <c r="A201" s="37" t="s">
        <v>106</v>
      </c>
      <c r="B201" s="40">
        <v>3</v>
      </c>
    </row>
    <row r="202" spans="1:18" s="41" customFormat="1" x14ac:dyDescent="0.25">
      <c r="A202" s="46" t="s">
        <v>0</v>
      </c>
      <c r="B202" s="30" t="s">
        <v>1</v>
      </c>
      <c r="C202" s="30" t="s">
        <v>2</v>
      </c>
      <c r="D202" s="30" t="s">
        <v>3</v>
      </c>
      <c r="E202" s="30" t="s">
        <v>4</v>
      </c>
      <c r="F202" s="30" t="s">
        <v>5</v>
      </c>
      <c r="O202" s="41" t="s">
        <v>7</v>
      </c>
      <c r="Q202" s="37"/>
    </row>
    <row r="203" spans="1:18" s="41" customFormat="1" x14ac:dyDescent="0.25">
      <c r="A203" s="32" t="s">
        <v>86</v>
      </c>
      <c r="B203" s="61">
        <v>0.34</v>
      </c>
      <c r="C203" s="61">
        <v>0.42</v>
      </c>
      <c r="D203" s="61">
        <v>0.4</v>
      </c>
      <c r="E203" s="31">
        <f>SUM(B203:D203)</f>
        <v>1.1600000000000001</v>
      </c>
      <c r="F203" s="42">
        <f>E203/3</f>
        <v>0.38666666666666671</v>
      </c>
      <c r="H203" s="47"/>
      <c r="I203" s="47"/>
      <c r="J203" s="47" t="s">
        <v>6</v>
      </c>
      <c r="K203" s="47"/>
      <c r="L203" s="47"/>
      <c r="M203" s="47"/>
      <c r="N203" s="47"/>
      <c r="O203" s="33">
        <v>1</v>
      </c>
      <c r="P203" s="42">
        <f>SUM(F203:F211)/9</f>
        <v>0.4933333333333334</v>
      </c>
      <c r="Q203" s="75">
        <f>RANK(P203,P$203:P$204,0)</f>
        <v>1</v>
      </c>
    </row>
    <row r="204" spans="1:18" s="41" customFormat="1" x14ac:dyDescent="0.25">
      <c r="A204" s="32" t="s">
        <v>87</v>
      </c>
      <c r="B204" s="61">
        <v>0.47</v>
      </c>
      <c r="C204" s="61">
        <v>0.51</v>
      </c>
      <c r="D204" s="61">
        <v>0.52</v>
      </c>
      <c r="E204" s="31">
        <f t="shared" ref="E204:E220" si="69">SUM(B204:D204)</f>
        <v>1.5</v>
      </c>
      <c r="F204" s="42">
        <f t="shared" ref="F204:F217" si="70">E204/3</f>
        <v>0.5</v>
      </c>
      <c r="G204" s="31"/>
      <c r="H204" s="30" t="s">
        <v>8</v>
      </c>
      <c r="I204" s="30" t="s">
        <v>9</v>
      </c>
      <c r="J204" s="30" t="s">
        <v>10</v>
      </c>
      <c r="K204" s="30" t="s">
        <v>11</v>
      </c>
      <c r="L204" s="30" t="s">
        <v>12</v>
      </c>
      <c r="M204" s="30" t="s">
        <v>112</v>
      </c>
      <c r="N204" s="50"/>
      <c r="O204" s="33">
        <v>2</v>
      </c>
      <c r="P204" s="42">
        <f>SUM(F212:F220)/9</f>
        <v>0.46481481481481485</v>
      </c>
      <c r="Q204" s="75">
        <f>RANK(P204,P$203:P$204,0)</f>
        <v>2</v>
      </c>
    </row>
    <row r="205" spans="1:18" s="41" customFormat="1" x14ac:dyDescent="0.25">
      <c r="A205" s="32" t="s">
        <v>88</v>
      </c>
      <c r="B205" s="61">
        <v>0.56999999999999995</v>
      </c>
      <c r="C205" s="61">
        <v>0.52</v>
      </c>
      <c r="D205" s="61">
        <v>0.59</v>
      </c>
      <c r="E205" s="31">
        <f t="shared" si="69"/>
        <v>1.6799999999999997</v>
      </c>
      <c r="F205" s="42">
        <f t="shared" si="70"/>
        <v>0.55999999999999994</v>
      </c>
      <c r="G205" s="31" t="s">
        <v>13</v>
      </c>
      <c r="H205" s="31">
        <f>B201-1</f>
        <v>2</v>
      </c>
      <c r="I205" s="31">
        <f>D224</f>
        <v>9.5925925926465538E-4</v>
      </c>
      <c r="J205" s="31">
        <f>I205/H205</f>
        <v>4.7962962963232769E-4</v>
      </c>
      <c r="K205" s="31">
        <f>J205/$J$16</f>
        <v>0.26522498644825054</v>
      </c>
      <c r="L205" s="31">
        <f>FINV(0.05,H205,$H$16)</f>
        <v>3.275897990672394</v>
      </c>
      <c r="M205" s="31" t="str">
        <f>IF(K205&gt;=L205, "S", "NS")</f>
        <v>NS</v>
      </c>
      <c r="N205" s="39"/>
      <c r="O205" s="30" t="s">
        <v>14</v>
      </c>
      <c r="P205" s="42">
        <f>SQRT(J210/(3*9))</f>
        <v>6.9838027728465011E-3</v>
      </c>
      <c r="Q205" s="37"/>
    </row>
    <row r="206" spans="1:18" s="41" customFormat="1" x14ac:dyDescent="0.25">
      <c r="A206" s="32" t="s">
        <v>89</v>
      </c>
      <c r="B206" s="61">
        <v>0.4</v>
      </c>
      <c r="C206" s="61">
        <v>0.48</v>
      </c>
      <c r="D206" s="61">
        <v>0.43</v>
      </c>
      <c r="E206" s="31">
        <f t="shared" si="69"/>
        <v>1.31</v>
      </c>
      <c r="F206" s="42">
        <f t="shared" si="70"/>
        <v>0.4366666666666667</v>
      </c>
      <c r="G206" s="31" t="s">
        <v>15</v>
      </c>
      <c r="H206" s="31">
        <f>D200-1</f>
        <v>17</v>
      </c>
      <c r="I206" s="31">
        <f>B225</f>
        <v>0.2679203703703763</v>
      </c>
      <c r="J206" s="31">
        <f t="shared" ref="J206:J210" si="71">I206/H206</f>
        <v>1.5760021786492724E-2</v>
      </c>
      <c r="K206" s="31">
        <f>J206/$J$16</f>
        <v>8.7149569303108194</v>
      </c>
      <c r="L206" s="31">
        <f>FINV(0.05,H206,$H$16)</f>
        <v>1.9332068318040869</v>
      </c>
      <c r="M206" s="43" t="str">
        <f t="shared" ref="M206" si="72">IF(K206&gt;=L206, "S", "NS")</f>
        <v>S</v>
      </c>
      <c r="N206" s="30" t="s">
        <v>113</v>
      </c>
      <c r="O206" s="30" t="s">
        <v>16</v>
      </c>
      <c r="P206" s="42">
        <f>SQRT((2*J210)/(3*9))*L211</f>
        <v>2.0071642949681806E-2</v>
      </c>
      <c r="Q206" s="37"/>
    </row>
    <row r="207" spans="1:18" s="41" customFormat="1" x14ac:dyDescent="0.25">
      <c r="A207" s="32" t="s">
        <v>90</v>
      </c>
      <c r="B207" s="61">
        <v>0.56000000000000005</v>
      </c>
      <c r="C207" s="61">
        <v>0.54</v>
      </c>
      <c r="D207" s="61">
        <v>0.56000000000000005</v>
      </c>
      <c r="E207" s="31">
        <f t="shared" si="69"/>
        <v>1.6600000000000001</v>
      </c>
      <c r="F207" s="42">
        <f t="shared" si="70"/>
        <v>0.55333333333333334</v>
      </c>
      <c r="G207" s="31" t="s">
        <v>108</v>
      </c>
      <c r="H207" s="31">
        <f>B199-1</f>
        <v>1</v>
      </c>
      <c r="I207" s="31">
        <f>(SUM(E203:E211)^2+SUM(E212:E220)^2)/27-B223</f>
        <v>1.0979629629636278E-2</v>
      </c>
      <c r="J207" s="31">
        <f t="shared" si="71"/>
        <v>1.0979629629636278E-2</v>
      </c>
      <c r="K207" s="31">
        <f>J207/$J$16</f>
        <v>6.0715017167713654</v>
      </c>
      <c r="L207" s="31">
        <f>FINV(0.05,H207,$H$16)</f>
        <v>4.1300177456520188</v>
      </c>
      <c r="M207" s="31" t="str">
        <f>IF(K207&gt;=L207, "S", "NS")</f>
        <v>S</v>
      </c>
      <c r="N207" s="39"/>
      <c r="O207" s="33">
        <v>1</v>
      </c>
      <c r="P207" s="42">
        <f>(F203+F212)/2</f>
        <v>0.37333333333333341</v>
      </c>
      <c r="Q207" s="75">
        <f>RANK(P207,P$207:P$215,0)</f>
        <v>9</v>
      </c>
      <c r="R207" s="51">
        <v>9</v>
      </c>
    </row>
    <row r="208" spans="1:18" s="41" customFormat="1" x14ac:dyDescent="0.25">
      <c r="A208" s="32" t="s">
        <v>91</v>
      </c>
      <c r="B208" s="61">
        <v>0.61</v>
      </c>
      <c r="C208" s="61">
        <v>0.64</v>
      </c>
      <c r="D208" s="61">
        <v>0.6</v>
      </c>
      <c r="E208" s="31">
        <f t="shared" si="69"/>
        <v>1.85</v>
      </c>
      <c r="F208" s="42">
        <f t="shared" si="70"/>
        <v>0.6166666666666667</v>
      </c>
      <c r="G208" s="31" t="s">
        <v>109</v>
      </c>
      <c r="H208" s="31">
        <f>B200-1</f>
        <v>8</v>
      </c>
      <c r="I208" s="31">
        <f>((E203+E212)^2+(E204+E213)^2+(E205+E214)^2+(E206+E215)^2+(E207+E216)^2+(E208+E217)^2+(E209+E218)^2+(E210+E219)^2+(E211+E220)^2/6)-B223</f>
        <v>58.277520370370389</v>
      </c>
      <c r="J208" s="31">
        <f t="shared" si="71"/>
        <v>7.2846900462962987</v>
      </c>
      <c r="K208" s="31">
        <f>J208/$J$16</f>
        <v>4028.278695562924</v>
      </c>
      <c r="L208" s="31">
        <f>FINV(0.05,H208,$H$16)</f>
        <v>2.2253399674380931</v>
      </c>
      <c r="M208" s="31" t="str">
        <f>IF(K208&gt;=L208, "S", "NS")</f>
        <v>S</v>
      </c>
      <c r="N208" s="39"/>
      <c r="O208" s="33">
        <v>2</v>
      </c>
      <c r="P208" s="42">
        <f t="shared" ref="P208:P215" si="73">(F204+F213)/2</f>
        <v>0.49</v>
      </c>
      <c r="Q208" s="75">
        <f t="shared" ref="Q208:Q215" si="74">RANK(P208,P$207:P$215,0)</f>
        <v>5</v>
      </c>
      <c r="R208" s="52">
        <v>5</v>
      </c>
    </row>
    <row r="209" spans="1:18" s="41" customFormat="1" x14ac:dyDescent="0.25">
      <c r="A209" s="32" t="s">
        <v>92</v>
      </c>
      <c r="B209" s="61">
        <v>0.48</v>
      </c>
      <c r="C209" s="61">
        <v>0.47</v>
      </c>
      <c r="D209" s="61">
        <v>0.42</v>
      </c>
      <c r="E209" s="31">
        <f t="shared" si="69"/>
        <v>1.3699999999999999</v>
      </c>
      <c r="F209" s="42">
        <f t="shared" si="70"/>
        <v>0.45666666666666661</v>
      </c>
      <c r="G209" s="26" t="s">
        <v>110</v>
      </c>
      <c r="H209" s="31">
        <f>H207*H208</f>
        <v>8</v>
      </c>
      <c r="I209" s="31">
        <f>I206-(I207+I208)</f>
        <v>-58.020579629629651</v>
      </c>
      <c r="J209" s="31">
        <f t="shared" si="71"/>
        <v>-7.2525724537037064</v>
      </c>
      <c r="K209" s="44">
        <f>J209/$J$16</f>
        <v>-4010.5183498006099</v>
      </c>
      <c r="L209" s="31">
        <f>FINV(0.05,H209,$H$16)</f>
        <v>2.2253399674380931</v>
      </c>
      <c r="M209" s="31" t="str">
        <f t="shared" ref="M209" si="75">IF(K209&gt;=L209, "S", "NS")</f>
        <v>NS</v>
      </c>
      <c r="N209" s="39"/>
      <c r="O209" s="33">
        <v>3</v>
      </c>
      <c r="P209" s="42">
        <f t="shared" si="73"/>
        <v>0.55000000000000004</v>
      </c>
      <c r="Q209" s="75">
        <f t="shared" si="74"/>
        <v>2</v>
      </c>
      <c r="R209" s="52">
        <v>2</v>
      </c>
    </row>
    <row r="210" spans="1:18" s="41" customFormat="1" x14ac:dyDescent="0.25">
      <c r="A210" s="32" t="s">
        <v>93</v>
      </c>
      <c r="B210" s="61">
        <v>0.51</v>
      </c>
      <c r="C210" s="61">
        <v>0.49</v>
      </c>
      <c r="D210" s="61">
        <v>0.51</v>
      </c>
      <c r="E210" s="31">
        <f t="shared" si="69"/>
        <v>1.51</v>
      </c>
      <c r="F210" s="42">
        <f t="shared" si="70"/>
        <v>0.5033333333333333</v>
      </c>
      <c r="G210" s="45" t="s">
        <v>23</v>
      </c>
      <c r="H210" s="31">
        <f>((B201-1)*(B199*B200-1))</f>
        <v>34</v>
      </c>
      <c r="I210" s="31">
        <f>D225</f>
        <v>4.4774074074076964E-2</v>
      </c>
      <c r="J210" s="31">
        <f t="shared" si="71"/>
        <v>1.316884531590499E-3</v>
      </c>
      <c r="O210" s="33">
        <v>4</v>
      </c>
      <c r="P210" s="42">
        <f t="shared" si="73"/>
        <v>0.42500000000000004</v>
      </c>
      <c r="Q210" s="75">
        <f t="shared" si="74"/>
        <v>7</v>
      </c>
      <c r="R210" s="52">
        <v>7</v>
      </c>
    </row>
    <row r="211" spans="1:18" x14ac:dyDescent="0.25">
      <c r="A211" s="32" t="s">
        <v>94</v>
      </c>
      <c r="B211" s="61">
        <v>0.45</v>
      </c>
      <c r="C211" s="61">
        <v>0.41</v>
      </c>
      <c r="D211" s="61">
        <v>0.42</v>
      </c>
      <c r="E211" s="31">
        <f t="shared" si="69"/>
        <v>1.28</v>
      </c>
      <c r="F211" s="42">
        <f t="shared" si="70"/>
        <v>0.42666666666666669</v>
      </c>
      <c r="G211" s="44" t="s">
        <v>4</v>
      </c>
      <c r="H211" s="31">
        <f>SUM(H205:H210)-H206</f>
        <v>53</v>
      </c>
      <c r="I211" s="31">
        <f>B224</f>
        <v>0.31365370370371792</v>
      </c>
      <c r="K211" s="31" t="s">
        <v>111</v>
      </c>
      <c r="L211" s="41">
        <f>TINV(0.05,34)</f>
        <v>2.0322445093177191</v>
      </c>
      <c r="O211" s="33">
        <v>5</v>
      </c>
      <c r="P211" s="42">
        <f t="shared" si="73"/>
        <v>0.51500000000000001</v>
      </c>
      <c r="Q211" s="75">
        <f t="shared" si="74"/>
        <v>3</v>
      </c>
      <c r="R211" s="51">
        <v>3</v>
      </c>
    </row>
    <row r="212" spans="1:18" x14ac:dyDescent="0.25">
      <c r="A212" s="32" t="s">
        <v>95</v>
      </c>
      <c r="B212" s="61">
        <v>0.31</v>
      </c>
      <c r="C212" s="61">
        <v>0.41</v>
      </c>
      <c r="D212" s="61">
        <v>0.36</v>
      </c>
      <c r="E212" s="31">
        <f t="shared" si="69"/>
        <v>1.08</v>
      </c>
      <c r="F212" s="42">
        <f t="shared" si="70"/>
        <v>0.36000000000000004</v>
      </c>
      <c r="G212" s="34" t="s">
        <v>14</v>
      </c>
      <c r="H212" s="31">
        <f>SQRT(J210/3)</f>
        <v>2.0951408318539505E-2</v>
      </c>
      <c r="O212" s="33">
        <v>6</v>
      </c>
      <c r="P212" s="42">
        <f t="shared" si="73"/>
        <v>0.60666666666666669</v>
      </c>
      <c r="Q212" s="75">
        <f t="shared" si="74"/>
        <v>1</v>
      </c>
      <c r="R212" s="52">
        <v>1</v>
      </c>
    </row>
    <row r="213" spans="1:18" x14ac:dyDescent="0.25">
      <c r="A213" s="32" t="s">
        <v>96</v>
      </c>
      <c r="B213" s="61">
        <v>0.5</v>
      </c>
      <c r="C213" s="61">
        <v>0.47</v>
      </c>
      <c r="D213" s="61">
        <v>0.47</v>
      </c>
      <c r="E213" s="31">
        <f t="shared" si="69"/>
        <v>1.44</v>
      </c>
      <c r="F213" s="42">
        <f t="shared" si="70"/>
        <v>0.48</v>
      </c>
      <c r="G213" s="34" t="s">
        <v>16</v>
      </c>
      <c r="H213" s="31">
        <f>(SQRT((2*J210)/3))*L211</f>
        <v>6.0214928849045432E-2</v>
      </c>
      <c r="O213" s="33">
        <v>7</v>
      </c>
      <c r="P213" s="42">
        <f t="shared" si="73"/>
        <v>0.4433333333333333</v>
      </c>
      <c r="Q213" s="75">
        <f t="shared" si="74"/>
        <v>6</v>
      </c>
      <c r="R213" s="52">
        <v>6</v>
      </c>
    </row>
    <row r="214" spans="1:18" x14ac:dyDescent="0.25">
      <c r="A214" s="32" t="s">
        <v>97</v>
      </c>
      <c r="B214" s="61">
        <v>0.55000000000000004</v>
      </c>
      <c r="C214" s="61">
        <v>0.54</v>
      </c>
      <c r="D214" s="61">
        <v>0.53</v>
      </c>
      <c r="E214" s="31">
        <f t="shared" si="69"/>
        <v>1.62</v>
      </c>
      <c r="F214" s="42">
        <f t="shared" si="70"/>
        <v>0.54</v>
      </c>
      <c r="G214" s="34" t="s">
        <v>29</v>
      </c>
      <c r="H214" s="31">
        <f>((SQRT(J210))/F221)*100</f>
        <v>7.5748001533935394</v>
      </c>
      <c r="O214" s="33">
        <v>8</v>
      </c>
      <c r="P214" s="42">
        <f t="shared" si="73"/>
        <v>0.49166666666666664</v>
      </c>
      <c r="Q214" s="75">
        <f t="shared" si="74"/>
        <v>4</v>
      </c>
      <c r="R214" s="51">
        <v>4</v>
      </c>
    </row>
    <row r="215" spans="1:18" x14ac:dyDescent="0.25">
      <c r="A215" s="32" t="s">
        <v>98</v>
      </c>
      <c r="B215" s="61">
        <v>0.44</v>
      </c>
      <c r="C215" s="61">
        <v>0.37</v>
      </c>
      <c r="D215" s="61">
        <v>0.43</v>
      </c>
      <c r="E215" s="31">
        <f t="shared" si="69"/>
        <v>1.24</v>
      </c>
      <c r="F215" s="42">
        <f t="shared" si="70"/>
        <v>0.41333333333333333</v>
      </c>
      <c r="O215" s="33">
        <v>9</v>
      </c>
      <c r="P215" s="42">
        <f t="shared" si="73"/>
        <v>0.41666666666666669</v>
      </c>
      <c r="Q215" s="75">
        <f t="shared" si="74"/>
        <v>8</v>
      </c>
      <c r="R215" s="52">
        <v>8</v>
      </c>
    </row>
    <row r="216" spans="1:18" x14ac:dyDescent="0.25">
      <c r="A216" s="32" t="s">
        <v>99</v>
      </c>
      <c r="B216" s="61">
        <v>0.4</v>
      </c>
      <c r="C216" s="61">
        <v>0.5</v>
      </c>
      <c r="D216" s="61">
        <v>0.53</v>
      </c>
      <c r="E216" s="31">
        <f t="shared" si="69"/>
        <v>1.4300000000000002</v>
      </c>
      <c r="F216" s="42">
        <f t="shared" si="70"/>
        <v>0.47666666666666674</v>
      </c>
      <c r="O216" s="30" t="s">
        <v>14</v>
      </c>
      <c r="P216" s="42">
        <f>SQRT(J210/(3*2))</f>
        <v>1.4814882897447526E-2</v>
      </c>
      <c r="Q216" s="49"/>
    </row>
    <row r="217" spans="1:18" x14ac:dyDescent="0.25">
      <c r="A217" s="32" t="s">
        <v>100</v>
      </c>
      <c r="B217" s="61">
        <v>0.6</v>
      </c>
      <c r="C217" s="61">
        <v>0.56000000000000005</v>
      </c>
      <c r="D217" s="61">
        <v>0.63</v>
      </c>
      <c r="E217" s="31">
        <f t="shared" si="69"/>
        <v>1.79</v>
      </c>
      <c r="F217" s="42">
        <f t="shared" si="70"/>
        <v>0.59666666666666668</v>
      </c>
      <c r="G217" s="59"/>
      <c r="H217" s="78"/>
      <c r="N217" s="30" t="s">
        <v>109</v>
      </c>
      <c r="O217" s="30" t="s">
        <v>16</v>
      </c>
      <c r="P217" s="42">
        <f>SQRT((2*J210)/(3*2))*L211</f>
        <v>4.2578384517825495E-2</v>
      </c>
      <c r="Q217" s="49"/>
    </row>
    <row r="218" spans="1:18" x14ac:dyDescent="0.25">
      <c r="A218" s="32" t="s">
        <v>101</v>
      </c>
      <c r="B218" s="61">
        <v>0.46</v>
      </c>
      <c r="C218" s="61">
        <v>0.37</v>
      </c>
      <c r="D218" s="61">
        <v>0.46</v>
      </c>
      <c r="E218" s="31">
        <f t="shared" si="69"/>
        <v>1.29</v>
      </c>
      <c r="F218" s="42">
        <f>E218/3</f>
        <v>0.43</v>
      </c>
      <c r="G218" s="59"/>
      <c r="H218" s="78"/>
      <c r="Q218" s="49"/>
    </row>
    <row r="219" spans="1:18" x14ac:dyDescent="0.25">
      <c r="A219" s="32" t="s">
        <v>102</v>
      </c>
      <c r="B219" s="61">
        <v>0.46</v>
      </c>
      <c r="C219" s="61">
        <v>0.5</v>
      </c>
      <c r="D219" s="61">
        <v>0.48</v>
      </c>
      <c r="E219" s="31">
        <f t="shared" si="69"/>
        <v>1.44</v>
      </c>
      <c r="F219" s="42">
        <f t="shared" ref="F219:F220" si="76">E219/3</f>
        <v>0.48</v>
      </c>
      <c r="G219" s="59"/>
      <c r="H219" s="78"/>
    </row>
    <row r="220" spans="1:18" x14ac:dyDescent="0.25">
      <c r="A220" s="32" t="s">
        <v>103</v>
      </c>
      <c r="B220" s="61">
        <v>0.41</v>
      </c>
      <c r="C220" s="61">
        <v>0.45</v>
      </c>
      <c r="D220" s="61">
        <v>0.36</v>
      </c>
      <c r="E220" s="31">
        <f t="shared" si="69"/>
        <v>1.22</v>
      </c>
      <c r="F220" s="42">
        <f t="shared" si="76"/>
        <v>0.40666666666666668</v>
      </c>
      <c r="G220" s="59"/>
      <c r="H220" s="78"/>
    </row>
    <row r="221" spans="1:18" x14ac:dyDescent="0.25">
      <c r="A221" s="30" t="s">
        <v>4</v>
      </c>
      <c r="B221" s="31">
        <f>SUM(B203:B220)</f>
        <v>8.52</v>
      </c>
      <c r="C221" s="31">
        <f t="shared" ref="C221:D221" si="77">SUM(C203:C220)</f>
        <v>8.6499999999999986</v>
      </c>
      <c r="D221" s="31">
        <f t="shared" si="77"/>
        <v>8.6999999999999993</v>
      </c>
      <c r="E221" s="31">
        <f>SUM(E203:E220)</f>
        <v>25.869999999999994</v>
      </c>
      <c r="F221" s="42">
        <f>AVERAGE(B203:D220)</f>
        <v>0.47907407407407415</v>
      </c>
      <c r="G221" s="59"/>
      <c r="H221" s="78"/>
    </row>
    <row r="222" spans="1:18" x14ac:dyDescent="0.25">
      <c r="A222" s="30" t="s">
        <v>5</v>
      </c>
      <c r="B222" s="31">
        <f>B221/18</f>
        <v>0.47333333333333333</v>
      </c>
      <c r="C222" s="31">
        <f>C221/18</f>
        <v>0.48055555555555546</v>
      </c>
      <c r="D222" s="31">
        <f>D221/18</f>
        <v>0.48333333333333328</v>
      </c>
      <c r="G222" s="59"/>
      <c r="H222" s="78"/>
    </row>
    <row r="223" spans="1:18" x14ac:dyDescent="0.25">
      <c r="A223" s="30" t="s">
        <v>26</v>
      </c>
      <c r="B223" s="31">
        <f>(E221*E221)/54</f>
        <v>12.393646296296289</v>
      </c>
      <c r="C223" s="31"/>
      <c r="D223" s="31"/>
      <c r="G223" s="59"/>
      <c r="H223" s="78"/>
    </row>
    <row r="224" spans="1:18" x14ac:dyDescent="0.25">
      <c r="A224" s="30" t="s">
        <v>27</v>
      </c>
      <c r="B224" s="31">
        <f>SUMSQ(B203:D220)-B223</f>
        <v>0.31365370370371792</v>
      </c>
      <c r="C224" s="30" t="s">
        <v>28</v>
      </c>
      <c r="D224" s="31">
        <f>(SUMSQ(B221:D221)/18)-B223</f>
        <v>9.5925925926465538E-4</v>
      </c>
      <c r="G224" s="59"/>
      <c r="H224" s="78"/>
    </row>
    <row r="225" spans="1:19" x14ac:dyDescent="0.25">
      <c r="A225" s="30" t="s">
        <v>30</v>
      </c>
      <c r="B225" s="31">
        <f>(SUMSQ(E203:E220)/3)-B223</f>
        <v>0.2679203703703763</v>
      </c>
      <c r="C225" s="30" t="s">
        <v>31</v>
      </c>
      <c r="D225" s="31">
        <f>B224-B225-D224</f>
        <v>4.4774074074076964E-2</v>
      </c>
      <c r="G225" s="59"/>
      <c r="H225" s="78"/>
    </row>
    <row r="229" spans="1:19" ht="15.75" x14ac:dyDescent="0.25">
      <c r="C229" s="56" t="s">
        <v>118</v>
      </c>
    </row>
    <row r="230" spans="1:19" x14ac:dyDescent="0.25">
      <c r="C230" s="48" t="s">
        <v>116</v>
      </c>
    </row>
    <row r="231" spans="1:19" x14ac:dyDescent="0.25">
      <c r="A231" s="36" t="s">
        <v>104</v>
      </c>
      <c r="B231" s="38">
        <v>2</v>
      </c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5"/>
      <c r="N231" s="35"/>
      <c r="O231" s="39"/>
      <c r="P231" s="39"/>
    </row>
    <row r="232" spans="1:19" x14ac:dyDescent="0.25">
      <c r="A232" s="36" t="s">
        <v>105</v>
      </c>
      <c r="B232" s="38">
        <v>9</v>
      </c>
      <c r="C232" s="39" t="s">
        <v>107</v>
      </c>
      <c r="D232" s="39">
        <v>18</v>
      </c>
      <c r="E232" s="39"/>
      <c r="F232" s="39"/>
      <c r="G232" s="39"/>
      <c r="H232" s="39"/>
      <c r="I232" s="39"/>
      <c r="J232" s="39"/>
      <c r="K232" s="39"/>
      <c r="L232" s="39"/>
      <c r="M232" s="35"/>
      <c r="N232" s="35"/>
      <c r="O232" s="39"/>
      <c r="P232" s="39"/>
    </row>
    <row r="233" spans="1:19" x14ac:dyDescent="0.25">
      <c r="A233" s="37" t="s">
        <v>106</v>
      </c>
      <c r="B233" s="40">
        <v>3</v>
      </c>
    </row>
    <row r="234" spans="1:19" x14ac:dyDescent="0.25">
      <c r="A234" s="46" t="s">
        <v>0</v>
      </c>
      <c r="B234" s="30" t="s">
        <v>1</v>
      </c>
      <c r="C234" s="30" t="s">
        <v>2</v>
      </c>
      <c r="D234" s="30" t="s">
        <v>3</v>
      </c>
      <c r="E234" s="30" t="s">
        <v>4</v>
      </c>
      <c r="F234" s="30" t="s">
        <v>5</v>
      </c>
      <c r="O234" s="41" t="s">
        <v>7</v>
      </c>
      <c r="R234" s="41"/>
      <c r="S234" s="41"/>
    </row>
    <row r="235" spans="1:19" x14ac:dyDescent="0.25">
      <c r="A235" s="32" t="s">
        <v>86</v>
      </c>
      <c r="B235" s="57">
        <f>DATA!O56</f>
        <v>31.004999999999999</v>
      </c>
      <c r="C235" s="57">
        <f>DATA!P56</f>
        <v>25.069999999999997</v>
      </c>
      <c r="D235" s="57">
        <f>DATA!Q56</f>
        <v>28.036399999999993</v>
      </c>
      <c r="E235" s="31">
        <f>SUM(B235:D235)</f>
        <v>84.111399999999989</v>
      </c>
      <c r="F235" s="31">
        <f>E235/3</f>
        <v>28.03713333333333</v>
      </c>
      <c r="H235" s="47"/>
      <c r="I235" s="47"/>
      <c r="J235" s="47" t="s">
        <v>6</v>
      </c>
      <c r="K235" s="47"/>
      <c r="L235" s="47"/>
      <c r="M235" s="47"/>
      <c r="N235" s="47"/>
      <c r="O235" s="33">
        <v>1</v>
      </c>
      <c r="P235" s="42">
        <f>SUM(F235:F243)/9</f>
        <v>53.39404444444444</v>
      </c>
      <c r="Q235" s="75">
        <f>RANK(P235,P$235:P$236,0)</f>
        <v>1</v>
      </c>
      <c r="R235" s="41"/>
      <c r="S235" s="41"/>
    </row>
    <row r="236" spans="1:19" x14ac:dyDescent="0.25">
      <c r="A236" s="32" t="s">
        <v>87</v>
      </c>
      <c r="B236" s="57">
        <f>DATA!O57</f>
        <v>50.636800000000001</v>
      </c>
      <c r="C236" s="57">
        <f>DATA!P57</f>
        <v>54.935999999999993</v>
      </c>
      <c r="D236" s="57">
        <f>DATA!Q57</f>
        <v>55.625</v>
      </c>
      <c r="E236" s="31">
        <f t="shared" ref="E236:E252" si="78">SUM(B236:D236)</f>
        <v>161.1978</v>
      </c>
      <c r="F236" s="31">
        <f t="shared" ref="F236:F249" si="79">E236/3</f>
        <v>53.732599999999998</v>
      </c>
      <c r="G236" s="31"/>
      <c r="H236" s="30" t="s">
        <v>8</v>
      </c>
      <c r="I236" s="30" t="s">
        <v>9</v>
      </c>
      <c r="J236" s="30" t="s">
        <v>10</v>
      </c>
      <c r="K236" s="30" t="s">
        <v>11</v>
      </c>
      <c r="L236" s="30" t="s">
        <v>12</v>
      </c>
      <c r="M236" s="30" t="s">
        <v>112</v>
      </c>
      <c r="N236" s="50"/>
      <c r="O236" s="33">
        <v>2</v>
      </c>
      <c r="P236" s="42">
        <f>SUM(F244:F252)/9</f>
        <v>50.004222222222225</v>
      </c>
      <c r="Q236" s="75">
        <f>RANK(P236,P$235:P$236,0)</f>
        <v>2</v>
      </c>
      <c r="R236" s="41"/>
      <c r="S236" s="41"/>
    </row>
    <row r="237" spans="1:19" x14ac:dyDescent="0.25">
      <c r="A237" s="32" t="s">
        <v>88</v>
      </c>
      <c r="B237" s="57">
        <f>DATA!O58</f>
        <v>65.34</v>
      </c>
      <c r="C237" s="57">
        <f>DATA!P58</f>
        <v>65.124000000000009</v>
      </c>
      <c r="D237" s="57">
        <f>DATA!Q58</f>
        <v>62.775000000000006</v>
      </c>
      <c r="E237" s="31">
        <f t="shared" si="78"/>
        <v>193.239</v>
      </c>
      <c r="F237" s="31">
        <f t="shared" si="79"/>
        <v>64.412999999999997</v>
      </c>
      <c r="G237" s="31" t="s">
        <v>13</v>
      </c>
      <c r="H237" s="31">
        <f>B233-1</f>
        <v>2</v>
      </c>
      <c r="I237" s="31">
        <f>D256</f>
        <v>43.357958951091859</v>
      </c>
      <c r="J237" s="31">
        <f>I237/H237</f>
        <v>21.67897947554593</v>
      </c>
      <c r="K237" s="31">
        <f>J237/$J$16</f>
        <v>11988.014672949275</v>
      </c>
      <c r="L237" s="31">
        <f>FINV(0.05,H237,$H$16)</f>
        <v>3.275897990672394</v>
      </c>
      <c r="M237" s="31" t="str">
        <f>IF(K237&gt;=L237, "S", "NS")</f>
        <v>S</v>
      </c>
      <c r="N237" s="39"/>
      <c r="O237" s="30" t="s">
        <v>14</v>
      </c>
      <c r="P237" s="42">
        <f>SQRT(J242/(3*9))</f>
        <v>0.67109654356637571</v>
      </c>
      <c r="R237" s="41"/>
      <c r="S237" s="41"/>
    </row>
    <row r="238" spans="1:19" x14ac:dyDescent="0.25">
      <c r="A238" s="32" t="s">
        <v>89</v>
      </c>
      <c r="B238" s="57">
        <f>DATA!O59</f>
        <v>50.688000000000002</v>
      </c>
      <c r="C238" s="57">
        <f>DATA!P59</f>
        <v>48.625</v>
      </c>
      <c r="D238" s="57">
        <f>DATA!Q59</f>
        <v>47.103999999999999</v>
      </c>
      <c r="E238" s="31">
        <f t="shared" si="78"/>
        <v>146.417</v>
      </c>
      <c r="F238" s="31">
        <f t="shared" si="79"/>
        <v>48.805666666666667</v>
      </c>
      <c r="G238" s="31" t="s">
        <v>15</v>
      </c>
      <c r="H238" s="31">
        <f>D232-1</f>
        <v>17</v>
      </c>
      <c r="I238" s="31">
        <f>B257</f>
        <v>7011.778003706655</v>
      </c>
      <c r="J238" s="31">
        <f t="shared" ref="J238:J242" si="80">I238/H238</f>
        <v>412.45752962980322</v>
      </c>
      <c r="K238" s="31">
        <f>J238/$J$16</f>
        <v>228080.24347954115</v>
      </c>
      <c r="L238" s="31">
        <f>FINV(0.05,H238,$H$16)</f>
        <v>1.9332068318040869</v>
      </c>
      <c r="M238" s="43" t="str">
        <f t="shared" ref="M238" si="81">IF(K238&gt;=L238, "S", "NS")</f>
        <v>S</v>
      </c>
      <c r="N238" s="30" t="s">
        <v>113</v>
      </c>
      <c r="O238" s="30" t="s">
        <v>16</v>
      </c>
      <c r="P238" s="42">
        <f>SQRT((2*J242)/(3*9))*L243</f>
        <v>1.9287500872164072</v>
      </c>
      <c r="R238" s="41"/>
      <c r="S238" s="41"/>
    </row>
    <row r="239" spans="1:19" x14ac:dyDescent="0.25">
      <c r="A239" s="32" t="s">
        <v>90</v>
      </c>
      <c r="B239" s="57">
        <f>DATA!O60</f>
        <v>59.055</v>
      </c>
      <c r="C239" s="57">
        <f>DATA!P60</f>
        <v>64.547999999999988</v>
      </c>
      <c r="D239" s="57">
        <f>DATA!Q60</f>
        <v>61.560000000000016</v>
      </c>
      <c r="E239" s="31">
        <f t="shared" si="78"/>
        <v>185.16300000000001</v>
      </c>
      <c r="F239" s="31">
        <f t="shared" si="79"/>
        <v>61.721000000000004</v>
      </c>
      <c r="G239" s="31" t="s">
        <v>108</v>
      </c>
      <c r="H239" s="31">
        <f>B231-1</f>
        <v>1</v>
      </c>
      <c r="I239" s="31">
        <f>(SUM(E235:E243)^2+SUM(E244:E252)^2)/27-B255</f>
        <v>155.12707842665259</v>
      </c>
      <c r="J239" s="31">
        <f t="shared" si="80"/>
        <v>155.12707842665259</v>
      </c>
      <c r="K239" s="31">
        <f>J239/$J$16</f>
        <v>85781.975782032663</v>
      </c>
      <c r="L239" s="31">
        <f>FINV(0.05,H239,$H$16)</f>
        <v>4.1300177456520188</v>
      </c>
      <c r="M239" s="31" t="str">
        <f>IF(K239&gt;=L239, "S", "NS")</f>
        <v>S</v>
      </c>
      <c r="N239" s="39"/>
      <c r="O239" s="33">
        <v>1</v>
      </c>
      <c r="P239" s="42">
        <f>(F235+F244)/2</f>
        <v>27.431899999999999</v>
      </c>
      <c r="Q239" s="75">
        <f>RANK(P239,P$239:P$247,0)</f>
        <v>9</v>
      </c>
      <c r="R239" s="51">
        <v>9</v>
      </c>
      <c r="S239" s="41"/>
    </row>
    <row r="240" spans="1:19" x14ac:dyDescent="0.25">
      <c r="A240" s="32" t="s">
        <v>91</v>
      </c>
      <c r="B240" s="57">
        <f>DATA!O61</f>
        <v>71.536000000000001</v>
      </c>
      <c r="C240" s="57">
        <f>DATA!P61</f>
        <v>73.151999999999987</v>
      </c>
      <c r="D240" s="57">
        <f>DATA!Q61</f>
        <v>66.503999999999991</v>
      </c>
      <c r="E240" s="31">
        <f t="shared" si="78"/>
        <v>211.19199999999998</v>
      </c>
      <c r="F240" s="31">
        <f t="shared" si="79"/>
        <v>70.397333333333322</v>
      </c>
      <c r="G240" s="31" t="s">
        <v>109</v>
      </c>
      <c r="H240" s="31">
        <f>B232-1</f>
        <v>8</v>
      </c>
      <c r="I240" s="31">
        <f>((E235+E244)^2+(E236+E245)^2+(E237+E246)^2+(E238+E247)^2+(E239+E248)^2+(E240+E249)^2+(E241+E250)^2+(E242+E251)^2+(E243+E252)^2/6)-B255</f>
        <v>701705.53008820675</v>
      </c>
      <c r="J240" s="31">
        <f t="shared" si="80"/>
        <v>87713.191261025844</v>
      </c>
      <c r="K240" s="31">
        <f>J240/$J$16</f>
        <v>48503529.653436527</v>
      </c>
      <c r="L240" s="31">
        <f>FINV(0.05,H240,$H$16)</f>
        <v>2.2253399674380931</v>
      </c>
      <c r="M240" s="31" t="str">
        <f>IF(K240&gt;=L240, "S", "NS")</f>
        <v>S</v>
      </c>
      <c r="N240" s="39"/>
      <c r="O240" s="33">
        <v>2</v>
      </c>
      <c r="P240" s="42">
        <f t="shared" ref="P240:P247" si="82">(F236+F245)/2</f>
        <v>50.890133333333331</v>
      </c>
      <c r="Q240" s="75">
        <f t="shared" ref="Q240:Q247" si="83">RANK(P240,P$239:P$247,0)</f>
        <v>5</v>
      </c>
      <c r="R240" s="52">
        <v>5</v>
      </c>
      <c r="S240" s="41"/>
    </row>
    <row r="241" spans="1:19" x14ac:dyDescent="0.25">
      <c r="A241" s="32" t="s">
        <v>92</v>
      </c>
      <c r="B241" s="57">
        <f>DATA!O62</f>
        <v>53.332000000000001</v>
      </c>
      <c r="C241" s="57">
        <f>DATA!P62</f>
        <v>50.432000000000002</v>
      </c>
      <c r="D241" s="57">
        <f>DATA!Q62</f>
        <v>49.367999999999995</v>
      </c>
      <c r="E241" s="31">
        <f t="shared" si="78"/>
        <v>153.13200000000001</v>
      </c>
      <c r="F241" s="31">
        <f t="shared" si="79"/>
        <v>51.044000000000004</v>
      </c>
      <c r="G241" s="26" t="s">
        <v>110</v>
      </c>
      <c r="H241" s="31">
        <f>H239*H240</f>
        <v>8</v>
      </c>
      <c r="I241" s="31">
        <f>I238-(I239+I240)</f>
        <v>-694848.87916292669</v>
      </c>
      <c r="J241" s="31">
        <f t="shared" si="80"/>
        <v>-86856.109895365837</v>
      </c>
      <c r="K241" s="44">
        <f>J241/$J$16</f>
        <v>-48029581.883015253</v>
      </c>
      <c r="L241" s="31">
        <f>FINV(0.05,H241,$H$16)</f>
        <v>2.2253399674380931</v>
      </c>
      <c r="M241" s="31" t="str">
        <f t="shared" ref="M241" si="84">IF(K241&gt;=L241, "S", "NS")</f>
        <v>NS</v>
      </c>
      <c r="N241" s="39"/>
      <c r="O241" s="33">
        <v>3</v>
      </c>
      <c r="P241" s="42">
        <f t="shared" si="82"/>
        <v>63.304166666666667</v>
      </c>
      <c r="Q241" s="75">
        <f t="shared" si="83"/>
        <v>2</v>
      </c>
      <c r="R241" s="52">
        <v>2</v>
      </c>
      <c r="S241" s="41"/>
    </row>
    <row r="242" spans="1:19" x14ac:dyDescent="0.25">
      <c r="A242" s="32" t="s">
        <v>93</v>
      </c>
      <c r="B242" s="57">
        <f>DATA!O63</f>
        <v>58.872</v>
      </c>
      <c r="C242" s="57">
        <f>DATA!P63</f>
        <v>54.75</v>
      </c>
      <c r="D242" s="57">
        <f>DATA!Q63</f>
        <v>54.355999999999995</v>
      </c>
      <c r="E242" s="31">
        <f t="shared" si="78"/>
        <v>167.97800000000001</v>
      </c>
      <c r="F242" s="31">
        <f t="shared" si="79"/>
        <v>55.992666666666672</v>
      </c>
      <c r="G242" s="45" t="s">
        <v>23</v>
      </c>
      <c r="H242" s="31">
        <f>((B233-1)*(B231*B232-1))</f>
        <v>34</v>
      </c>
      <c r="I242" s="31">
        <f>D257</f>
        <v>413.44018398222397</v>
      </c>
      <c r="J242" s="31">
        <f t="shared" si="80"/>
        <v>12.160005411241881</v>
      </c>
      <c r="O242" s="33">
        <v>4</v>
      </c>
      <c r="P242" s="42">
        <f t="shared" si="82"/>
        <v>47.05083333333333</v>
      </c>
      <c r="Q242" s="75">
        <f t="shared" si="83"/>
        <v>7</v>
      </c>
      <c r="R242" s="52">
        <v>7</v>
      </c>
      <c r="S242" s="41"/>
    </row>
    <row r="243" spans="1:19" x14ac:dyDescent="0.25">
      <c r="A243" s="32" t="s">
        <v>94</v>
      </c>
      <c r="B243" s="57">
        <f>DATA!O64</f>
        <v>48.98</v>
      </c>
      <c r="C243" s="57">
        <f>DATA!P64</f>
        <v>47.103999999999999</v>
      </c>
      <c r="D243" s="57">
        <f>DATA!Q64</f>
        <v>43.125</v>
      </c>
      <c r="E243" s="31">
        <f t="shared" si="78"/>
        <v>139.209</v>
      </c>
      <c r="F243" s="31">
        <f t="shared" si="79"/>
        <v>46.402999999999999</v>
      </c>
      <c r="G243" s="44" t="s">
        <v>4</v>
      </c>
      <c r="H243" s="31">
        <f>SUM(H237:H242)-H238</f>
        <v>53</v>
      </c>
      <c r="I243" s="31">
        <f>B256</f>
        <v>7468.5761466399708</v>
      </c>
      <c r="K243" s="31" t="s">
        <v>111</v>
      </c>
      <c r="L243" s="41">
        <f>TINV(0.05,34)</f>
        <v>2.0322445093177191</v>
      </c>
      <c r="O243" s="33">
        <v>5</v>
      </c>
      <c r="P243" s="42">
        <f t="shared" si="82"/>
        <v>58.358000000000004</v>
      </c>
      <c r="Q243" s="75">
        <f t="shared" si="83"/>
        <v>3</v>
      </c>
      <c r="R243" s="51">
        <v>3</v>
      </c>
    </row>
    <row r="244" spans="1:19" x14ac:dyDescent="0.25">
      <c r="A244" s="32" t="s">
        <v>95</v>
      </c>
      <c r="B244" s="57">
        <f>DATA!O65</f>
        <v>21.708000000000002</v>
      </c>
      <c r="C244" s="57">
        <f>DATA!P65</f>
        <v>26.442</v>
      </c>
      <c r="D244" s="57">
        <f>DATA!Q65</f>
        <v>32.33</v>
      </c>
      <c r="E244" s="31">
        <f t="shared" si="78"/>
        <v>80.48</v>
      </c>
      <c r="F244" s="31">
        <f t="shared" si="79"/>
        <v>26.826666666666668</v>
      </c>
      <c r="G244" s="34" t="s">
        <v>14</v>
      </c>
      <c r="H244" s="31">
        <f>SQRT(J242/3)</f>
        <v>2.013289630699127</v>
      </c>
      <c r="O244" s="33">
        <v>6</v>
      </c>
      <c r="P244" s="42">
        <f t="shared" si="82"/>
        <v>68.645999999999987</v>
      </c>
      <c r="Q244" s="75">
        <f t="shared" si="83"/>
        <v>1</v>
      </c>
      <c r="R244" s="52">
        <v>1</v>
      </c>
    </row>
    <row r="245" spans="1:19" x14ac:dyDescent="0.25">
      <c r="A245" s="32" t="s">
        <v>96</v>
      </c>
      <c r="B245" s="57">
        <f>DATA!O66</f>
        <v>50.147999999999996</v>
      </c>
      <c r="C245" s="57">
        <f>DATA!P66</f>
        <v>47.385000000000005</v>
      </c>
      <c r="D245" s="57">
        <f>DATA!Q66</f>
        <v>46.61</v>
      </c>
      <c r="E245" s="31">
        <f t="shared" si="78"/>
        <v>144.143</v>
      </c>
      <c r="F245" s="31">
        <f t="shared" si="79"/>
        <v>48.047666666666665</v>
      </c>
      <c r="G245" s="34" t="s">
        <v>16</v>
      </c>
      <c r="H245" s="31">
        <f>(SQRT((2*J242)/3))*L243</f>
        <v>5.7862502616492213</v>
      </c>
      <c r="O245" s="33">
        <v>7</v>
      </c>
      <c r="P245" s="42">
        <f t="shared" si="82"/>
        <v>49.622666666666674</v>
      </c>
      <c r="Q245" s="75">
        <f t="shared" si="83"/>
        <v>6</v>
      </c>
      <c r="R245" s="52">
        <v>6</v>
      </c>
    </row>
    <row r="246" spans="1:19" x14ac:dyDescent="0.25">
      <c r="A246" s="32" t="s">
        <v>97</v>
      </c>
      <c r="B246" s="57">
        <f>DATA!O67</f>
        <v>67.551000000000002</v>
      </c>
      <c r="C246" s="57">
        <f>DATA!P67</f>
        <v>63.855000000000004</v>
      </c>
      <c r="D246" s="57">
        <f>DATA!Q67</f>
        <v>55.179999999999993</v>
      </c>
      <c r="E246" s="31">
        <f t="shared" si="78"/>
        <v>186.58600000000001</v>
      </c>
      <c r="F246" s="31">
        <f t="shared" si="79"/>
        <v>62.195333333333338</v>
      </c>
      <c r="G246" s="34" t="s">
        <v>29</v>
      </c>
      <c r="H246" s="31">
        <f>((SQRT(J242))/F253)*100</f>
        <v>6.7450258948037858</v>
      </c>
      <c r="O246" s="33">
        <v>8</v>
      </c>
      <c r="P246" s="42">
        <f t="shared" si="82"/>
        <v>54.945666666666668</v>
      </c>
      <c r="Q246" s="75">
        <f t="shared" si="83"/>
        <v>4</v>
      </c>
      <c r="R246" s="51">
        <v>4</v>
      </c>
    </row>
    <row r="247" spans="1:19" x14ac:dyDescent="0.25">
      <c r="A247" s="32" t="s">
        <v>98</v>
      </c>
      <c r="B247" s="57">
        <f>DATA!O68</f>
        <v>48</v>
      </c>
      <c r="C247" s="57">
        <f>DATA!P68</f>
        <v>46.115999999999993</v>
      </c>
      <c r="D247" s="57">
        <f>DATA!Q68</f>
        <v>41.771999999999998</v>
      </c>
      <c r="E247" s="31">
        <f t="shared" si="78"/>
        <v>135.88799999999998</v>
      </c>
      <c r="F247" s="31">
        <f t="shared" si="79"/>
        <v>45.295999999999992</v>
      </c>
      <c r="O247" s="33">
        <v>9</v>
      </c>
      <c r="P247" s="42">
        <f t="shared" si="82"/>
        <v>45.042833333333334</v>
      </c>
      <c r="Q247" s="75">
        <f t="shared" si="83"/>
        <v>8</v>
      </c>
      <c r="R247" s="52">
        <v>8</v>
      </c>
    </row>
    <row r="248" spans="1:19" x14ac:dyDescent="0.25">
      <c r="A248" s="32" t="s">
        <v>99</v>
      </c>
      <c r="B248" s="57">
        <f>DATA!O69</f>
        <v>51.749999999999993</v>
      </c>
      <c r="C248" s="57">
        <f>DATA!P69</f>
        <v>58.424999999999997</v>
      </c>
      <c r="D248" s="57">
        <f>DATA!Q69</f>
        <v>54.81</v>
      </c>
      <c r="E248" s="31">
        <f t="shared" si="78"/>
        <v>164.98499999999999</v>
      </c>
      <c r="F248" s="31">
        <f t="shared" si="79"/>
        <v>54.994999999999997</v>
      </c>
      <c r="O248" s="30" t="s">
        <v>14</v>
      </c>
      <c r="P248" s="42">
        <f>SQRT(J242/(3*2))</f>
        <v>1.4236107503599127</v>
      </c>
      <c r="Q248" s="49"/>
    </row>
    <row r="249" spans="1:19" x14ac:dyDescent="0.25">
      <c r="A249" s="32" t="s">
        <v>100</v>
      </c>
      <c r="B249" s="57">
        <f>DATA!O70</f>
        <v>64.599999999999994</v>
      </c>
      <c r="C249" s="57">
        <f>DATA!P70</f>
        <v>74.899999999999991</v>
      </c>
      <c r="D249" s="57">
        <f>DATA!Q70</f>
        <v>61.183999999999997</v>
      </c>
      <c r="E249" s="31">
        <f t="shared" si="78"/>
        <v>200.684</v>
      </c>
      <c r="F249" s="31">
        <f t="shared" si="79"/>
        <v>66.894666666666666</v>
      </c>
      <c r="N249" s="30" t="s">
        <v>109</v>
      </c>
      <c r="O249" s="30" t="s">
        <v>16</v>
      </c>
      <c r="P249" s="42">
        <f>SQRT((2*J242)/(3*2))*L243</f>
        <v>4.0914967976545995</v>
      </c>
      <c r="Q249" s="49"/>
    </row>
    <row r="250" spans="1:19" x14ac:dyDescent="0.25">
      <c r="A250" s="32" t="s">
        <v>101</v>
      </c>
      <c r="B250" s="57">
        <f>DATA!O71</f>
        <v>51.840000000000011</v>
      </c>
      <c r="C250" s="57">
        <f>DATA!P71</f>
        <v>43.675999999999995</v>
      </c>
      <c r="D250" s="57">
        <f>DATA!Q71</f>
        <v>49.088000000000001</v>
      </c>
      <c r="E250" s="31">
        <f t="shared" si="78"/>
        <v>144.60400000000001</v>
      </c>
      <c r="F250" s="31">
        <f>E250/3</f>
        <v>48.201333333333338</v>
      </c>
      <c r="Q250" s="49"/>
    </row>
    <row r="251" spans="1:19" x14ac:dyDescent="0.25">
      <c r="A251" s="32" t="s">
        <v>102</v>
      </c>
      <c r="B251" s="57">
        <f>DATA!O72</f>
        <v>51.875000000000007</v>
      </c>
      <c r="C251" s="57">
        <f>DATA!P72</f>
        <v>54.102000000000004</v>
      </c>
      <c r="D251" s="57">
        <f>DATA!Q72</f>
        <v>55.718999999999994</v>
      </c>
      <c r="E251" s="31">
        <f t="shared" si="78"/>
        <v>161.696</v>
      </c>
      <c r="F251" s="31">
        <f t="shared" ref="F251:F252" si="85">E251/3</f>
        <v>53.898666666666664</v>
      </c>
    </row>
    <row r="252" spans="1:19" x14ac:dyDescent="0.25">
      <c r="A252" s="32" t="s">
        <v>103</v>
      </c>
      <c r="B252" s="57">
        <f>DATA!O73</f>
        <v>42.72</v>
      </c>
      <c r="C252" s="57">
        <f>DATA!P73</f>
        <v>45.548000000000002</v>
      </c>
      <c r="D252" s="57">
        <f>DATA!Q73</f>
        <v>42.78</v>
      </c>
      <c r="E252" s="31">
        <f t="shared" si="78"/>
        <v>131.048</v>
      </c>
      <c r="F252" s="31">
        <f t="shared" si="85"/>
        <v>43.68266666666667</v>
      </c>
    </row>
    <row r="253" spans="1:19" x14ac:dyDescent="0.25">
      <c r="A253" s="30" t="s">
        <v>4</v>
      </c>
      <c r="B253" s="31">
        <f>SUM(B235:B252)</f>
        <v>939.63680000000022</v>
      </c>
      <c r="C253" s="31">
        <f t="shared" ref="C253:D253" si="86">SUM(C235:C252)</f>
        <v>944.18999999999994</v>
      </c>
      <c r="D253" s="31">
        <f t="shared" si="86"/>
        <v>907.92639999999983</v>
      </c>
      <c r="E253" s="31">
        <f>SUM(E235:E252)</f>
        <v>2791.7532000000001</v>
      </c>
      <c r="F253" s="31">
        <f>AVERAGE(B235:D252)</f>
        <v>51.699133333333343</v>
      </c>
    </row>
    <row r="254" spans="1:19" x14ac:dyDescent="0.25">
      <c r="A254" s="30" t="s">
        <v>5</v>
      </c>
      <c r="B254" s="31">
        <f>B253/18</f>
        <v>52.202044444444454</v>
      </c>
      <c r="C254" s="31">
        <f>C253/18</f>
        <v>52.454999999999998</v>
      </c>
      <c r="D254" s="31">
        <f>D253/18</f>
        <v>50.440355555555549</v>
      </c>
    </row>
    <row r="255" spans="1:19" x14ac:dyDescent="0.25">
      <c r="A255" s="30" t="s">
        <v>26</v>
      </c>
      <c r="B255" s="31">
        <f>(E253*E253)/54</f>
        <v>144331.22092056001</v>
      </c>
      <c r="C255" s="31"/>
      <c r="D255" s="31"/>
    </row>
    <row r="256" spans="1:19" x14ac:dyDescent="0.25">
      <c r="A256" s="30" t="s">
        <v>27</v>
      </c>
      <c r="B256" s="31">
        <f>SUMSQ(B235:D252)-B255</f>
        <v>7468.5761466399708</v>
      </c>
      <c r="C256" s="30" t="s">
        <v>28</v>
      </c>
      <c r="D256" s="31">
        <f>(SUMSQ(B253:D253)/18)-B255</f>
        <v>43.357958951091859</v>
      </c>
    </row>
    <row r="257" spans="1:18" x14ac:dyDescent="0.25">
      <c r="A257" s="30" t="s">
        <v>30</v>
      </c>
      <c r="B257" s="31">
        <f>(SUMSQ(E235:E252)/3)-B255</f>
        <v>7011.778003706655</v>
      </c>
      <c r="C257" s="30" t="s">
        <v>31</v>
      </c>
      <c r="D257" s="31">
        <f>B256-B257-D256</f>
        <v>413.44018398222397</v>
      </c>
    </row>
    <row r="261" spans="1:18" ht="15.75" x14ac:dyDescent="0.25">
      <c r="C261" s="56" t="s">
        <v>118</v>
      </c>
    </row>
    <row r="262" spans="1:18" ht="15.75" x14ac:dyDescent="0.25">
      <c r="C262" s="62" t="s">
        <v>117</v>
      </c>
    </row>
    <row r="263" spans="1:18" x14ac:dyDescent="0.25">
      <c r="A263" s="36" t="s">
        <v>104</v>
      </c>
      <c r="B263" s="38">
        <v>2</v>
      </c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5"/>
      <c r="N263" s="35"/>
      <c r="O263" s="39"/>
      <c r="P263" s="39"/>
    </row>
    <row r="264" spans="1:18" x14ac:dyDescent="0.25">
      <c r="A264" s="36" t="s">
        <v>105</v>
      </c>
      <c r="B264" s="38">
        <v>9</v>
      </c>
      <c r="C264" s="39" t="s">
        <v>107</v>
      </c>
      <c r="D264" s="39">
        <v>18</v>
      </c>
      <c r="E264" s="39"/>
      <c r="F264" s="39"/>
      <c r="G264" s="39"/>
      <c r="H264" s="39"/>
      <c r="I264" s="39"/>
      <c r="J264" s="39"/>
      <c r="K264" s="39"/>
      <c r="L264" s="39"/>
      <c r="M264" s="35"/>
      <c r="N264" s="35"/>
      <c r="O264" s="39"/>
      <c r="P264" s="39"/>
    </row>
    <row r="265" spans="1:18" x14ac:dyDescent="0.25">
      <c r="A265" s="37" t="s">
        <v>106</v>
      </c>
      <c r="B265" s="40">
        <v>3</v>
      </c>
    </row>
    <row r="266" spans="1:18" x14ac:dyDescent="0.25">
      <c r="A266" s="46" t="s">
        <v>0</v>
      </c>
      <c r="B266" s="30" t="s">
        <v>1</v>
      </c>
      <c r="C266" s="30" t="s">
        <v>2</v>
      </c>
      <c r="D266" s="30" t="s">
        <v>3</v>
      </c>
      <c r="E266" s="30" t="s">
        <v>4</v>
      </c>
      <c r="F266" s="30" t="s">
        <v>5</v>
      </c>
      <c r="O266" s="41" t="s">
        <v>7</v>
      </c>
      <c r="R266" s="41"/>
    </row>
    <row r="267" spans="1:18" x14ac:dyDescent="0.25">
      <c r="A267" s="32" t="s">
        <v>86</v>
      </c>
      <c r="B267" s="57">
        <f>DATA!O80</f>
        <v>13.328000000000001</v>
      </c>
      <c r="C267" s="57">
        <f>DATA!P80</f>
        <v>16.169999999999998</v>
      </c>
      <c r="D267" s="57">
        <f>DATA!Q80</f>
        <v>16.880000000000003</v>
      </c>
      <c r="E267" s="31">
        <f>SUM(B267:D267)</f>
        <v>46.378</v>
      </c>
      <c r="F267" s="31">
        <f>E267/3</f>
        <v>15.459333333333333</v>
      </c>
      <c r="H267" s="47"/>
      <c r="I267" s="47"/>
      <c r="J267" s="47" t="s">
        <v>6</v>
      </c>
      <c r="K267" s="47"/>
      <c r="L267" s="47"/>
      <c r="M267" s="47"/>
      <c r="N267" s="47"/>
      <c r="O267" s="33">
        <v>1</v>
      </c>
      <c r="P267" s="42">
        <f>SUM(F267:F275)/9</f>
        <v>32.007592592592601</v>
      </c>
      <c r="Q267" s="75">
        <f>RANK(P267,P$267:P$268,0)</f>
        <v>1</v>
      </c>
      <c r="R267" s="41"/>
    </row>
    <row r="268" spans="1:18" x14ac:dyDescent="0.25">
      <c r="A268" s="32" t="s">
        <v>87</v>
      </c>
      <c r="B268" s="57">
        <f>DATA!O81</f>
        <v>30.784999999999997</v>
      </c>
      <c r="C268" s="57">
        <f>DATA!P81</f>
        <v>32.690999999999995</v>
      </c>
      <c r="D268" s="57">
        <f>DATA!Q81</f>
        <v>34.58</v>
      </c>
      <c r="E268" s="31">
        <f t="shared" ref="E268:E284" si="87">SUM(B268:D268)</f>
        <v>98.055999999999983</v>
      </c>
      <c r="F268" s="31">
        <f t="shared" ref="F268:F281" si="88">E268/3</f>
        <v>32.685333333333325</v>
      </c>
      <c r="G268" s="31"/>
      <c r="H268" s="30" t="s">
        <v>8</v>
      </c>
      <c r="I268" s="30" t="s">
        <v>9</v>
      </c>
      <c r="J268" s="30" t="s">
        <v>10</v>
      </c>
      <c r="K268" s="30" t="s">
        <v>11</v>
      </c>
      <c r="L268" s="30" t="s">
        <v>12</v>
      </c>
      <c r="M268" s="30" t="s">
        <v>112</v>
      </c>
      <c r="N268" s="50"/>
      <c r="O268" s="33">
        <v>2</v>
      </c>
      <c r="P268" s="42">
        <f>SUM(F276:F284)/9</f>
        <v>29.410296296296298</v>
      </c>
      <c r="Q268" s="75">
        <f>RANK(P268,P$267:P$268,0)</f>
        <v>2</v>
      </c>
      <c r="R268" s="41"/>
    </row>
    <row r="269" spans="1:18" x14ac:dyDescent="0.25">
      <c r="A269" s="32" t="s">
        <v>88</v>
      </c>
      <c r="B269" s="57">
        <f>DATA!O82</f>
        <v>39.443999999999996</v>
      </c>
      <c r="C269" s="57">
        <f>DATA!P82</f>
        <v>37.335999999999999</v>
      </c>
      <c r="D269" s="57">
        <f>DATA!Q82</f>
        <v>43.541999999999994</v>
      </c>
      <c r="E269" s="31">
        <f t="shared" si="87"/>
        <v>120.322</v>
      </c>
      <c r="F269" s="31">
        <f t="shared" si="88"/>
        <v>40.107333333333337</v>
      </c>
      <c r="G269" s="31" t="s">
        <v>13</v>
      </c>
      <c r="H269" s="31">
        <f>B265-1</f>
        <v>2</v>
      </c>
      <c r="I269" s="31">
        <f>D288</f>
        <v>0.83419411111390218</v>
      </c>
      <c r="J269" s="31">
        <f>I269/H269</f>
        <v>0.41709705555695109</v>
      </c>
      <c r="K269" s="31">
        <f>J269/$J$16</f>
        <v>230.64580266340013</v>
      </c>
      <c r="L269" s="31">
        <f>FINV(0.05,H269,$H$16)</f>
        <v>3.275897990672394</v>
      </c>
      <c r="M269" s="31" t="str">
        <f>IF(K269&gt;=L269, "S", "NS")</f>
        <v>S</v>
      </c>
      <c r="N269" s="39"/>
      <c r="O269" s="30" t="s">
        <v>14</v>
      </c>
      <c r="P269" s="42">
        <f>SQRT(J274/(3*9))</f>
        <v>0.57165171625827105</v>
      </c>
      <c r="R269" s="41"/>
    </row>
    <row r="270" spans="1:18" x14ac:dyDescent="0.25">
      <c r="A270" s="32" t="s">
        <v>89</v>
      </c>
      <c r="B270" s="57">
        <f>DATA!O83</f>
        <v>24.760000000000005</v>
      </c>
      <c r="C270" s="57">
        <f>DATA!P83</f>
        <v>29.232000000000003</v>
      </c>
      <c r="D270" s="57">
        <f>DATA!Q83</f>
        <v>27.477</v>
      </c>
      <c r="E270" s="31">
        <f t="shared" si="87"/>
        <v>81.469000000000008</v>
      </c>
      <c r="F270" s="31">
        <f t="shared" si="88"/>
        <v>27.156333333333336</v>
      </c>
      <c r="G270" s="31" t="s">
        <v>15</v>
      </c>
      <c r="H270" s="31">
        <f>D264-1</f>
        <v>17</v>
      </c>
      <c r="I270" s="31">
        <f>B289</f>
        <v>3615.8246921666723</v>
      </c>
      <c r="J270" s="31">
        <f t="shared" ref="J270:J274" si="89">I270/H270</f>
        <v>212.6955701274513</v>
      </c>
      <c r="K270" s="31">
        <f>J270/$J$16</f>
        <v>117616.12756889182</v>
      </c>
      <c r="L270" s="31">
        <f>FINV(0.05,H270,$H$16)</f>
        <v>1.9332068318040869</v>
      </c>
      <c r="M270" s="43" t="str">
        <f t="shared" ref="M270" si="90">IF(K270&gt;=L270, "S", "NS")</f>
        <v>S</v>
      </c>
      <c r="N270" s="30" t="s">
        <v>113</v>
      </c>
      <c r="O270" s="30" t="s">
        <v>16</v>
      </c>
      <c r="P270" s="42">
        <f>SQRT((2*J274)/(3*9))*L275</f>
        <v>1.6429428942238287</v>
      </c>
      <c r="R270" s="41"/>
    </row>
    <row r="271" spans="1:18" x14ac:dyDescent="0.25">
      <c r="A271" s="32" t="s">
        <v>90</v>
      </c>
      <c r="B271" s="57">
        <f>DATA!O84</f>
        <v>39.312000000000005</v>
      </c>
      <c r="C271" s="57">
        <f>DATA!P84</f>
        <v>37.206000000000003</v>
      </c>
      <c r="D271" s="57">
        <f>DATA!Q84</f>
        <v>37.968000000000004</v>
      </c>
      <c r="E271" s="31">
        <f t="shared" si="87"/>
        <v>114.486</v>
      </c>
      <c r="F271" s="31">
        <f t="shared" si="88"/>
        <v>38.161999999999999</v>
      </c>
      <c r="G271" s="31" t="s">
        <v>108</v>
      </c>
      <c r="H271" s="31">
        <f>B263-1</f>
        <v>1</v>
      </c>
      <c r="I271" s="31">
        <f>(SUM(E267:E275)^2+SUM(E276:E284)^2)/27-B287</f>
        <v>91.070298685175658</v>
      </c>
      <c r="J271" s="31">
        <f t="shared" si="89"/>
        <v>91.070298685175658</v>
      </c>
      <c r="K271" s="31">
        <f>J271/$J$16</f>
        <v>50359.93867420117</v>
      </c>
      <c r="L271" s="31">
        <f>FINV(0.05,H271,$H$16)</f>
        <v>4.1300177456520188</v>
      </c>
      <c r="M271" s="31" t="str">
        <f>IF(K271&gt;=L271, "S", "NS")</f>
        <v>S</v>
      </c>
      <c r="N271" s="39"/>
      <c r="O271" s="33">
        <v>1</v>
      </c>
      <c r="P271" s="42">
        <f>(F267+F276)/2</f>
        <v>14.465333333333334</v>
      </c>
      <c r="Q271" s="75">
        <f>RANK(P271,P$271:P$279,0)</f>
        <v>9</v>
      </c>
      <c r="R271" s="51">
        <v>9</v>
      </c>
    </row>
    <row r="272" spans="1:18" x14ac:dyDescent="0.25">
      <c r="A272" s="32" t="s">
        <v>91</v>
      </c>
      <c r="B272" s="57">
        <f>DATA!O85</f>
        <v>44.225000000000001</v>
      </c>
      <c r="C272" s="57">
        <f>DATA!P85</f>
        <v>48.96</v>
      </c>
      <c r="D272" s="57">
        <f>DATA!Q85</f>
        <v>41.879999999999995</v>
      </c>
      <c r="E272" s="31">
        <f t="shared" si="87"/>
        <v>135.065</v>
      </c>
      <c r="F272" s="31">
        <f t="shared" si="88"/>
        <v>45.021666666666668</v>
      </c>
      <c r="G272" s="31" t="s">
        <v>109</v>
      </c>
      <c r="H272" s="31">
        <f>B264-1</f>
        <v>8</v>
      </c>
      <c r="I272" s="31">
        <f>((E267+E276)^2+(E268+E277)^2+(E269+E278)^2+(E270+E279)^2+(E271+E280)^2+(E272+E281)^2+(E273+E282)^2+(E274+E283)^2+(E275+E284)^2/6)-B287</f>
        <v>256642.8676115</v>
      </c>
      <c r="J272" s="31">
        <f t="shared" si="89"/>
        <v>32080.3584514375</v>
      </c>
      <c r="K272" s="31">
        <f>J272/$J$16</f>
        <v>17739756.073993903</v>
      </c>
      <c r="L272" s="31">
        <f>FINV(0.05,H272,$H$16)</f>
        <v>2.2253399674380931</v>
      </c>
      <c r="M272" s="31" t="str">
        <f>IF(K272&gt;=L272, "S", "NS")</f>
        <v>S</v>
      </c>
      <c r="N272" s="39"/>
      <c r="O272" s="33">
        <v>2</v>
      </c>
      <c r="P272" s="42">
        <f t="shared" ref="P272:P279" si="91">(F268+F277)/2</f>
        <v>31.559666666666661</v>
      </c>
      <c r="Q272" s="75">
        <f t="shared" ref="Q272:Q279" si="92">RANK(P272,P$271:P$279,0)</f>
        <v>5</v>
      </c>
      <c r="R272" s="52">
        <v>5</v>
      </c>
    </row>
    <row r="273" spans="1:18" x14ac:dyDescent="0.25">
      <c r="A273" s="32" t="s">
        <v>92</v>
      </c>
      <c r="B273" s="57">
        <f>DATA!O86</f>
        <v>31.296000000000003</v>
      </c>
      <c r="C273" s="57">
        <f>DATA!P86</f>
        <v>29.375</v>
      </c>
      <c r="D273" s="57">
        <f>DATA!Q86</f>
        <v>27.384000000000004</v>
      </c>
      <c r="E273" s="31">
        <f t="shared" si="87"/>
        <v>88.055000000000007</v>
      </c>
      <c r="F273" s="31">
        <f t="shared" si="88"/>
        <v>29.35166666666667</v>
      </c>
      <c r="G273" s="26" t="s">
        <v>110</v>
      </c>
      <c r="H273" s="31">
        <f>H271*H272</f>
        <v>8</v>
      </c>
      <c r="I273" s="31">
        <f>I270-(I271+I272)</f>
        <v>-253118.11321801849</v>
      </c>
      <c r="J273" s="31">
        <f t="shared" si="89"/>
        <v>-31639.764152252312</v>
      </c>
      <c r="K273" s="44">
        <f>J273/$J$16</f>
        <v>-17496116.79524428</v>
      </c>
      <c r="L273" s="31">
        <f>FINV(0.05,H273,$H$16)</f>
        <v>2.2253399674380931</v>
      </c>
      <c r="M273" s="31" t="str">
        <f t="shared" ref="M273" si="93">IF(K273&gt;=L273, "S", "NS")</f>
        <v>NS</v>
      </c>
      <c r="N273" s="39"/>
      <c r="O273" s="33">
        <v>3</v>
      </c>
      <c r="P273" s="42">
        <f t="shared" si="91"/>
        <v>38.398499999999999</v>
      </c>
      <c r="Q273" s="75">
        <f t="shared" si="92"/>
        <v>2</v>
      </c>
      <c r="R273" s="52">
        <v>2</v>
      </c>
    </row>
    <row r="274" spans="1:18" x14ac:dyDescent="0.25">
      <c r="A274" s="32" t="s">
        <v>93</v>
      </c>
      <c r="B274" s="57">
        <f>DATA!O87</f>
        <v>36.107999999999997</v>
      </c>
      <c r="C274" s="57">
        <f>DATA!P87</f>
        <v>30.820999999999998</v>
      </c>
      <c r="D274" s="57">
        <f>DATA!Q87</f>
        <v>35.088000000000001</v>
      </c>
      <c r="E274" s="31">
        <f t="shared" si="87"/>
        <v>102.017</v>
      </c>
      <c r="F274" s="31">
        <f t="shared" si="88"/>
        <v>34.005666666666663</v>
      </c>
      <c r="G274" s="45" t="s">
        <v>23</v>
      </c>
      <c r="H274" s="31">
        <f>((B265-1)*(B263*B264-1))</f>
        <v>34</v>
      </c>
      <c r="I274" s="31">
        <f>D289</f>
        <v>299.98925855554262</v>
      </c>
      <c r="J274" s="31">
        <f t="shared" si="89"/>
        <v>8.8232134869277239</v>
      </c>
      <c r="O274" s="33">
        <v>4</v>
      </c>
      <c r="P274" s="42">
        <f t="shared" si="91"/>
        <v>26.174833333333332</v>
      </c>
      <c r="Q274" s="75">
        <f t="shared" si="92"/>
        <v>7</v>
      </c>
      <c r="R274" s="52">
        <v>7</v>
      </c>
    </row>
    <row r="275" spans="1:18" x14ac:dyDescent="0.25">
      <c r="A275" s="32" t="s">
        <v>94</v>
      </c>
      <c r="B275" s="57">
        <f>DATA!O88</f>
        <v>27.045000000000002</v>
      </c>
      <c r="C275" s="57">
        <f>DATA!P88</f>
        <v>26.322000000000003</v>
      </c>
      <c r="D275" s="57">
        <f>DATA!Q88</f>
        <v>24.99</v>
      </c>
      <c r="E275" s="31">
        <f t="shared" si="87"/>
        <v>78.356999999999999</v>
      </c>
      <c r="F275" s="31">
        <f t="shared" si="88"/>
        <v>26.119</v>
      </c>
      <c r="G275" s="44" t="s">
        <v>4</v>
      </c>
      <c r="H275" s="31">
        <f>SUM(H269:H274)-H270</f>
        <v>53</v>
      </c>
      <c r="I275" s="31">
        <f>B288</f>
        <v>3916.6481448333288</v>
      </c>
      <c r="K275" s="31" t="s">
        <v>111</v>
      </c>
      <c r="L275" s="41">
        <f>TINV(0.05,34)</f>
        <v>2.0322445093177191</v>
      </c>
      <c r="O275" s="33">
        <v>5</v>
      </c>
      <c r="P275" s="42">
        <f t="shared" si="91"/>
        <v>35.293833333333339</v>
      </c>
      <c r="Q275" s="75">
        <f t="shared" si="92"/>
        <v>3</v>
      </c>
      <c r="R275" s="51">
        <v>3</v>
      </c>
    </row>
    <row r="276" spans="1:18" x14ac:dyDescent="0.25">
      <c r="A276" s="32" t="s">
        <v>95</v>
      </c>
      <c r="B276" s="57">
        <f>DATA!O89</f>
        <v>11.315</v>
      </c>
      <c r="C276" s="57">
        <f>DATA!P89</f>
        <v>14.554999999999998</v>
      </c>
      <c r="D276" s="57">
        <f>DATA!Q89</f>
        <v>14.543999999999999</v>
      </c>
      <c r="E276" s="31">
        <f t="shared" si="87"/>
        <v>40.413999999999994</v>
      </c>
      <c r="F276" s="31">
        <f t="shared" si="88"/>
        <v>13.471333333333332</v>
      </c>
      <c r="G276" s="34" t="s">
        <v>14</v>
      </c>
      <c r="H276" s="31">
        <f>SQRT(J274/3)</f>
        <v>1.7149551487748131</v>
      </c>
      <c r="O276" s="33">
        <v>6</v>
      </c>
      <c r="P276" s="42">
        <f t="shared" si="91"/>
        <v>43.9925</v>
      </c>
      <c r="Q276" s="75">
        <f t="shared" si="92"/>
        <v>1</v>
      </c>
      <c r="R276" s="52">
        <v>1</v>
      </c>
    </row>
    <row r="277" spans="1:18" x14ac:dyDescent="0.25">
      <c r="A277" s="32" t="s">
        <v>96</v>
      </c>
      <c r="B277" s="57">
        <f>DATA!O90</f>
        <v>31.8</v>
      </c>
      <c r="C277" s="57">
        <f>DATA!P90</f>
        <v>30.126999999999992</v>
      </c>
      <c r="D277" s="57">
        <f>DATA!Q90</f>
        <v>29.375</v>
      </c>
      <c r="E277" s="31">
        <f t="shared" si="87"/>
        <v>91.301999999999992</v>
      </c>
      <c r="F277" s="31">
        <f t="shared" si="88"/>
        <v>30.433999999999997</v>
      </c>
      <c r="G277" s="34" t="s">
        <v>16</v>
      </c>
      <c r="H277" s="31">
        <f>(SQRT((2*J274)/3))*L275</f>
        <v>4.9288286826714858</v>
      </c>
      <c r="O277" s="33">
        <v>7</v>
      </c>
      <c r="P277" s="42">
        <f t="shared" si="91"/>
        <v>28.229333333333336</v>
      </c>
      <c r="Q277" s="75">
        <f t="shared" si="92"/>
        <v>6</v>
      </c>
      <c r="R277" s="52">
        <v>6</v>
      </c>
    </row>
    <row r="278" spans="1:18" x14ac:dyDescent="0.25">
      <c r="A278" s="32" t="s">
        <v>97</v>
      </c>
      <c r="B278" s="57">
        <f>DATA!O91</f>
        <v>39.325000000000003</v>
      </c>
      <c r="C278" s="57">
        <f>DATA!P91</f>
        <v>33.75</v>
      </c>
      <c r="D278" s="57">
        <f>DATA!Q91</f>
        <v>36.994</v>
      </c>
      <c r="E278" s="31">
        <f t="shared" si="87"/>
        <v>110.069</v>
      </c>
      <c r="F278" s="31">
        <f t="shared" si="88"/>
        <v>36.689666666666668</v>
      </c>
      <c r="G278" s="34" t="s">
        <v>29</v>
      </c>
      <c r="H278" s="31">
        <f>((SQRT(J274))/F285)*100</f>
        <v>9.6727175229143807</v>
      </c>
      <c r="O278" s="33">
        <v>8</v>
      </c>
      <c r="P278" s="42">
        <f t="shared" si="91"/>
        <v>33.093833333333336</v>
      </c>
      <c r="Q278" s="75">
        <f t="shared" si="92"/>
        <v>4</v>
      </c>
      <c r="R278" s="51">
        <v>4</v>
      </c>
    </row>
    <row r="279" spans="1:18" x14ac:dyDescent="0.25">
      <c r="A279" s="32" t="s">
        <v>98</v>
      </c>
      <c r="B279" s="57">
        <f>DATA!O92</f>
        <v>27.060000000000002</v>
      </c>
      <c r="C279" s="57">
        <f>DATA!P92</f>
        <v>21.645</v>
      </c>
      <c r="D279" s="57">
        <f>DATA!Q92</f>
        <v>26.875</v>
      </c>
      <c r="E279" s="31">
        <f t="shared" si="87"/>
        <v>75.58</v>
      </c>
      <c r="F279" s="31">
        <f t="shared" si="88"/>
        <v>25.193333333333332</v>
      </c>
      <c r="O279" s="33">
        <v>9</v>
      </c>
      <c r="P279" s="42">
        <f t="shared" si="91"/>
        <v>25.172666666666665</v>
      </c>
      <c r="Q279" s="75">
        <f t="shared" si="92"/>
        <v>8</v>
      </c>
      <c r="R279" s="52">
        <v>8</v>
      </c>
    </row>
    <row r="280" spans="1:18" x14ac:dyDescent="0.25">
      <c r="A280" s="32" t="s">
        <v>99</v>
      </c>
      <c r="B280" s="57">
        <f>DATA!O93</f>
        <v>25.44</v>
      </c>
      <c r="C280" s="57">
        <f>DATA!P93</f>
        <v>35.85</v>
      </c>
      <c r="D280" s="57">
        <f>DATA!Q93</f>
        <v>35.987000000000002</v>
      </c>
      <c r="E280" s="31">
        <f t="shared" si="87"/>
        <v>97.277000000000015</v>
      </c>
      <c r="F280" s="31">
        <f t="shared" si="88"/>
        <v>32.425666666666672</v>
      </c>
      <c r="O280" s="30" t="s">
        <v>14</v>
      </c>
      <c r="P280" s="42">
        <f>SQRT(J274/(3*2))</f>
        <v>1.2126564151294548</v>
      </c>
      <c r="Q280" s="49"/>
    </row>
    <row r="281" spans="1:18" x14ac:dyDescent="0.25">
      <c r="A281" s="32" t="s">
        <v>100</v>
      </c>
      <c r="B281" s="57">
        <f>DATA!O94</f>
        <v>43.559999999999995</v>
      </c>
      <c r="C281" s="57">
        <f>DATA!P94</f>
        <v>42.112000000000009</v>
      </c>
      <c r="D281" s="57">
        <f>DATA!Q94</f>
        <v>43.217999999999996</v>
      </c>
      <c r="E281" s="31">
        <f t="shared" si="87"/>
        <v>128.88999999999999</v>
      </c>
      <c r="F281" s="31">
        <f t="shared" si="88"/>
        <v>42.963333333333331</v>
      </c>
      <c r="N281" s="30" t="s">
        <v>109</v>
      </c>
      <c r="O281" s="30" t="s">
        <v>16</v>
      </c>
      <c r="P281" s="42">
        <f>SQRT((2*J274)/(3*2))*L275</f>
        <v>3.4852081848237662</v>
      </c>
      <c r="Q281" s="49"/>
    </row>
    <row r="282" spans="1:18" x14ac:dyDescent="0.25">
      <c r="A282" s="32" t="s">
        <v>101</v>
      </c>
      <c r="B282" s="57">
        <f>DATA!O95</f>
        <v>29.072000000000003</v>
      </c>
      <c r="C282" s="57">
        <f>DATA!P95</f>
        <v>24.234999999999999</v>
      </c>
      <c r="D282" s="57">
        <f>DATA!Q95</f>
        <v>28.014000000000006</v>
      </c>
      <c r="E282" s="31">
        <f t="shared" si="87"/>
        <v>81.321000000000012</v>
      </c>
      <c r="F282" s="31">
        <f>E282/3</f>
        <v>27.107000000000003</v>
      </c>
      <c r="Q282" s="49"/>
    </row>
    <row r="283" spans="1:18" x14ac:dyDescent="0.25">
      <c r="A283" s="32" t="s">
        <v>102</v>
      </c>
      <c r="B283" s="57">
        <f>DATA!O96</f>
        <v>28.888000000000002</v>
      </c>
      <c r="C283" s="57">
        <f>DATA!P96</f>
        <v>35.450000000000003</v>
      </c>
      <c r="D283" s="57">
        <f>DATA!Q96</f>
        <v>32.207999999999998</v>
      </c>
      <c r="E283" s="31">
        <f t="shared" si="87"/>
        <v>96.546000000000006</v>
      </c>
      <c r="F283" s="31">
        <f t="shared" ref="F283:F284" si="94">E283/3</f>
        <v>32.182000000000002</v>
      </c>
    </row>
    <row r="284" spans="1:18" x14ac:dyDescent="0.25">
      <c r="A284" s="32" t="s">
        <v>103</v>
      </c>
      <c r="B284" s="57">
        <f>DATA!O97</f>
        <v>27.264999999999993</v>
      </c>
      <c r="C284" s="57">
        <f>DATA!P97</f>
        <v>26.91</v>
      </c>
      <c r="D284" s="57">
        <f>DATA!Q97</f>
        <v>18.503999999999998</v>
      </c>
      <c r="E284" s="31">
        <f t="shared" si="87"/>
        <v>72.679000000000002</v>
      </c>
      <c r="F284" s="31">
        <f t="shared" si="94"/>
        <v>24.226333333333333</v>
      </c>
    </row>
    <row r="285" spans="1:18" x14ac:dyDescent="0.25">
      <c r="A285" s="30" t="s">
        <v>4</v>
      </c>
      <c r="B285" s="31">
        <f>SUM(B267:B284)</f>
        <v>550.02800000000002</v>
      </c>
      <c r="C285" s="31">
        <f t="shared" ref="C285:D285" si="95">SUM(C267:C284)</f>
        <v>552.74700000000007</v>
      </c>
      <c r="D285" s="31">
        <f t="shared" si="95"/>
        <v>555.50800000000004</v>
      </c>
      <c r="E285" s="31">
        <f>SUM(E267:E284)</f>
        <v>1658.2830000000001</v>
      </c>
      <c r="F285" s="31">
        <f>AVERAGE(B267:D284)</f>
        <v>30.708944444444437</v>
      </c>
    </row>
    <row r="286" spans="1:18" x14ac:dyDescent="0.25">
      <c r="A286" s="30" t="s">
        <v>5</v>
      </c>
      <c r="B286" s="31">
        <f>B285/18</f>
        <v>30.557111111111112</v>
      </c>
      <c r="C286" s="31">
        <f>C285/18</f>
        <v>30.708166666666671</v>
      </c>
      <c r="D286" s="31">
        <f>D285/18</f>
        <v>30.861555555555558</v>
      </c>
    </row>
    <row r="287" spans="1:18" x14ac:dyDescent="0.25">
      <c r="A287" s="30" t="s">
        <v>26</v>
      </c>
      <c r="B287" s="31">
        <f>(E285*E285)/54</f>
        <v>50924.120520166674</v>
      </c>
      <c r="C287" s="31"/>
      <c r="D287" s="31"/>
    </row>
    <row r="288" spans="1:18" x14ac:dyDescent="0.25">
      <c r="A288" s="30" t="s">
        <v>27</v>
      </c>
      <c r="B288" s="31">
        <f>SUMSQ(B267:D284)-B287</f>
        <v>3916.6481448333288</v>
      </c>
      <c r="C288" s="30" t="s">
        <v>28</v>
      </c>
      <c r="D288" s="31">
        <f>(SUMSQ(B285:D285)/18)-B287</f>
        <v>0.83419411111390218</v>
      </c>
    </row>
    <row r="289" spans="1:18" x14ac:dyDescent="0.25">
      <c r="A289" s="30" t="s">
        <v>30</v>
      </c>
      <c r="B289" s="31">
        <f>(SUMSQ(E267:E284)/3)-B287</f>
        <v>3615.8246921666723</v>
      </c>
      <c r="C289" s="30" t="s">
        <v>31</v>
      </c>
      <c r="D289" s="31">
        <f>B288-B289-D288</f>
        <v>299.98925855554262</v>
      </c>
    </row>
    <row r="290" spans="1:18" x14ac:dyDescent="0.25">
      <c r="A290" s="50"/>
      <c r="B290" s="39"/>
      <c r="C290" s="50"/>
      <c r="D290" s="39"/>
    </row>
    <row r="291" spans="1:18" x14ac:dyDescent="0.25">
      <c r="A291" s="50"/>
      <c r="B291" s="39"/>
      <c r="C291" s="50"/>
      <c r="D291" s="39"/>
    </row>
    <row r="292" spans="1:18" x14ac:dyDescent="0.25">
      <c r="A292" s="50"/>
      <c r="B292" s="39"/>
      <c r="C292" s="50"/>
      <c r="D292" s="39"/>
    </row>
    <row r="293" spans="1:18" ht="15.75" x14ac:dyDescent="0.25">
      <c r="C293" s="56" t="s">
        <v>118</v>
      </c>
    </row>
    <row r="294" spans="1:18" ht="15.75" x14ac:dyDescent="0.25">
      <c r="C294" s="62" t="s">
        <v>119</v>
      </c>
    </row>
    <row r="295" spans="1:18" x14ac:dyDescent="0.25">
      <c r="A295" s="36" t="s">
        <v>104</v>
      </c>
      <c r="B295" s="38">
        <v>2</v>
      </c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5"/>
      <c r="N295" s="35"/>
      <c r="O295" s="39"/>
      <c r="P295" s="39"/>
    </row>
    <row r="296" spans="1:18" x14ac:dyDescent="0.25">
      <c r="A296" s="36" t="s">
        <v>105</v>
      </c>
      <c r="B296" s="38">
        <v>9</v>
      </c>
      <c r="C296" s="39" t="s">
        <v>107</v>
      </c>
      <c r="D296" s="39">
        <v>18</v>
      </c>
      <c r="E296" s="39"/>
      <c r="F296" s="39"/>
      <c r="G296" s="39"/>
      <c r="H296" s="39"/>
      <c r="I296" s="39"/>
      <c r="J296" s="39"/>
      <c r="K296" s="39"/>
      <c r="L296" s="39"/>
      <c r="M296" s="35"/>
      <c r="N296" s="35"/>
      <c r="O296" s="39"/>
      <c r="P296" s="39"/>
    </row>
    <row r="297" spans="1:18" x14ac:dyDescent="0.25">
      <c r="A297" s="37" t="s">
        <v>106</v>
      </c>
      <c r="B297" s="40">
        <v>3</v>
      </c>
    </row>
    <row r="298" spans="1:18" x14ac:dyDescent="0.25">
      <c r="A298" s="46" t="s">
        <v>0</v>
      </c>
      <c r="B298" s="30" t="s">
        <v>1</v>
      </c>
      <c r="C298" s="30" t="s">
        <v>2</v>
      </c>
      <c r="D298" s="30" t="s">
        <v>3</v>
      </c>
      <c r="E298" s="30" t="s">
        <v>4</v>
      </c>
      <c r="F298" s="30" t="s">
        <v>5</v>
      </c>
      <c r="O298" s="41" t="s">
        <v>7</v>
      </c>
      <c r="R298" s="41"/>
    </row>
    <row r="299" spans="1:18" x14ac:dyDescent="0.25">
      <c r="A299" s="32" t="s">
        <v>86</v>
      </c>
      <c r="B299" s="58">
        <f>B235+B267</f>
        <v>44.332999999999998</v>
      </c>
      <c r="C299" s="58">
        <f t="shared" ref="C299:D299" si="96">C235+C267</f>
        <v>41.239999999999995</v>
      </c>
      <c r="D299" s="58">
        <f t="shared" si="96"/>
        <v>44.916399999999996</v>
      </c>
      <c r="E299" s="31">
        <f>SUM(B299:D299)</f>
        <v>130.48939999999999</v>
      </c>
      <c r="F299" s="31">
        <f>E299/3</f>
        <v>43.496466666666663</v>
      </c>
      <c r="H299" s="47"/>
      <c r="I299" s="47"/>
      <c r="J299" s="47" t="s">
        <v>6</v>
      </c>
      <c r="K299" s="47"/>
      <c r="L299" s="47"/>
      <c r="M299" s="47"/>
      <c r="N299" s="47"/>
      <c r="O299" s="33">
        <v>1</v>
      </c>
      <c r="P299" s="42">
        <f>SUM(F299:F307)/9</f>
        <v>85.401637037037034</v>
      </c>
      <c r="Q299" s="75">
        <f>RANK(P299,P$299:P$300,0)</f>
        <v>1</v>
      </c>
      <c r="R299" s="41"/>
    </row>
    <row r="300" spans="1:18" x14ac:dyDescent="0.25">
      <c r="A300" s="32" t="s">
        <v>87</v>
      </c>
      <c r="B300" s="58">
        <f t="shared" ref="B300:D300" si="97">B236+B268</f>
        <v>81.42179999999999</v>
      </c>
      <c r="C300" s="58">
        <f t="shared" si="97"/>
        <v>87.626999999999981</v>
      </c>
      <c r="D300" s="58">
        <f t="shared" si="97"/>
        <v>90.204999999999998</v>
      </c>
      <c r="E300" s="31">
        <f t="shared" ref="E300:E316" si="98">SUM(B300:D300)</f>
        <v>259.25379999999996</v>
      </c>
      <c r="F300" s="31">
        <f t="shared" ref="F300:F313" si="99">E300/3</f>
        <v>86.417933333333323</v>
      </c>
      <c r="G300" s="31"/>
      <c r="H300" s="30" t="s">
        <v>8</v>
      </c>
      <c r="I300" s="30" t="s">
        <v>9</v>
      </c>
      <c r="J300" s="30" t="s">
        <v>10</v>
      </c>
      <c r="K300" s="30" t="s">
        <v>11</v>
      </c>
      <c r="L300" s="30" t="s">
        <v>12</v>
      </c>
      <c r="M300" s="30" t="s">
        <v>112</v>
      </c>
      <c r="N300" s="50"/>
      <c r="O300" s="33">
        <v>2</v>
      </c>
      <c r="P300" s="42">
        <f>SUM(F308:F316)/9</f>
        <v>79.414518518518506</v>
      </c>
      <c r="Q300" s="75">
        <f>RANK(P300,P$299:P$300,0)</f>
        <v>2</v>
      </c>
      <c r="R300" s="41"/>
    </row>
    <row r="301" spans="1:18" x14ac:dyDescent="0.25">
      <c r="A301" s="32" t="s">
        <v>88</v>
      </c>
      <c r="B301" s="58">
        <f t="shared" ref="B301:D301" si="100">B237+B269</f>
        <v>104.78399999999999</v>
      </c>
      <c r="C301" s="58">
        <f t="shared" si="100"/>
        <v>102.46000000000001</v>
      </c>
      <c r="D301" s="58">
        <f t="shared" si="100"/>
        <v>106.31700000000001</v>
      </c>
      <c r="E301" s="31">
        <f t="shared" si="98"/>
        <v>313.56100000000004</v>
      </c>
      <c r="F301" s="31">
        <f t="shared" si="99"/>
        <v>104.52033333333334</v>
      </c>
      <c r="G301" s="31" t="s">
        <v>13</v>
      </c>
      <c r="H301" s="31">
        <f>B297-1</f>
        <v>2</v>
      </c>
      <c r="I301" s="31">
        <f>D320</f>
        <v>34.506351551099215</v>
      </c>
      <c r="J301" s="31">
        <f>I301/H301</f>
        <v>17.253175775549607</v>
      </c>
      <c r="K301" s="31">
        <f>J301/$J$16</f>
        <v>9540.6393361629016</v>
      </c>
      <c r="L301" s="31">
        <f>FINV(0.05,H301,$H$16)</f>
        <v>3.275897990672394</v>
      </c>
      <c r="M301" s="31" t="str">
        <f>IF(K301&gt;=L301, "S", "NS")</f>
        <v>S</v>
      </c>
      <c r="N301" s="39"/>
      <c r="O301" s="30" t="s">
        <v>14</v>
      </c>
      <c r="P301" s="42">
        <f>SQRT(J306/(3*9))</f>
        <v>1.0137549823198089</v>
      </c>
      <c r="R301" s="41"/>
    </row>
    <row r="302" spans="1:18" x14ac:dyDescent="0.25">
      <c r="A302" s="32" t="s">
        <v>89</v>
      </c>
      <c r="B302" s="58">
        <f t="shared" ref="B302:D302" si="101">B238+B270</f>
        <v>75.448000000000008</v>
      </c>
      <c r="C302" s="58">
        <f t="shared" si="101"/>
        <v>77.856999999999999</v>
      </c>
      <c r="D302" s="58">
        <f t="shared" si="101"/>
        <v>74.581000000000003</v>
      </c>
      <c r="E302" s="31">
        <f t="shared" si="98"/>
        <v>227.88600000000002</v>
      </c>
      <c r="F302" s="31">
        <f t="shared" si="99"/>
        <v>75.962000000000003</v>
      </c>
      <c r="G302" s="31" t="s">
        <v>15</v>
      </c>
      <c r="H302" s="31">
        <f>D296-1</f>
        <v>17</v>
      </c>
      <c r="I302" s="31">
        <f>B321</f>
        <v>20610.44698040653</v>
      </c>
      <c r="J302" s="31">
        <f t="shared" ref="J302:J306" si="102">I302/H302</f>
        <v>1212.3792341415606</v>
      </c>
      <c r="K302" s="31">
        <f>J302/$J$16</f>
        <v>670419.93671623373</v>
      </c>
      <c r="L302" s="31">
        <f>FINV(0.05,H302,$H$16)</f>
        <v>1.9332068318040869</v>
      </c>
      <c r="M302" s="43" t="str">
        <f t="shared" ref="M302" si="103">IF(K302&gt;=L302, "S", "NS")</f>
        <v>S</v>
      </c>
      <c r="N302" s="30" t="s">
        <v>113</v>
      </c>
      <c r="O302" s="30" t="s">
        <v>16</v>
      </c>
      <c r="P302" s="42">
        <f>SQRT((2*J306)/(3*9))*L307</f>
        <v>2.9135599479838614</v>
      </c>
      <c r="R302" s="41"/>
    </row>
    <row r="303" spans="1:18" x14ac:dyDescent="0.25">
      <c r="A303" s="32" t="s">
        <v>90</v>
      </c>
      <c r="B303" s="58">
        <f t="shared" ref="B303:D303" si="104">B239+B271</f>
        <v>98.367000000000004</v>
      </c>
      <c r="C303" s="58">
        <f t="shared" si="104"/>
        <v>101.75399999999999</v>
      </c>
      <c r="D303" s="58">
        <f t="shared" si="104"/>
        <v>99.52800000000002</v>
      </c>
      <c r="E303" s="31">
        <f t="shared" si="98"/>
        <v>299.649</v>
      </c>
      <c r="F303" s="31">
        <f t="shared" si="99"/>
        <v>99.882999999999996</v>
      </c>
      <c r="G303" s="31" t="s">
        <v>108</v>
      </c>
      <c r="H303" s="31">
        <f>B295-1</f>
        <v>1</v>
      </c>
      <c r="I303" s="31">
        <f>(SUM(E299:E307)^2+SUM(E308:E316)^2)/27-B319</f>
        <v>483.91544008936035</v>
      </c>
      <c r="J303" s="31">
        <f t="shared" si="102"/>
        <v>483.91544008936035</v>
      </c>
      <c r="K303" s="31">
        <f>J303/$J$16</f>
        <v>267594.94849846337</v>
      </c>
      <c r="L303" s="31">
        <f>FINV(0.05,H303,$H$16)</f>
        <v>4.1300177456520188</v>
      </c>
      <c r="M303" s="31" t="str">
        <f>IF(K303&gt;=L303, "S", "NS")</f>
        <v>S</v>
      </c>
      <c r="N303" s="39"/>
      <c r="O303" s="33">
        <v>1</v>
      </c>
      <c r="P303" s="42">
        <f>(F299+F308)/2</f>
        <v>41.897233333333332</v>
      </c>
      <c r="Q303" s="75">
        <f>RANK(P303,P$303:P$311,0)</f>
        <v>9</v>
      </c>
      <c r="R303" s="51">
        <v>9</v>
      </c>
    </row>
    <row r="304" spans="1:18" x14ac:dyDescent="0.25">
      <c r="A304" s="32" t="s">
        <v>91</v>
      </c>
      <c r="B304" s="58">
        <f t="shared" ref="B304:D304" si="105">B240+B272</f>
        <v>115.761</v>
      </c>
      <c r="C304" s="58">
        <f t="shared" si="105"/>
        <v>122.11199999999999</v>
      </c>
      <c r="D304" s="58">
        <f t="shared" si="105"/>
        <v>108.38399999999999</v>
      </c>
      <c r="E304" s="31">
        <f t="shared" si="98"/>
        <v>346.25699999999995</v>
      </c>
      <c r="F304" s="31">
        <f t="shared" si="99"/>
        <v>115.41899999999998</v>
      </c>
      <c r="G304" s="31" t="s">
        <v>109</v>
      </c>
      <c r="H304" s="31">
        <f>B296-1</f>
        <v>8</v>
      </c>
      <c r="I304" s="31">
        <f>((E299+E308)^2+(E300+E309)^2+(E301+E310)^2+(E302+E311)^2+(E303+E312)^2+(E304+E313)^2+(E305+E314)^2+(E306+E315)^2+(E307+E316)^2/6)-B319</f>
        <v>1805897.8510419731</v>
      </c>
      <c r="J304" s="31">
        <f t="shared" si="102"/>
        <v>225737.23138024664</v>
      </c>
      <c r="K304" s="31">
        <f>J304/$J$16</f>
        <v>124827888.92668551</v>
      </c>
      <c r="L304" s="31">
        <f>FINV(0.05,H304,$H$16)</f>
        <v>2.2253399674380931</v>
      </c>
      <c r="M304" s="31" t="str">
        <f>IF(K304&gt;=L304, "S", "NS")</f>
        <v>S</v>
      </c>
      <c r="N304" s="39"/>
      <c r="O304" s="33">
        <v>2</v>
      </c>
      <c r="P304" s="42">
        <f t="shared" ref="P304:P311" si="106">(F300+F309)/2</f>
        <v>82.449799999999996</v>
      </c>
      <c r="Q304" s="75">
        <f t="shared" ref="Q304:Q311" si="107">RANK(P304,P$303:P$311,0)</f>
        <v>5</v>
      </c>
      <c r="R304" s="52">
        <v>5</v>
      </c>
    </row>
    <row r="305" spans="1:18" x14ac:dyDescent="0.25">
      <c r="A305" s="32" t="s">
        <v>92</v>
      </c>
      <c r="B305" s="58">
        <f t="shared" ref="B305:D305" si="108">B241+B273</f>
        <v>84.628</v>
      </c>
      <c r="C305" s="58">
        <f t="shared" si="108"/>
        <v>79.807000000000002</v>
      </c>
      <c r="D305" s="58">
        <f t="shared" si="108"/>
        <v>76.751999999999995</v>
      </c>
      <c r="E305" s="31">
        <f t="shared" si="98"/>
        <v>241.18700000000001</v>
      </c>
      <c r="F305" s="31">
        <f t="shared" si="99"/>
        <v>80.395666666666671</v>
      </c>
      <c r="G305" s="26" t="s">
        <v>110</v>
      </c>
      <c r="H305" s="31">
        <f>H303*H304</f>
        <v>8</v>
      </c>
      <c r="I305" s="31">
        <f>I302-(I303+I304)</f>
        <v>-1785771.3195016559</v>
      </c>
      <c r="J305" s="31">
        <f t="shared" si="102"/>
        <v>-223221.41493770698</v>
      </c>
      <c r="K305" s="44">
        <f>J305/$J$16</f>
        <v>-123436695.92972581</v>
      </c>
      <c r="L305" s="31">
        <f>FINV(0.05,H305,$H$16)</f>
        <v>2.2253399674380931</v>
      </c>
      <c r="M305" s="31" t="str">
        <f t="shared" ref="M305" si="109">IF(K305&gt;=L305, "S", "NS")</f>
        <v>NS</v>
      </c>
      <c r="N305" s="39"/>
      <c r="O305" s="33">
        <v>3</v>
      </c>
      <c r="P305" s="42">
        <f t="shared" si="106"/>
        <v>101.70266666666666</v>
      </c>
      <c r="Q305" s="75">
        <f t="shared" si="107"/>
        <v>2</v>
      </c>
      <c r="R305" s="52">
        <v>2</v>
      </c>
    </row>
    <row r="306" spans="1:18" x14ac:dyDescent="0.25">
      <c r="A306" s="32" t="s">
        <v>93</v>
      </c>
      <c r="B306" s="58">
        <f t="shared" ref="B306:D306" si="110">B242+B274</f>
        <v>94.97999999999999</v>
      </c>
      <c r="C306" s="58">
        <f t="shared" si="110"/>
        <v>85.570999999999998</v>
      </c>
      <c r="D306" s="58">
        <f t="shared" si="110"/>
        <v>89.443999999999988</v>
      </c>
      <c r="E306" s="31">
        <f t="shared" si="98"/>
        <v>269.995</v>
      </c>
      <c r="F306" s="31">
        <f t="shared" si="99"/>
        <v>89.998333333333335</v>
      </c>
      <c r="G306" s="45" t="s">
        <v>23</v>
      </c>
      <c r="H306" s="31">
        <f>((B297-1)*(B295*B296-1))</f>
        <v>34</v>
      </c>
      <c r="I306" s="31">
        <f>D321</f>
        <v>943.42783271562075</v>
      </c>
      <c r="J306" s="31">
        <f t="shared" si="102"/>
        <v>27.747877432812373</v>
      </c>
      <c r="O306" s="33">
        <v>4</v>
      </c>
      <c r="P306" s="42">
        <f t="shared" si="106"/>
        <v>73.225666666666669</v>
      </c>
      <c r="Q306" s="75">
        <f t="shared" si="107"/>
        <v>7</v>
      </c>
      <c r="R306" s="52">
        <v>7</v>
      </c>
    </row>
    <row r="307" spans="1:18" x14ac:dyDescent="0.25">
      <c r="A307" s="32" t="s">
        <v>94</v>
      </c>
      <c r="B307" s="58">
        <f t="shared" ref="B307:D307" si="111">B243+B275</f>
        <v>76.025000000000006</v>
      </c>
      <c r="C307" s="58">
        <f t="shared" si="111"/>
        <v>73.426000000000002</v>
      </c>
      <c r="D307" s="58">
        <f t="shared" si="111"/>
        <v>68.114999999999995</v>
      </c>
      <c r="E307" s="31">
        <f t="shared" si="98"/>
        <v>217.56600000000003</v>
      </c>
      <c r="F307" s="31">
        <f t="shared" si="99"/>
        <v>72.522000000000006</v>
      </c>
      <c r="G307" s="44" t="s">
        <v>4</v>
      </c>
      <c r="H307" s="31">
        <f>SUM(H301:H306)-H302</f>
        <v>53</v>
      </c>
      <c r="I307" s="31">
        <f>B320</f>
        <v>21588.38116467325</v>
      </c>
      <c r="K307" s="31" t="s">
        <v>111</v>
      </c>
      <c r="L307" s="41">
        <f>TINV(0.05,34)</f>
        <v>2.0322445093177191</v>
      </c>
      <c r="O307" s="33">
        <v>5</v>
      </c>
      <c r="P307" s="42">
        <f t="shared" si="106"/>
        <v>93.651833333333329</v>
      </c>
      <c r="Q307" s="75">
        <f t="shared" si="107"/>
        <v>3</v>
      </c>
      <c r="R307" s="51">
        <v>3</v>
      </c>
    </row>
    <row r="308" spans="1:18" x14ac:dyDescent="0.25">
      <c r="A308" s="32" t="s">
        <v>95</v>
      </c>
      <c r="B308" s="58">
        <f t="shared" ref="B308:D308" si="112">B244+B276</f>
        <v>33.023000000000003</v>
      </c>
      <c r="C308" s="58">
        <f t="shared" si="112"/>
        <v>40.997</v>
      </c>
      <c r="D308" s="58">
        <f t="shared" si="112"/>
        <v>46.873999999999995</v>
      </c>
      <c r="E308" s="31">
        <f t="shared" si="98"/>
        <v>120.89400000000001</v>
      </c>
      <c r="F308" s="31">
        <f t="shared" si="99"/>
        <v>40.298000000000002</v>
      </c>
      <c r="G308" s="34" t="s">
        <v>14</v>
      </c>
      <c r="H308" s="31">
        <f>SQRT(J306/3)</f>
        <v>3.0412649469594264</v>
      </c>
      <c r="O308" s="33">
        <v>6</v>
      </c>
      <c r="P308" s="42">
        <f t="shared" si="106"/>
        <v>112.63849999999999</v>
      </c>
      <c r="Q308" s="75">
        <f t="shared" si="107"/>
        <v>1</v>
      </c>
      <c r="R308" s="52">
        <v>1</v>
      </c>
    </row>
    <row r="309" spans="1:18" x14ac:dyDescent="0.25">
      <c r="A309" s="32" t="s">
        <v>96</v>
      </c>
      <c r="B309" s="58">
        <f t="shared" ref="B309:D309" si="113">B245+B277</f>
        <v>81.947999999999993</v>
      </c>
      <c r="C309" s="58">
        <f t="shared" si="113"/>
        <v>77.512</v>
      </c>
      <c r="D309" s="58">
        <f t="shared" si="113"/>
        <v>75.984999999999999</v>
      </c>
      <c r="E309" s="31">
        <f t="shared" si="98"/>
        <v>235.44499999999999</v>
      </c>
      <c r="F309" s="31">
        <f t="shared" si="99"/>
        <v>78.481666666666669</v>
      </c>
      <c r="G309" s="34" t="s">
        <v>16</v>
      </c>
      <c r="H309" s="31">
        <f>(SQRT((2*J306)/3))*L307</f>
        <v>8.7406798439515825</v>
      </c>
      <c r="O309" s="33">
        <v>7</v>
      </c>
      <c r="P309" s="42">
        <f t="shared" si="106"/>
        <v>77.852000000000004</v>
      </c>
      <c r="Q309" s="75">
        <f t="shared" si="107"/>
        <v>6</v>
      </c>
      <c r="R309" s="52">
        <v>6</v>
      </c>
    </row>
    <row r="310" spans="1:18" x14ac:dyDescent="0.25">
      <c r="A310" s="32" t="s">
        <v>97</v>
      </c>
      <c r="B310" s="58">
        <f t="shared" ref="B310:D310" si="114">B246+B278</f>
        <v>106.876</v>
      </c>
      <c r="C310" s="58">
        <f t="shared" si="114"/>
        <v>97.605000000000004</v>
      </c>
      <c r="D310" s="58">
        <f t="shared" si="114"/>
        <v>92.173999999999992</v>
      </c>
      <c r="E310" s="31">
        <f t="shared" si="98"/>
        <v>296.65499999999997</v>
      </c>
      <c r="F310" s="31">
        <f t="shared" si="99"/>
        <v>98.884999999999991</v>
      </c>
      <c r="G310" s="34" t="s">
        <v>29</v>
      </c>
      <c r="H310" s="31">
        <f>((SQRT(J306))/F317)*100</f>
        <v>6.3921226528505057</v>
      </c>
      <c r="O310" s="33">
        <v>8</v>
      </c>
      <c r="P310" s="42">
        <f t="shared" si="106"/>
        <v>88.039500000000004</v>
      </c>
      <c r="Q310" s="75">
        <f t="shared" si="107"/>
        <v>4</v>
      </c>
      <c r="R310" s="51">
        <v>4</v>
      </c>
    </row>
    <row r="311" spans="1:18" x14ac:dyDescent="0.25">
      <c r="A311" s="32" t="s">
        <v>98</v>
      </c>
      <c r="B311" s="58">
        <f t="shared" ref="B311:D311" si="115">B247+B279</f>
        <v>75.06</v>
      </c>
      <c r="C311" s="58">
        <f t="shared" si="115"/>
        <v>67.760999999999996</v>
      </c>
      <c r="D311" s="58">
        <f t="shared" si="115"/>
        <v>68.646999999999991</v>
      </c>
      <c r="E311" s="31">
        <f t="shared" si="98"/>
        <v>211.46799999999999</v>
      </c>
      <c r="F311" s="31">
        <f t="shared" si="99"/>
        <v>70.489333333333335</v>
      </c>
      <c r="O311" s="33">
        <v>9</v>
      </c>
      <c r="P311" s="42">
        <f t="shared" si="106"/>
        <v>70.215499999999992</v>
      </c>
      <c r="Q311" s="75">
        <f t="shared" si="107"/>
        <v>8</v>
      </c>
      <c r="R311" s="52">
        <v>8</v>
      </c>
    </row>
    <row r="312" spans="1:18" x14ac:dyDescent="0.25">
      <c r="A312" s="32" t="s">
        <v>99</v>
      </c>
      <c r="B312" s="58">
        <f t="shared" ref="B312:D312" si="116">B248+B280</f>
        <v>77.19</v>
      </c>
      <c r="C312" s="58">
        <f t="shared" si="116"/>
        <v>94.275000000000006</v>
      </c>
      <c r="D312" s="58">
        <f t="shared" si="116"/>
        <v>90.796999999999997</v>
      </c>
      <c r="E312" s="31">
        <f t="shared" si="98"/>
        <v>262.262</v>
      </c>
      <c r="F312" s="31">
        <f t="shared" si="99"/>
        <v>87.420666666666662</v>
      </c>
      <c r="O312" s="30" t="s">
        <v>14</v>
      </c>
      <c r="P312" s="42">
        <f>SQRT(J306/(3*2))</f>
        <v>2.1504990673799562</v>
      </c>
      <c r="Q312" s="49"/>
    </row>
    <row r="313" spans="1:18" x14ac:dyDescent="0.25">
      <c r="A313" s="32" t="s">
        <v>100</v>
      </c>
      <c r="B313" s="58">
        <f t="shared" ref="B313:D313" si="117">B249+B281</f>
        <v>108.16</v>
      </c>
      <c r="C313" s="58">
        <f t="shared" si="117"/>
        <v>117.012</v>
      </c>
      <c r="D313" s="58">
        <f t="shared" si="117"/>
        <v>104.40199999999999</v>
      </c>
      <c r="E313" s="31">
        <f t="shared" si="98"/>
        <v>329.57399999999996</v>
      </c>
      <c r="F313" s="31">
        <f t="shared" si="99"/>
        <v>109.85799999999999</v>
      </c>
      <c r="N313" s="30" t="s">
        <v>109</v>
      </c>
      <c r="O313" s="30" t="s">
        <v>16</v>
      </c>
      <c r="P313" s="42">
        <f>SQRT((2*J306)/(3*2))*L307</f>
        <v>6.1805939898387381</v>
      </c>
      <c r="Q313" s="49"/>
    </row>
    <row r="314" spans="1:18" x14ac:dyDescent="0.25">
      <c r="A314" s="32" t="s">
        <v>101</v>
      </c>
      <c r="B314" s="58">
        <f t="shared" ref="B314:D314" si="118">B250+B282</f>
        <v>80.912000000000006</v>
      </c>
      <c r="C314" s="58">
        <f t="shared" si="118"/>
        <v>67.911000000000001</v>
      </c>
      <c r="D314" s="58">
        <f t="shared" si="118"/>
        <v>77.102000000000004</v>
      </c>
      <c r="E314" s="31">
        <f t="shared" si="98"/>
        <v>225.92500000000001</v>
      </c>
      <c r="F314" s="31">
        <f>E314/3</f>
        <v>75.308333333333337</v>
      </c>
      <c r="Q314" s="49"/>
    </row>
    <row r="315" spans="1:18" x14ac:dyDescent="0.25">
      <c r="A315" s="32" t="s">
        <v>102</v>
      </c>
      <c r="B315" s="58">
        <f t="shared" ref="B315:D315" si="119">B251+B283</f>
        <v>80.763000000000005</v>
      </c>
      <c r="C315" s="58">
        <f t="shared" si="119"/>
        <v>89.552000000000007</v>
      </c>
      <c r="D315" s="58">
        <f t="shared" si="119"/>
        <v>87.926999999999992</v>
      </c>
      <c r="E315" s="31">
        <f t="shared" si="98"/>
        <v>258.24199999999996</v>
      </c>
      <c r="F315" s="31">
        <f t="shared" ref="F315:F316" si="120">E315/3</f>
        <v>86.080666666666659</v>
      </c>
    </row>
    <row r="316" spans="1:18" x14ac:dyDescent="0.25">
      <c r="A316" s="32" t="s">
        <v>103</v>
      </c>
      <c r="B316" s="58">
        <f t="shared" ref="B316:D316" si="121">B252+B284</f>
        <v>69.984999999999985</v>
      </c>
      <c r="C316" s="58">
        <f t="shared" si="121"/>
        <v>72.457999999999998</v>
      </c>
      <c r="D316" s="58">
        <f t="shared" si="121"/>
        <v>61.283999999999999</v>
      </c>
      <c r="E316" s="31">
        <f t="shared" si="98"/>
        <v>203.72699999999998</v>
      </c>
      <c r="F316" s="31">
        <f t="shared" si="120"/>
        <v>67.908999999999992</v>
      </c>
    </row>
    <row r="317" spans="1:18" x14ac:dyDescent="0.25">
      <c r="A317" s="30" t="s">
        <v>4</v>
      </c>
      <c r="B317" s="31">
        <f>SUM(B299:B316)</f>
        <v>1489.6648</v>
      </c>
      <c r="C317" s="31">
        <f t="shared" ref="C317:D317" si="122">SUM(C299:C316)</f>
        <v>1496.9370000000001</v>
      </c>
      <c r="D317" s="31">
        <f t="shared" si="122"/>
        <v>1463.4344000000001</v>
      </c>
      <c r="E317" s="31">
        <f>SUM(E299:E316)</f>
        <v>4450.0362000000005</v>
      </c>
      <c r="F317" s="31">
        <f>AVERAGE(B299:D316)</f>
        <v>82.408077777777734</v>
      </c>
    </row>
    <row r="318" spans="1:18" x14ac:dyDescent="0.25">
      <c r="A318" s="30" t="s">
        <v>5</v>
      </c>
      <c r="B318" s="31">
        <f>B317/18</f>
        <v>82.759155555555552</v>
      </c>
      <c r="C318" s="31">
        <f>C317/18</f>
        <v>83.163166666666669</v>
      </c>
      <c r="D318" s="31">
        <f>D317/18</f>
        <v>81.30191111111111</v>
      </c>
    </row>
    <row r="319" spans="1:18" x14ac:dyDescent="0.25">
      <c r="A319" s="30" t="s">
        <v>26</v>
      </c>
      <c r="B319" s="31">
        <f>(E317*E317)/54</f>
        <v>366718.92928352678</v>
      </c>
      <c r="C319" s="31"/>
      <c r="D319" s="31"/>
    </row>
    <row r="320" spans="1:18" x14ac:dyDescent="0.25">
      <c r="A320" s="30" t="s">
        <v>27</v>
      </c>
      <c r="B320" s="31">
        <f>SUMSQ(B299:D316)-B319</f>
        <v>21588.38116467325</v>
      </c>
      <c r="C320" s="30" t="s">
        <v>28</v>
      </c>
      <c r="D320" s="31">
        <f>(SUMSQ(B317:D317)/18)-B319</f>
        <v>34.506351551099215</v>
      </c>
    </row>
    <row r="321" spans="1:4" x14ac:dyDescent="0.25">
      <c r="A321" s="30" t="s">
        <v>30</v>
      </c>
      <c r="B321" s="31">
        <f>(SUMSQ(E299:E316)/3)-B319</f>
        <v>20610.44698040653</v>
      </c>
      <c r="C321" s="30" t="s">
        <v>31</v>
      </c>
      <c r="D321" s="31">
        <f>B320-B321-D320</f>
        <v>943.42783271562075</v>
      </c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21"/>
  <sheetViews>
    <sheetView topLeftCell="A332" workbookViewId="0">
      <selection activeCell="H354" sqref="H354"/>
    </sheetView>
  </sheetViews>
  <sheetFormatPr defaultColWidth="8.85546875" defaultRowHeight="15" x14ac:dyDescent="0.25"/>
  <cols>
    <col min="1" max="1" width="17.7109375" style="37" bestFit="1" customWidth="1"/>
    <col min="2" max="2" width="11.28515625" style="41" bestFit="1" customWidth="1"/>
    <col min="3" max="3" width="11.42578125" style="41" customWidth="1"/>
    <col min="4" max="4" width="9.5703125" style="41" bestFit="1" customWidth="1"/>
    <col min="5" max="6" width="9.140625" style="41" bestFit="1" customWidth="1"/>
    <col min="7" max="7" width="10.7109375" style="41" bestFit="1" customWidth="1"/>
    <col min="8" max="8" width="9.140625" style="41" bestFit="1" customWidth="1"/>
    <col min="9" max="9" width="13.42578125" style="41" customWidth="1"/>
    <col min="10" max="11" width="11.28515625" style="41" bestFit="1" customWidth="1"/>
    <col min="12" max="12" width="9.140625" style="41" bestFit="1" customWidth="1"/>
    <col min="13" max="13" width="9.5703125" style="41" bestFit="1" customWidth="1"/>
    <col min="14" max="14" width="9.5703125" style="41" customWidth="1"/>
    <col min="15" max="15" width="9.140625" style="41" bestFit="1" customWidth="1"/>
    <col min="16" max="16" width="12.28515625" style="41" bestFit="1" customWidth="1"/>
    <col min="17" max="17" width="9.85546875" style="37" customWidth="1"/>
    <col min="18" max="16384" width="8.85546875" style="37"/>
  </cols>
  <sheetData>
    <row r="2" spans="1:21" x14ac:dyDescent="0.25">
      <c r="C2" s="66">
        <v>2019</v>
      </c>
    </row>
    <row r="3" spans="1:21" ht="15.75" x14ac:dyDescent="0.25">
      <c r="C3" s="56" t="s">
        <v>120</v>
      </c>
    </row>
    <row r="4" spans="1:21" x14ac:dyDescent="0.25">
      <c r="C4" s="48" t="s">
        <v>116</v>
      </c>
    </row>
    <row r="5" spans="1:21" x14ac:dyDescent="0.25">
      <c r="A5" s="36" t="s">
        <v>104</v>
      </c>
      <c r="B5" s="38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9"/>
      <c r="P5" s="39"/>
    </row>
    <row r="6" spans="1:21" x14ac:dyDescent="0.25">
      <c r="A6" s="36" t="s">
        <v>105</v>
      </c>
      <c r="B6" s="38">
        <v>9</v>
      </c>
      <c r="C6" s="39" t="s">
        <v>107</v>
      </c>
      <c r="D6" s="39">
        <v>18</v>
      </c>
      <c r="E6" s="39"/>
      <c r="F6" s="39"/>
      <c r="G6" s="39"/>
      <c r="H6" s="39"/>
      <c r="I6" s="39"/>
      <c r="J6" s="39"/>
      <c r="K6" s="39"/>
      <c r="L6" s="39"/>
      <c r="M6" s="35"/>
      <c r="N6" s="35"/>
      <c r="O6" s="39"/>
      <c r="P6" s="39"/>
    </row>
    <row r="7" spans="1:21" x14ac:dyDescent="0.25">
      <c r="A7" s="37" t="s">
        <v>106</v>
      </c>
      <c r="B7" s="40">
        <v>3</v>
      </c>
    </row>
    <row r="8" spans="1:21" x14ac:dyDescent="0.25">
      <c r="A8" s="46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30" t="s">
        <v>5</v>
      </c>
      <c r="O8" s="41" t="s">
        <v>7</v>
      </c>
      <c r="S8" s="53"/>
      <c r="T8" s="53"/>
      <c r="U8" s="53"/>
    </row>
    <row r="9" spans="1:21" x14ac:dyDescent="0.25">
      <c r="A9" s="32" t="s">
        <v>86</v>
      </c>
      <c r="B9" s="74">
        <v>0.28999999999999998</v>
      </c>
      <c r="C9" s="74">
        <v>0.27</v>
      </c>
      <c r="D9" s="74">
        <v>0.28999999999999998</v>
      </c>
      <c r="E9" s="42">
        <f t="shared" ref="E9:E26" si="0">SUM(B9:D9)</f>
        <v>0.85000000000000009</v>
      </c>
      <c r="F9" s="42">
        <f>E9/3</f>
        <v>0.28333333333333338</v>
      </c>
      <c r="H9" s="47"/>
      <c r="I9" s="47"/>
      <c r="J9" s="47" t="s">
        <v>6</v>
      </c>
      <c r="K9" s="47"/>
      <c r="L9" s="47"/>
      <c r="M9" s="47"/>
      <c r="N9" s="47"/>
      <c r="O9" s="33">
        <v>1</v>
      </c>
      <c r="P9" s="42">
        <f>SUM(F9:F17)/9</f>
        <v>0.34980074074074075</v>
      </c>
      <c r="Q9" s="49">
        <f>RANK(P9,P$9:P$10,0)</f>
        <v>1</v>
      </c>
      <c r="S9" s="53"/>
      <c r="T9" s="53"/>
      <c r="U9" s="53"/>
    </row>
    <row r="10" spans="1:21" x14ac:dyDescent="0.25">
      <c r="A10" s="32" t="s">
        <v>87</v>
      </c>
      <c r="B10" s="74">
        <v>0.35714799999999991</v>
      </c>
      <c r="C10" s="74">
        <v>0.36</v>
      </c>
      <c r="D10" s="74">
        <v>0.38</v>
      </c>
      <c r="E10" s="42">
        <f t="shared" si="0"/>
        <v>1.0971479999999998</v>
      </c>
      <c r="F10" s="42">
        <f t="shared" ref="F10:F26" si="1">E10/3</f>
        <v>0.36571599999999993</v>
      </c>
      <c r="G10" s="31"/>
      <c r="H10" s="30" t="s">
        <v>8</v>
      </c>
      <c r="I10" s="30" t="s">
        <v>9</v>
      </c>
      <c r="J10" s="30" t="s">
        <v>10</v>
      </c>
      <c r="K10" s="30" t="s">
        <v>11</v>
      </c>
      <c r="L10" s="30" t="s">
        <v>12</v>
      </c>
      <c r="M10" s="30" t="s">
        <v>112</v>
      </c>
      <c r="N10" s="50"/>
      <c r="O10" s="33">
        <v>2</v>
      </c>
      <c r="P10" s="42">
        <f>SUM(F18:F26)/9</f>
        <v>0.3225925925925926</v>
      </c>
      <c r="Q10" s="49">
        <f>RANK(P10,P$9:P$10,0)</f>
        <v>2</v>
      </c>
      <c r="S10" s="53"/>
      <c r="T10" s="53"/>
      <c r="U10" s="53"/>
    </row>
    <row r="11" spans="1:21" x14ac:dyDescent="0.25">
      <c r="A11" s="32" t="s">
        <v>88</v>
      </c>
      <c r="B11" s="74">
        <v>0.36</v>
      </c>
      <c r="C11" s="74">
        <v>0.33</v>
      </c>
      <c r="D11" s="74">
        <v>0.35</v>
      </c>
      <c r="E11" s="42">
        <f t="shared" si="0"/>
        <v>1.04</v>
      </c>
      <c r="F11" s="42">
        <f t="shared" si="1"/>
        <v>0.34666666666666668</v>
      </c>
      <c r="G11" s="31" t="s">
        <v>13</v>
      </c>
      <c r="H11" s="31">
        <f>B7-1</f>
        <v>2</v>
      </c>
      <c r="I11" s="31">
        <f>D30</f>
        <v>3.816257199999562E-3</v>
      </c>
      <c r="J11" s="31">
        <f>I11/H11</f>
        <v>1.908128599999781E-3</v>
      </c>
      <c r="K11" s="31">
        <f>J11/$J$16</f>
        <v>2.0985928147347095</v>
      </c>
      <c r="L11" s="31">
        <f>FINV(0.05,H11,$H$16)</f>
        <v>3.275897990672394</v>
      </c>
      <c r="M11" s="31" t="str">
        <f>IF(K11&gt;=L11, "S", "NS")</f>
        <v>NS</v>
      </c>
      <c r="N11" s="39"/>
      <c r="O11" s="30" t="s">
        <v>14</v>
      </c>
      <c r="P11" s="42">
        <f>SQRT(J16/(3*9))</f>
        <v>5.8030705122069197E-3</v>
      </c>
      <c r="S11" s="53"/>
      <c r="T11" s="53"/>
      <c r="U11" s="53"/>
    </row>
    <row r="12" spans="1:21" x14ac:dyDescent="0.25">
      <c r="A12" s="32" t="s">
        <v>89</v>
      </c>
      <c r="B12" s="74">
        <v>0.33</v>
      </c>
      <c r="C12" s="74">
        <v>0.32</v>
      </c>
      <c r="D12" s="74">
        <v>0.35</v>
      </c>
      <c r="E12" s="42">
        <f t="shared" si="0"/>
        <v>1</v>
      </c>
      <c r="F12" s="42">
        <f t="shared" si="1"/>
        <v>0.33333333333333331</v>
      </c>
      <c r="G12" s="31" t="s">
        <v>15</v>
      </c>
      <c r="H12" s="31">
        <f>D6-1</f>
        <v>17</v>
      </c>
      <c r="I12" s="31">
        <f>B31</f>
        <v>6.1736032962665277E-2</v>
      </c>
      <c r="J12" s="31">
        <f t="shared" ref="J12:J16" si="2">I12/H12</f>
        <v>3.6315313507450163E-3</v>
      </c>
      <c r="K12" s="31">
        <f>J12/$J$16</f>
        <v>3.994020947622817</v>
      </c>
      <c r="L12" s="31">
        <f>FINV(0.05,H12,$H$16)</f>
        <v>1.9332068318040869</v>
      </c>
      <c r="M12" s="43" t="str">
        <f t="shared" ref="M12:M15" si="3">IF(K12&gt;=L12, "S", "NS")</f>
        <v>S</v>
      </c>
      <c r="N12" s="30" t="s">
        <v>113</v>
      </c>
      <c r="O12" s="30" t="s">
        <v>16</v>
      </c>
      <c r="P12" s="42">
        <f>SQRT((2*J16)/(3*9))*L17</f>
        <v>1.6678185670665771E-2</v>
      </c>
      <c r="S12" s="53"/>
      <c r="T12" s="53"/>
      <c r="U12" s="53"/>
    </row>
    <row r="13" spans="1:21" x14ac:dyDescent="0.25">
      <c r="A13" s="32" t="s">
        <v>90</v>
      </c>
      <c r="B13" s="74">
        <v>0.38747199999999993</v>
      </c>
      <c r="C13" s="74">
        <v>0.38</v>
      </c>
      <c r="D13" s="74">
        <v>0.37</v>
      </c>
      <c r="E13" s="42">
        <f t="shared" si="0"/>
        <v>1.1374719999999998</v>
      </c>
      <c r="F13" s="42">
        <f t="shared" si="1"/>
        <v>0.37915733333333329</v>
      </c>
      <c r="G13" s="31" t="s">
        <v>108</v>
      </c>
      <c r="H13" s="31">
        <f>B5-1</f>
        <v>1</v>
      </c>
      <c r="I13" s="31">
        <f>(SUM(E9:E17)^2+SUM(E18:E26)^2)/27-B29</f>
        <v>9.9938248962949672E-3</v>
      </c>
      <c r="J13" s="31">
        <f t="shared" si="2"/>
        <v>9.9938248962949672E-3</v>
      </c>
      <c r="K13" s="31">
        <f>J13/$J$16</f>
        <v>10.991381356101407</v>
      </c>
      <c r="L13" s="31">
        <f>FINV(0.05,H13,$H$16)</f>
        <v>4.1300177456520188</v>
      </c>
      <c r="M13" s="31" t="str">
        <f>IF(K13&gt;=L13, "S", "NS")</f>
        <v>S</v>
      </c>
      <c r="N13" s="39"/>
      <c r="O13" s="33">
        <v>1</v>
      </c>
      <c r="P13" s="42">
        <f>(F9+F18)/2</f>
        <v>0.26833333333333337</v>
      </c>
      <c r="Q13" s="49">
        <f>RANK(P13,P$13:P$21,0)</f>
        <v>9</v>
      </c>
      <c r="R13" s="51">
        <v>9</v>
      </c>
      <c r="S13" s="54"/>
      <c r="T13" s="54"/>
      <c r="U13" s="54"/>
    </row>
    <row r="14" spans="1:21" x14ac:dyDescent="0.25">
      <c r="A14" s="32" t="s">
        <v>91</v>
      </c>
      <c r="B14" s="74">
        <v>0.41</v>
      </c>
      <c r="C14" s="74">
        <v>0.34</v>
      </c>
      <c r="D14" s="74">
        <v>0.38</v>
      </c>
      <c r="E14" s="42">
        <f t="shared" si="0"/>
        <v>1.1299999999999999</v>
      </c>
      <c r="F14" s="42">
        <f t="shared" si="1"/>
        <v>0.37666666666666665</v>
      </c>
      <c r="G14" s="31" t="s">
        <v>109</v>
      </c>
      <c r="H14" s="31">
        <f>B6-1</f>
        <v>8</v>
      </c>
      <c r="I14" s="31">
        <f>((E9+E18)^2+(E10+E19)^2+(E11+E20)^2+(E12+E21)^2+(E13+E22)^2+(E14+E23)^2+(E15+E24)^2+(E16+E25)^2+(E17+E26)^2/6)-B29</f>
        <v>27.590281556087998</v>
      </c>
      <c r="J14" s="31">
        <f t="shared" si="2"/>
        <v>3.4487851945109997</v>
      </c>
      <c r="K14" s="31">
        <f>J14/$J$16</f>
        <v>3793.0335663775813</v>
      </c>
      <c r="L14" s="31">
        <f>FINV(0.05,H14,$H$16)</f>
        <v>2.2253399674380931</v>
      </c>
      <c r="M14" s="31" t="str">
        <f>IF(K14&gt;=L14, "S", "NS")</f>
        <v>S</v>
      </c>
      <c r="N14" s="39"/>
      <c r="O14" s="33">
        <v>2</v>
      </c>
      <c r="P14" s="42">
        <f t="shared" ref="P14:P21" si="4">(F10+F19)/2</f>
        <v>0.34119133333333329</v>
      </c>
      <c r="Q14" s="49">
        <f t="shared" ref="Q14:Q21" si="5">RANK(P14,P$13:P$21,0)</f>
        <v>5</v>
      </c>
      <c r="R14" s="52">
        <v>5</v>
      </c>
      <c r="S14" s="53"/>
      <c r="T14" s="53"/>
      <c r="U14" s="53"/>
    </row>
    <row r="15" spans="1:21" x14ac:dyDescent="0.25">
      <c r="A15" s="32" t="s">
        <v>92</v>
      </c>
      <c r="B15" s="74">
        <v>0.36</v>
      </c>
      <c r="C15" s="74">
        <v>0.33</v>
      </c>
      <c r="D15" s="74">
        <v>0.35</v>
      </c>
      <c r="E15" s="42">
        <f t="shared" si="0"/>
        <v>1.04</v>
      </c>
      <c r="F15" s="42">
        <f t="shared" si="1"/>
        <v>0.34666666666666668</v>
      </c>
      <c r="G15" s="26" t="s">
        <v>110</v>
      </c>
      <c r="H15" s="31">
        <f>H13*H14</f>
        <v>8</v>
      </c>
      <c r="I15" s="31">
        <f>I12-(I13+I14)</f>
        <v>-27.538539348021629</v>
      </c>
      <c r="J15" s="31">
        <f t="shared" si="2"/>
        <v>-3.4423174185027037</v>
      </c>
      <c r="K15" s="44">
        <f>J15/$J$16</f>
        <v>-3785.9201945333957</v>
      </c>
      <c r="L15" s="31">
        <f>FINV(0.05,H15,$H$16)</f>
        <v>2.2253399674380931</v>
      </c>
      <c r="M15" s="31" t="str">
        <f t="shared" si="3"/>
        <v>NS</v>
      </c>
      <c r="N15" s="39"/>
      <c r="O15" s="33">
        <v>3</v>
      </c>
      <c r="P15" s="42">
        <f t="shared" si="4"/>
        <v>0.36499999999999999</v>
      </c>
      <c r="Q15" s="49">
        <f t="shared" si="5"/>
        <v>2</v>
      </c>
      <c r="R15" s="52">
        <v>2</v>
      </c>
      <c r="S15" s="53"/>
      <c r="T15" s="53"/>
      <c r="U15" s="53"/>
    </row>
    <row r="16" spans="1:21" x14ac:dyDescent="0.25">
      <c r="A16" s="32" t="s">
        <v>93</v>
      </c>
      <c r="B16" s="74">
        <v>0.36</v>
      </c>
      <c r="C16" s="74">
        <v>0.38</v>
      </c>
      <c r="D16" s="74">
        <v>0.37</v>
      </c>
      <c r="E16" s="42">
        <f t="shared" si="0"/>
        <v>1.1099999999999999</v>
      </c>
      <c r="F16" s="42">
        <f t="shared" si="1"/>
        <v>0.36999999999999994</v>
      </c>
      <c r="G16" s="45" t="s">
        <v>23</v>
      </c>
      <c r="H16" s="31">
        <f>((B7-1)*(B5*B6-1))</f>
        <v>34</v>
      </c>
      <c r="I16" s="31">
        <f>D31</f>
        <v>3.0914225925334549E-2</v>
      </c>
      <c r="J16" s="31">
        <f t="shared" si="2"/>
        <v>9.0924193898042789E-4</v>
      </c>
      <c r="O16" s="33">
        <v>4</v>
      </c>
      <c r="P16" s="42">
        <f t="shared" si="4"/>
        <v>0.33166666666666667</v>
      </c>
      <c r="Q16" s="49">
        <f t="shared" si="5"/>
        <v>7</v>
      </c>
      <c r="R16" s="52">
        <v>7</v>
      </c>
      <c r="S16" s="53"/>
      <c r="T16" s="53"/>
      <c r="U16" s="53"/>
    </row>
    <row r="17" spans="1:21" x14ac:dyDescent="0.25">
      <c r="A17" s="32" t="s">
        <v>94</v>
      </c>
      <c r="B17" s="74">
        <v>0.35</v>
      </c>
      <c r="C17" s="74">
        <v>0.31</v>
      </c>
      <c r="D17" s="74">
        <v>0.38</v>
      </c>
      <c r="E17" s="42">
        <f>SUM(B17:D17)</f>
        <v>1.04</v>
      </c>
      <c r="F17" s="42">
        <f t="shared" si="1"/>
        <v>0.34666666666666668</v>
      </c>
      <c r="G17" s="44" t="s">
        <v>4</v>
      </c>
      <c r="H17" s="31">
        <f>SUM(H11:H16)-H12</f>
        <v>53</v>
      </c>
      <c r="I17" s="31">
        <f>B30</f>
        <v>9.6466516087999388E-2</v>
      </c>
      <c r="K17" s="31" t="s">
        <v>111</v>
      </c>
      <c r="L17" s="41">
        <f>TINV(0.05,34)</f>
        <v>2.0322445093177191</v>
      </c>
      <c r="O17" s="33">
        <v>5</v>
      </c>
      <c r="P17" s="42">
        <f t="shared" si="4"/>
        <v>0.347912</v>
      </c>
      <c r="Q17" s="49">
        <f t="shared" si="5"/>
        <v>3</v>
      </c>
      <c r="R17" s="51">
        <v>3</v>
      </c>
      <c r="S17" s="64"/>
      <c r="T17" s="64"/>
      <c r="U17" s="64"/>
    </row>
    <row r="18" spans="1:21" x14ac:dyDescent="0.25">
      <c r="A18" s="32" t="s">
        <v>95</v>
      </c>
      <c r="B18" s="74">
        <v>0.3</v>
      </c>
      <c r="C18" s="74">
        <v>0.31</v>
      </c>
      <c r="D18" s="74">
        <v>0.15</v>
      </c>
      <c r="E18" s="42">
        <f t="shared" si="0"/>
        <v>0.76</v>
      </c>
      <c r="F18" s="42">
        <f t="shared" si="1"/>
        <v>0.25333333333333335</v>
      </c>
      <c r="G18" s="34" t="s">
        <v>14</v>
      </c>
      <c r="H18" s="31">
        <f>SQRT(J16/3)</f>
        <v>1.7409211536620759E-2</v>
      </c>
      <c r="O18" s="33">
        <v>6</v>
      </c>
      <c r="P18" s="42">
        <f t="shared" si="4"/>
        <v>0.36666666666666664</v>
      </c>
      <c r="Q18" s="49">
        <f t="shared" si="5"/>
        <v>1</v>
      </c>
      <c r="R18" s="52">
        <v>1</v>
      </c>
      <c r="S18" s="64"/>
      <c r="T18" s="64"/>
      <c r="U18" s="64"/>
    </row>
    <row r="19" spans="1:21" x14ac:dyDescent="0.25">
      <c r="A19" s="32" t="s">
        <v>96</v>
      </c>
      <c r="B19" s="74">
        <v>0.31</v>
      </c>
      <c r="C19" s="74">
        <v>0.32</v>
      </c>
      <c r="D19" s="74">
        <v>0.32</v>
      </c>
      <c r="E19" s="42">
        <f t="shared" si="0"/>
        <v>0.95</v>
      </c>
      <c r="F19" s="42">
        <f t="shared" si="1"/>
        <v>0.31666666666666665</v>
      </c>
      <c r="G19" s="34" t="s">
        <v>16</v>
      </c>
      <c r="H19" s="31">
        <f>(SQRT((2*J16)/3))*L17</f>
        <v>5.003455701199732E-2</v>
      </c>
      <c r="O19" s="33">
        <v>7</v>
      </c>
      <c r="P19" s="42">
        <f t="shared" si="4"/>
        <v>0.33833333333333337</v>
      </c>
      <c r="Q19" s="49">
        <f t="shared" si="5"/>
        <v>6</v>
      </c>
      <c r="R19" s="52">
        <v>6</v>
      </c>
      <c r="S19" s="64"/>
      <c r="T19" s="64"/>
      <c r="U19" s="64"/>
    </row>
    <row r="20" spans="1:21" x14ac:dyDescent="0.25">
      <c r="A20" s="32" t="s">
        <v>97</v>
      </c>
      <c r="B20" s="74">
        <v>0.39</v>
      </c>
      <c r="C20" s="74">
        <v>0.35</v>
      </c>
      <c r="D20" s="74">
        <v>0.41</v>
      </c>
      <c r="E20" s="42">
        <f t="shared" si="0"/>
        <v>1.1499999999999999</v>
      </c>
      <c r="F20" s="42">
        <f t="shared" si="1"/>
        <v>0.3833333333333333</v>
      </c>
      <c r="G20" s="34" t="s">
        <v>29</v>
      </c>
      <c r="H20" s="31">
        <f>((SQRT(J16))/F27)*100</f>
        <v>8.9690475518718387</v>
      </c>
      <c r="O20" s="33">
        <v>8</v>
      </c>
      <c r="P20" s="42">
        <f t="shared" si="4"/>
        <v>0.34166666666666662</v>
      </c>
      <c r="Q20" s="49">
        <f t="shared" si="5"/>
        <v>4</v>
      </c>
      <c r="R20" s="51">
        <v>4</v>
      </c>
      <c r="S20" s="64"/>
      <c r="T20" s="64"/>
      <c r="U20" s="64"/>
    </row>
    <row r="21" spans="1:21" x14ac:dyDescent="0.25">
      <c r="A21" s="32" t="s">
        <v>98</v>
      </c>
      <c r="B21" s="74">
        <v>0.38</v>
      </c>
      <c r="C21" s="74">
        <v>0.28999999999999998</v>
      </c>
      <c r="D21" s="74">
        <v>0.32</v>
      </c>
      <c r="E21" s="42">
        <f t="shared" si="0"/>
        <v>0.99</v>
      </c>
      <c r="F21" s="42">
        <f t="shared" si="1"/>
        <v>0.33</v>
      </c>
      <c r="O21" s="33">
        <v>9</v>
      </c>
      <c r="P21" s="42">
        <f t="shared" si="4"/>
        <v>0.32500000000000007</v>
      </c>
      <c r="Q21" s="49">
        <f t="shared" si="5"/>
        <v>8</v>
      </c>
      <c r="R21" s="52">
        <v>8</v>
      </c>
      <c r="S21" s="64"/>
      <c r="T21" s="64"/>
      <c r="U21" s="64"/>
    </row>
    <row r="22" spans="1:21" x14ac:dyDescent="0.25">
      <c r="A22" s="32" t="s">
        <v>99</v>
      </c>
      <c r="B22" s="74">
        <v>0.32</v>
      </c>
      <c r="C22" s="74">
        <v>0.32</v>
      </c>
      <c r="D22" s="74">
        <v>0.31</v>
      </c>
      <c r="E22" s="42">
        <f t="shared" si="0"/>
        <v>0.95</v>
      </c>
      <c r="F22" s="42">
        <f t="shared" si="1"/>
        <v>0.31666666666666665</v>
      </c>
      <c r="O22" s="30" t="s">
        <v>14</v>
      </c>
      <c r="P22" s="42">
        <f>SQRT(J16/(3*2))</f>
        <v>1.2310171532655614E-2</v>
      </c>
      <c r="Q22" s="49"/>
      <c r="S22" s="64"/>
      <c r="T22" s="64"/>
      <c r="U22" s="64"/>
    </row>
    <row r="23" spans="1:21" x14ac:dyDescent="0.25">
      <c r="A23" s="32" t="s">
        <v>100</v>
      </c>
      <c r="B23" s="74">
        <v>0.36</v>
      </c>
      <c r="C23" s="74">
        <v>0.33</v>
      </c>
      <c r="D23" s="74">
        <v>0.38</v>
      </c>
      <c r="E23" s="42">
        <f t="shared" si="0"/>
        <v>1.0699999999999998</v>
      </c>
      <c r="F23" s="42">
        <f t="shared" si="1"/>
        <v>0.35666666666666663</v>
      </c>
      <c r="H23" s="59"/>
      <c r="I23" s="76"/>
      <c r="J23" s="76"/>
      <c r="K23" s="76"/>
      <c r="N23" s="30" t="s">
        <v>109</v>
      </c>
      <c r="O23" s="30" t="s">
        <v>16</v>
      </c>
      <c r="P23" s="42">
        <f>SQRT((2*J16)/(3*2))*L17</f>
        <v>3.537977455684823E-2</v>
      </c>
      <c r="Q23" s="49"/>
      <c r="S23" s="64"/>
      <c r="T23" s="64"/>
      <c r="U23" s="64"/>
    </row>
    <row r="24" spans="1:21" x14ac:dyDescent="0.25">
      <c r="A24" s="32" t="s">
        <v>101</v>
      </c>
      <c r="B24" s="55">
        <v>0.32</v>
      </c>
      <c r="C24" s="55">
        <v>0.3</v>
      </c>
      <c r="D24" s="55">
        <v>0.37</v>
      </c>
      <c r="E24" s="42">
        <f t="shared" si="0"/>
        <v>0.99</v>
      </c>
      <c r="F24" s="42">
        <f>E24/3</f>
        <v>0.33</v>
      </c>
      <c r="H24" s="59"/>
      <c r="I24" s="76"/>
      <c r="J24" s="76"/>
      <c r="K24" s="76"/>
      <c r="Q24" s="49"/>
      <c r="S24" s="64"/>
      <c r="T24" s="64"/>
      <c r="U24" s="64"/>
    </row>
    <row r="25" spans="1:21" x14ac:dyDescent="0.25">
      <c r="A25" s="32" t="s">
        <v>102</v>
      </c>
      <c r="B25" s="55">
        <v>0.31</v>
      </c>
      <c r="C25" s="55">
        <v>0.33</v>
      </c>
      <c r="D25" s="55">
        <v>0.3</v>
      </c>
      <c r="E25" s="42">
        <f t="shared" si="0"/>
        <v>0.94</v>
      </c>
      <c r="F25" s="42">
        <f t="shared" si="1"/>
        <v>0.3133333333333333</v>
      </c>
      <c r="H25" s="59"/>
      <c r="I25" s="76"/>
      <c r="J25" s="76"/>
      <c r="K25" s="76"/>
      <c r="S25" s="64"/>
      <c r="T25" s="64"/>
      <c r="U25" s="64"/>
    </row>
    <row r="26" spans="1:21" x14ac:dyDescent="0.25">
      <c r="A26" s="32" t="s">
        <v>103</v>
      </c>
      <c r="B26" s="55">
        <v>0.32</v>
      </c>
      <c r="C26" s="55">
        <v>0.28000000000000003</v>
      </c>
      <c r="D26" s="55">
        <v>0.31</v>
      </c>
      <c r="E26" s="42">
        <f t="shared" si="0"/>
        <v>0.91000000000000014</v>
      </c>
      <c r="F26" s="42">
        <f t="shared" si="1"/>
        <v>0.3033333333333334</v>
      </c>
      <c r="H26" s="59"/>
      <c r="I26" s="76"/>
      <c r="J26" s="76"/>
      <c r="K26" s="76"/>
    </row>
    <row r="27" spans="1:21" x14ac:dyDescent="0.25">
      <c r="A27" s="30" t="s">
        <v>4</v>
      </c>
      <c r="B27" s="31">
        <f>SUM(B9:B26)</f>
        <v>6.21462</v>
      </c>
      <c r="C27" s="31">
        <f>SUM(C9:C26)</f>
        <v>5.8500000000000005</v>
      </c>
      <c r="D27" s="31">
        <f>SUM(D9:D26)</f>
        <v>6.089999999999999</v>
      </c>
      <c r="E27" s="42">
        <f>SUM(E9:E26)</f>
        <v>18.154620000000001</v>
      </c>
      <c r="F27" s="42">
        <f>AVERAGE(B9:D26)</f>
        <v>0.33619666666666675</v>
      </c>
      <c r="H27" s="59"/>
      <c r="I27" s="76"/>
      <c r="J27" s="76"/>
      <c r="K27" s="76"/>
    </row>
    <row r="28" spans="1:21" x14ac:dyDescent="0.25">
      <c r="A28" s="30" t="s">
        <v>5</v>
      </c>
      <c r="B28" s="31">
        <f>B27/18</f>
        <v>0.34525666666666666</v>
      </c>
      <c r="C28" s="31">
        <f>C27/18</f>
        <v>0.32500000000000001</v>
      </c>
      <c r="D28" s="31">
        <f>D27/18</f>
        <v>0.33833333333333326</v>
      </c>
      <c r="H28" s="59"/>
      <c r="I28" s="76"/>
      <c r="J28" s="76"/>
      <c r="K28" s="76"/>
    </row>
    <row r="29" spans="1:21" x14ac:dyDescent="0.25">
      <c r="A29" s="30" t="s">
        <v>26</v>
      </c>
      <c r="B29" s="31">
        <f>(E27*E27)/54</f>
        <v>6.1035227286000007</v>
      </c>
      <c r="C29" s="31"/>
      <c r="D29" s="31"/>
      <c r="H29" s="59"/>
      <c r="I29" s="76"/>
      <c r="J29" s="76"/>
      <c r="K29" s="76"/>
    </row>
    <row r="30" spans="1:21" x14ac:dyDescent="0.25">
      <c r="A30" s="30" t="s">
        <v>27</v>
      </c>
      <c r="B30" s="31">
        <f>SUMSQ(B9:D26)-B29</f>
        <v>9.6466516087999388E-2</v>
      </c>
      <c r="C30" s="30" t="s">
        <v>28</v>
      </c>
      <c r="D30" s="31">
        <f>(SUMSQ(B27:D27)/18)-B29</f>
        <v>3.816257199999562E-3</v>
      </c>
      <c r="H30" s="59"/>
      <c r="I30" s="76"/>
      <c r="J30" s="76"/>
      <c r="K30" s="76"/>
    </row>
    <row r="31" spans="1:21" x14ac:dyDescent="0.25">
      <c r="A31" s="30" t="s">
        <v>30</v>
      </c>
      <c r="B31" s="31">
        <f>(SUMSQ(E9:E26)/3)-B29</f>
        <v>6.1736032962665277E-2</v>
      </c>
      <c r="C31" s="30" t="s">
        <v>31</v>
      </c>
      <c r="D31" s="31">
        <f>B30-B31-D30</f>
        <v>3.0914225925334549E-2</v>
      </c>
      <c r="H31" s="59"/>
      <c r="I31" s="76"/>
      <c r="J31" s="76"/>
      <c r="K31" s="76"/>
    </row>
    <row r="32" spans="1:21" x14ac:dyDescent="0.25">
      <c r="I32" s="76"/>
      <c r="J32" s="76"/>
      <c r="K32" s="76"/>
    </row>
    <row r="33" spans="1:20" x14ac:dyDescent="0.25">
      <c r="I33" s="76"/>
      <c r="J33" s="76"/>
      <c r="K33" s="76"/>
    </row>
    <row r="34" spans="1:20" ht="15.75" x14ac:dyDescent="0.25">
      <c r="C34" s="56" t="s">
        <v>121</v>
      </c>
      <c r="I34" s="76"/>
      <c r="J34" s="76"/>
      <c r="K34" s="76"/>
    </row>
    <row r="35" spans="1:20" ht="15.75" x14ac:dyDescent="0.25">
      <c r="C35" s="65" t="s">
        <v>117</v>
      </c>
      <c r="I35" s="76"/>
      <c r="J35" s="76"/>
      <c r="K35" s="76"/>
    </row>
    <row r="36" spans="1:20" x14ac:dyDescent="0.25">
      <c r="I36" s="76"/>
      <c r="J36" s="76"/>
      <c r="K36" s="76"/>
    </row>
    <row r="37" spans="1:20" x14ac:dyDescent="0.25">
      <c r="A37" s="36" t="s">
        <v>104</v>
      </c>
      <c r="B37" s="38">
        <v>2</v>
      </c>
      <c r="C37" s="39"/>
      <c r="D37" s="39"/>
      <c r="E37" s="39"/>
      <c r="F37" s="39"/>
      <c r="G37" s="39"/>
      <c r="H37" s="39"/>
      <c r="I37" s="76"/>
      <c r="J37" s="76"/>
      <c r="K37" s="76"/>
      <c r="M37" s="35"/>
      <c r="N37" s="35"/>
      <c r="O37" s="39"/>
      <c r="P37" s="39"/>
    </row>
    <row r="38" spans="1:20" x14ac:dyDescent="0.25">
      <c r="A38" s="36" t="s">
        <v>105</v>
      </c>
      <c r="B38" s="38">
        <v>9</v>
      </c>
      <c r="C38" s="39" t="s">
        <v>107</v>
      </c>
      <c r="D38" s="39">
        <v>18</v>
      </c>
      <c r="E38" s="39"/>
      <c r="F38" s="39"/>
      <c r="G38" s="39"/>
      <c r="H38" s="39"/>
      <c r="I38" s="76"/>
      <c r="J38" s="76"/>
      <c r="K38" s="76"/>
      <c r="M38" s="35"/>
      <c r="N38" s="35"/>
      <c r="O38" s="39"/>
      <c r="P38" s="39"/>
    </row>
    <row r="39" spans="1:20" x14ac:dyDescent="0.25">
      <c r="A39" s="37" t="s">
        <v>106</v>
      </c>
      <c r="B39" s="40">
        <v>3</v>
      </c>
      <c r="I39" s="76"/>
      <c r="J39" s="76"/>
      <c r="K39" s="76"/>
    </row>
    <row r="40" spans="1:20" s="41" customFormat="1" x14ac:dyDescent="0.25">
      <c r="A40" s="46" t="s">
        <v>0</v>
      </c>
      <c r="B40" s="30" t="s">
        <v>1</v>
      </c>
      <c r="C40" s="30" t="s">
        <v>2</v>
      </c>
      <c r="D40" s="30" t="s">
        <v>3</v>
      </c>
      <c r="E40" s="30" t="s">
        <v>4</v>
      </c>
      <c r="F40" s="30" t="s">
        <v>5</v>
      </c>
      <c r="I40" s="76"/>
      <c r="J40" s="76"/>
      <c r="K40" s="76"/>
      <c r="O40" s="41" t="s">
        <v>7</v>
      </c>
      <c r="Q40" s="37"/>
    </row>
    <row r="41" spans="1:20" s="41" customFormat="1" x14ac:dyDescent="0.25">
      <c r="A41" s="32" t="s">
        <v>86</v>
      </c>
      <c r="B41" s="101">
        <v>0.10800000000000001</v>
      </c>
      <c r="C41" s="101">
        <v>0.11800000000000001</v>
      </c>
      <c r="D41" s="101">
        <v>0.10800000000000004</v>
      </c>
      <c r="E41" s="99">
        <f>SUM(B41:D41)</f>
        <v>0.33400000000000007</v>
      </c>
      <c r="F41" s="99">
        <f>E41/3</f>
        <v>0.11133333333333335</v>
      </c>
      <c r="H41" s="47"/>
      <c r="I41" s="47"/>
      <c r="J41" s="47" t="s">
        <v>6</v>
      </c>
      <c r="K41" s="47"/>
      <c r="L41" s="47"/>
      <c r="M41" s="47"/>
      <c r="N41" s="47"/>
      <c r="O41" s="33">
        <v>1</v>
      </c>
      <c r="P41" s="99">
        <f>SUM(F41:F49)/9</f>
        <v>0.18649659259259257</v>
      </c>
      <c r="Q41" s="75">
        <f>RANK(P41,P$41:P$42,0)</f>
        <v>1</v>
      </c>
      <c r="S41" s="33">
        <v>1</v>
      </c>
      <c r="T41" s="99">
        <v>0.21441437037037037</v>
      </c>
    </row>
    <row r="42" spans="1:20" s="41" customFormat="1" x14ac:dyDescent="0.25">
      <c r="A42" s="32" t="s">
        <v>87</v>
      </c>
      <c r="B42" s="101">
        <v>0.185</v>
      </c>
      <c r="C42" s="101">
        <v>0.218</v>
      </c>
      <c r="D42" s="72">
        <v>0.19399999999999998</v>
      </c>
      <c r="E42" s="99">
        <f t="shared" ref="E42:E58" si="6">SUM(B42:D42)</f>
        <v>0.59699999999999998</v>
      </c>
      <c r="F42" s="99">
        <f t="shared" ref="F42:F55" si="7">E42/3</f>
        <v>0.19899999999999998</v>
      </c>
      <c r="G42" s="31"/>
      <c r="H42" s="30" t="s">
        <v>8</v>
      </c>
      <c r="I42" s="30" t="s">
        <v>9</v>
      </c>
      <c r="J42" s="30" t="s">
        <v>10</v>
      </c>
      <c r="K42" s="30" t="s">
        <v>11</v>
      </c>
      <c r="L42" s="30" t="s">
        <v>12</v>
      </c>
      <c r="M42" s="30" t="s">
        <v>112</v>
      </c>
      <c r="N42" s="50"/>
      <c r="O42" s="33">
        <v>2</v>
      </c>
      <c r="P42" s="99">
        <f>SUM(F50:F58)/9</f>
        <v>0.16720325925925925</v>
      </c>
      <c r="Q42" s="75">
        <f>RANK(P42,P$41:P$42,0)</f>
        <v>2</v>
      </c>
      <c r="S42" s="33">
        <v>2</v>
      </c>
      <c r="T42" s="99">
        <v>0.17713170370370368</v>
      </c>
    </row>
    <row r="43" spans="1:20" s="41" customFormat="1" x14ac:dyDescent="0.25">
      <c r="A43" s="32" t="s">
        <v>88</v>
      </c>
      <c r="B43" s="101">
        <v>0.20899999999999999</v>
      </c>
      <c r="C43" s="101">
        <v>0.214</v>
      </c>
      <c r="D43" s="72">
        <v>0.219</v>
      </c>
      <c r="E43" s="99">
        <f t="shared" si="6"/>
        <v>0.64200000000000002</v>
      </c>
      <c r="F43" s="99">
        <f t="shared" si="7"/>
        <v>0.214</v>
      </c>
      <c r="G43" s="31" t="s">
        <v>13</v>
      </c>
      <c r="H43" s="31">
        <f>B39-1</f>
        <v>2</v>
      </c>
      <c r="I43" s="31">
        <f>D62</f>
        <v>1.0757534583700767E-3</v>
      </c>
      <c r="J43" s="31">
        <f>I43/H43</f>
        <v>5.3787672918503837E-4</v>
      </c>
      <c r="K43" s="31">
        <f>J43/$J$16</f>
        <v>0.59156612352063598</v>
      </c>
      <c r="L43" s="31">
        <f>FINV(0.05,H43,$H$16)</f>
        <v>3.275897990672394</v>
      </c>
      <c r="M43" s="31" t="str">
        <f>IF(K43&gt;=L43, "S", "NS")</f>
        <v>NS</v>
      </c>
      <c r="N43" s="39"/>
      <c r="O43" s="30" t="s">
        <v>14</v>
      </c>
      <c r="P43" s="99">
        <f>SQRT(J48/(3*9))</f>
        <v>2.2942482703400785E-3</v>
      </c>
      <c r="S43" s="99" t="s">
        <v>14</v>
      </c>
      <c r="T43" s="99">
        <v>2.6854179451063637E-3</v>
      </c>
    </row>
    <row r="44" spans="1:20" s="41" customFormat="1" x14ac:dyDescent="0.25">
      <c r="A44" s="32" t="s">
        <v>89</v>
      </c>
      <c r="B44" s="101">
        <v>0.15799999999999995</v>
      </c>
      <c r="C44" s="101">
        <v>0.16799999999999995</v>
      </c>
      <c r="D44" s="72">
        <v>0.18799999999999997</v>
      </c>
      <c r="E44" s="99">
        <f t="shared" si="6"/>
        <v>0.5139999999999999</v>
      </c>
      <c r="F44" s="99">
        <f t="shared" si="7"/>
        <v>0.17133333333333331</v>
      </c>
      <c r="G44" s="31" t="s">
        <v>15</v>
      </c>
      <c r="H44" s="31">
        <f>D38-1</f>
        <v>17</v>
      </c>
      <c r="I44" s="31">
        <f>B63</f>
        <v>4.6235344407703272E-2</v>
      </c>
      <c r="J44" s="31">
        <f t="shared" ref="J44:J48" si="8">I44/H44</f>
        <v>2.7197261416296043E-3</v>
      </c>
      <c r="K44" s="31">
        <f>J44/$J$16</f>
        <v>2.9912018188243166</v>
      </c>
      <c r="L44" s="31">
        <f>FINV(0.05,H44,$H$16)</f>
        <v>1.9332068318040869</v>
      </c>
      <c r="M44" s="43" t="str">
        <f t="shared" ref="M44" si="9">IF(K44&gt;=L44, "S", "NS")</f>
        <v>S</v>
      </c>
      <c r="N44" s="30" t="s">
        <v>113</v>
      </c>
      <c r="O44" s="30" t="s">
        <v>16</v>
      </c>
      <c r="P44" s="99">
        <f>SQRT((2*J48)/(3*9))*L49</f>
        <v>6.5937331877747246E-3</v>
      </c>
      <c r="S44" s="99" t="s">
        <v>16</v>
      </c>
      <c r="T44" s="99">
        <v>7.7179656432998433E-3</v>
      </c>
    </row>
    <row r="45" spans="1:20" s="41" customFormat="1" x14ac:dyDescent="0.25">
      <c r="A45" s="32" t="s">
        <v>90</v>
      </c>
      <c r="B45" s="101">
        <v>0.20399999999999999</v>
      </c>
      <c r="C45" s="101">
        <v>0.19899999999999998</v>
      </c>
      <c r="D45" s="72">
        <v>0.20699999999999999</v>
      </c>
      <c r="E45" s="99">
        <f t="shared" si="6"/>
        <v>0.61</v>
      </c>
      <c r="F45" s="99">
        <f t="shared" si="7"/>
        <v>0.20333333333333334</v>
      </c>
      <c r="G45" s="31" t="s">
        <v>108</v>
      </c>
      <c r="H45" s="31">
        <f>B37-1</f>
        <v>1</v>
      </c>
      <c r="I45" s="31">
        <f>(SUM(E41:E49)^2+SUM(E50:E58)^2)/27-B61</f>
        <v>5.0251416000000049E-3</v>
      </c>
      <c r="J45" s="31">
        <f t="shared" si="8"/>
        <v>5.0251416000000049E-3</v>
      </c>
      <c r="K45" s="31">
        <f>J45/$J$16</f>
        <v>5.526737587176096</v>
      </c>
      <c r="L45" s="31">
        <f>FINV(0.05,H45,$H$16)</f>
        <v>4.1300177456520188</v>
      </c>
      <c r="M45" s="31" t="str">
        <f>IF(K45&gt;=L45, "S", "NS")</f>
        <v>S</v>
      </c>
      <c r="N45" s="39"/>
      <c r="O45" s="33">
        <v>1</v>
      </c>
      <c r="P45" s="99">
        <f>(F41+F50)/2</f>
        <v>0.10866666666666668</v>
      </c>
      <c r="Q45" s="75">
        <f>RANK(P45,P$45:P$53,0)</f>
        <v>9</v>
      </c>
      <c r="R45" s="51">
        <v>9</v>
      </c>
      <c r="S45" s="33">
        <v>1</v>
      </c>
      <c r="T45" s="99">
        <v>0.12833333333333333</v>
      </c>
    </row>
    <row r="46" spans="1:20" s="41" customFormat="1" x14ac:dyDescent="0.25">
      <c r="A46" s="32" t="s">
        <v>91</v>
      </c>
      <c r="B46" s="72">
        <v>0.19899999999999998</v>
      </c>
      <c r="C46" s="101">
        <v>0.19899999999999998</v>
      </c>
      <c r="D46" s="101">
        <v>0.214</v>
      </c>
      <c r="E46" s="99">
        <f t="shared" si="6"/>
        <v>0.61199999999999999</v>
      </c>
      <c r="F46" s="99">
        <f t="shared" si="7"/>
        <v>0.20399999999999999</v>
      </c>
      <c r="G46" s="31" t="s">
        <v>109</v>
      </c>
      <c r="H46" s="31">
        <f>B38-1</f>
        <v>8</v>
      </c>
      <c r="I46" s="31">
        <f>((E41+E50)^2+(E42+E51)^2+(E43+E52)^2+(E44+E53)^2+(E45+E54)^2+(E46+E55)^2+(E47+E56)^2+(E48+E57)^2+(E49+E58)^2/6)-B61</f>
        <v>7.8626680696237035</v>
      </c>
      <c r="J46" s="31">
        <f t="shared" si="8"/>
        <v>0.98283350870296293</v>
      </c>
      <c r="K46" s="31">
        <f>J46/$J$16</f>
        <v>1080.9372803514282</v>
      </c>
      <c r="L46" s="31">
        <f>FINV(0.05,H46,$H$16)</f>
        <v>2.2253399674380931</v>
      </c>
      <c r="M46" s="31" t="str">
        <f>IF(K46&gt;=L46, "S", "NS")</f>
        <v>S</v>
      </c>
      <c r="N46" s="39"/>
      <c r="O46" s="33">
        <v>2</v>
      </c>
      <c r="P46" s="99">
        <f t="shared" ref="P46:P53" si="10">(F42+F51)/2</f>
        <v>0.18499999999999997</v>
      </c>
      <c r="Q46" s="75">
        <f t="shared" ref="Q46:Q53" si="11">RANK(P46,P$45:P$53,0)</f>
        <v>5</v>
      </c>
      <c r="R46" s="52">
        <v>5</v>
      </c>
      <c r="S46" s="33">
        <v>2</v>
      </c>
      <c r="T46" s="99">
        <v>0.20383333333333334</v>
      </c>
    </row>
    <row r="47" spans="1:20" s="41" customFormat="1" x14ac:dyDescent="0.25">
      <c r="A47" s="32" t="s">
        <v>92</v>
      </c>
      <c r="B47" s="101">
        <v>0.19614799999999991</v>
      </c>
      <c r="C47" s="101">
        <v>0.17010799999999995</v>
      </c>
      <c r="D47" s="101">
        <v>0.19615199999999991</v>
      </c>
      <c r="E47" s="99">
        <f t="shared" si="6"/>
        <v>0.5624079999999998</v>
      </c>
      <c r="F47" s="99">
        <f t="shared" si="7"/>
        <v>0.18746933333333327</v>
      </c>
      <c r="G47" s="26" t="s">
        <v>110</v>
      </c>
      <c r="H47" s="31">
        <f>H45*H46</f>
        <v>8</v>
      </c>
      <c r="I47" s="31">
        <f>I44-(I45+I46)</f>
        <v>-7.821457866816</v>
      </c>
      <c r="J47" s="31">
        <f t="shared" si="8"/>
        <v>-0.977682233352</v>
      </c>
      <c r="K47" s="44">
        <f>J47/$J$16</f>
        <v>-1075.2718186848235</v>
      </c>
      <c r="L47" s="31">
        <f>FINV(0.05,H47,$H$16)</f>
        <v>2.2253399674380931</v>
      </c>
      <c r="M47" s="31" t="str">
        <f t="shared" ref="M47" si="12">IF(K47&gt;=L47, "S", "NS")</f>
        <v>NS</v>
      </c>
      <c r="N47" s="39"/>
      <c r="O47" s="33">
        <v>3</v>
      </c>
      <c r="P47" s="99">
        <f t="shared" si="10"/>
        <v>0.19700000000000001</v>
      </c>
      <c r="Q47" s="75">
        <f t="shared" si="11"/>
        <v>2</v>
      </c>
      <c r="R47" s="52">
        <v>2</v>
      </c>
      <c r="S47" s="33">
        <v>3</v>
      </c>
      <c r="T47" s="99">
        <v>0.20500000000000002</v>
      </c>
    </row>
    <row r="48" spans="1:20" s="41" customFormat="1" x14ac:dyDescent="0.25">
      <c r="A48" s="32" t="s">
        <v>93</v>
      </c>
      <c r="B48" s="72">
        <v>0.20399999999999999</v>
      </c>
      <c r="C48" s="101">
        <v>0.20099999999999998</v>
      </c>
      <c r="D48" s="101">
        <v>0.20799999999999999</v>
      </c>
      <c r="E48" s="99">
        <f t="shared" si="6"/>
        <v>0.61299999999999999</v>
      </c>
      <c r="F48" s="99">
        <f t="shared" si="7"/>
        <v>0.20433333333333334</v>
      </c>
      <c r="G48" s="45" t="s">
        <v>23</v>
      </c>
      <c r="H48" s="31">
        <f>((B39-1)*(B37*B38-1))</f>
        <v>34</v>
      </c>
      <c r="I48" s="31">
        <f>D63</f>
        <v>4.8319619656298496E-3</v>
      </c>
      <c r="J48" s="31">
        <f t="shared" si="8"/>
        <v>1.4211652840087792E-4</v>
      </c>
      <c r="O48" s="33">
        <v>4</v>
      </c>
      <c r="P48" s="99">
        <f t="shared" si="10"/>
        <v>0.17016666666666663</v>
      </c>
      <c r="Q48" s="75">
        <f t="shared" si="11"/>
        <v>7</v>
      </c>
      <c r="R48" s="52">
        <v>7</v>
      </c>
      <c r="S48" s="33">
        <v>4</v>
      </c>
      <c r="T48" s="99">
        <v>0.18666666666666665</v>
      </c>
    </row>
    <row r="49" spans="1:20" x14ac:dyDescent="0.25">
      <c r="A49" s="32" t="s">
        <v>94</v>
      </c>
      <c r="B49" s="72">
        <v>0.17899999999999999</v>
      </c>
      <c r="C49" s="102">
        <v>0.185</v>
      </c>
      <c r="D49" s="101">
        <v>0.187</v>
      </c>
      <c r="E49" s="99">
        <f t="shared" si="6"/>
        <v>0.55099999999999993</v>
      </c>
      <c r="F49" s="99">
        <f t="shared" si="7"/>
        <v>0.18366666666666664</v>
      </c>
      <c r="G49" s="44" t="s">
        <v>4</v>
      </c>
      <c r="H49" s="31">
        <f>SUM(H43:H48)-H44</f>
        <v>53</v>
      </c>
      <c r="I49" s="31">
        <f>B62</f>
        <v>5.2143059831703198E-2</v>
      </c>
      <c r="K49" s="31" t="s">
        <v>111</v>
      </c>
      <c r="L49" s="41">
        <f>TINV(0.05,34)</f>
        <v>2.0322445093177191</v>
      </c>
      <c r="O49" s="33">
        <v>5</v>
      </c>
      <c r="P49" s="99">
        <f t="shared" si="10"/>
        <v>0.19162199999999999</v>
      </c>
      <c r="Q49" s="75">
        <f t="shared" si="11"/>
        <v>3</v>
      </c>
      <c r="R49" s="51">
        <v>3</v>
      </c>
      <c r="S49" s="33">
        <v>5</v>
      </c>
      <c r="T49" s="99">
        <v>0.21676333333333331</v>
      </c>
    </row>
    <row r="50" spans="1:20" x14ac:dyDescent="0.25">
      <c r="A50" s="32" t="s">
        <v>95</v>
      </c>
      <c r="B50" s="72">
        <v>0.109</v>
      </c>
      <c r="C50" s="103">
        <v>0.105</v>
      </c>
      <c r="D50" s="101">
        <v>0.10400000000000001</v>
      </c>
      <c r="E50" s="99">
        <f t="shared" si="6"/>
        <v>0.318</v>
      </c>
      <c r="F50" s="99">
        <f t="shared" si="7"/>
        <v>0.106</v>
      </c>
      <c r="G50" s="34" t="s">
        <v>14</v>
      </c>
      <c r="H50" s="31">
        <f>SQRT(J48/3)</f>
        <v>6.882744811020235E-3</v>
      </c>
      <c r="O50" s="33">
        <v>6</v>
      </c>
      <c r="P50" s="99">
        <f t="shared" si="10"/>
        <v>0.20312599999999997</v>
      </c>
      <c r="Q50" s="75">
        <f t="shared" si="11"/>
        <v>1</v>
      </c>
      <c r="R50" s="52">
        <v>1</v>
      </c>
      <c r="S50" s="33">
        <v>6</v>
      </c>
      <c r="T50" s="99">
        <v>0.22329266666666664</v>
      </c>
    </row>
    <row r="51" spans="1:20" x14ac:dyDescent="0.25">
      <c r="A51" s="32" t="s">
        <v>96</v>
      </c>
      <c r="B51" s="101">
        <v>0.16899999999999996</v>
      </c>
      <c r="C51" s="101">
        <v>0.17899999999999996</v>
      </c>
      <c r="D51" s="72">
        <v>0.16500000000000001</v>
      </c>
      <c r="E51" s="99">
        <f t="shared" si="6"/>
        <v>0.5129999999999999</v>
      </c>
      <c r="F51" s="99">
        <f t="shared" si="7"/>
        <v>0.17099999999999996</v>
      </c>
      <c r="G51" s="34" t="s">
        <v>16</v>
      </c>
      <c r="H51" s="31">
        <f>(SQRT((2*J48)/3))*L49</f>
        <v>1.9781199563324175E-2</v>
      </c>
      <c r="O51" s="33">
        <v>7</v>
      </c>
      <c r="P51" s="99">
        <f t="shared" si="10"/>
        <v>0.18490133333333331</v>
      </c>
      <c r="Q51" s="75">
        <f t="shared" si="11"/>
        <v>6</v>
      </c>
      <c r="R51" s="52">
        <v>6</v>
      </c>
      <c r="S51" s="33">
        <v>7</v>
      </c>
      <c r="T51" s="99">
        <v>0.20140133333333332</v>
      </c>
    </row>
    <row r="52" spans="1:20" x14ac:dyDescent="0.25">
      <c r="A52" s="32" t="s">
        <v>97</v>
      </c>
      <c r="B52" s="72">
        <v>0.17899999999999999</v>
      </c>
      <c r="C52" s="101">
        <v>0.185</v>
      </c>
      <c r="D52" s="72">
        <v>0.17599999999999999</v>
      </c>
      <c r="E52" s="99">
        <f t="shared" si="6"/>
        <v>0.54</v>
      </c>
      <c r="F52" s="99">
        <f t="shared" si="7"/>
        <v>0.18000000000000002</v>
      </c>
      <c r="G52" s="34" t="s">
        <v>29</v>
      </c>
      <c r="H52" s="31">
        <f>((SQRT(J48))/F59)*100</f>
        <v>6.7408926782425427</v>
      </c>
      <c r="O52" s="33">
        <v>8</v>
      </c>
      <c r="P52" s="99">
        <f t="shared" si="10"/>
        <v>0.18666666666666665</v>
      </c>
      <c r="Q52" s="75">
        <f t="shared" si="11"/>
        <v>4</v>
      </c>
      <c r="R52" s="51">
        <v>4</v>
      </c>
      <c r="S52" s="33">
        <v>8</v>
      </c>
      <c r="T52" s="99">
        <v>0.20666666666666667</v>
      </c>
    </row>
    <row r="53" spans="1:20" x14ac:dyDescent="0.25">
      <c r="A53" s="32" t="s">
        <v>98</v>
      </c>
      <c r="B53" s="72">
        <v>0.16899999999999998</v>
      </c>
      <c r="C53" s="101">
        <v>0.159</v>
      </c>
      <c r="D53" s="72">
        <v>0.17899999999999996</v>
      </c>
      <c r="E53" s="99">
        <f t="shared" si="6"/>
        <v>0.5069999999999999</v>
      </c>
      <c r="F53" s="99">
        <f t="shared" si="7"/>
        <v>0.16899999999999996</v>
      </c>
      <c r="O53" s="33">
        <v>9</v>
      </c>
      <c r="P53" s="99">
        <f t="shared" si="10"/>
        <v>0.16449999999999998</v>
      </c>
      <c r="Q53" s="75">
        <f t="shared" si="11"/>
        <v>8</v>
      </c>
      <c r="R53" s="52">
        <v>8</v>
      </c>
      <c r="S53" s="33">
        <v>9</v>
      </c>
      <c r="T53" s="99">
        <v>0.19</v>
      </c>
    </row>
    <row r="54" spans="1:20" x14ac:dyDescent="0.25">
      <c r="A54" s="32" t="s">
        <v>99</v>
      </c>
      <c r="B54" s="72">
        <v>0.18099999999999999</v>
      </c>
      <c r="C54" s="101">
        <v>0.17299999999999999</v>
      </c>
      <c r="D54" s="72">
        <v>0.18573199999999992</v>
      </c>
      <c r="E54" s="99">
        <f t="shared" si="6"/>
        <v>0.53973199999999988</v>
      </c>
      <c r="F54" s="99">
        <f t="shared" si="7"/>
        <v>0.17991066666666664</v>
      </c>
      <c r="O54" s="30" t="s">
        <v>14</v>
      </c>
      <c r="P54" s="99">
        <f>SQRT(J48/(3*2))</f>
        <v>4.8668355290489313E-3</v>
      </c>
      <c r="Q54" s="49"/>
      <c r="S54" s="99" t="s">
        <v>14</v>
      </c>
      <c r="T54" s="99">
        <v>5.6966317179142599E-3</v>
      </c>
    </row>
    <row r="55" spans="1:20" x14ac:dyDescent="0.25">
      <c r="A55" s="32" t="s">
        <v>100</v>
      </c>
      <c r="B55" s="72">
        <v>0.19899999999999998</v>
      </c>
      <c r="C55" s="101">
        <v>0.17875599999999994</v>
      </c>
      <c r="D55" s="72">
        <v>0.22900000000000001</v>
      </c>
      <c r="E55" s="99">
        <f t="shared" si="6"/>
        <v>0.60675599999999996</v>
      </c>
      <c r="F55" s="99">
        <f t="shared" si="7"/>
        <v>0.20225199999999999</v>
      </c>
      <c r="G55" s="59"/>
      <c r="H55" s="78"/>
      <c r="I55" s="78"/>
      <c r="J55" s="78"/>
      <c r="K55" s="78"/>
      <c r="N55" s="30" t="s">
        <v>109</v>
      </c>
      <c r="O55" s="30" t="s">
        <v>16</v>
      </c>
      <c r="P55" s="99">
        <f>SQRT((2*J48)/(3*2))*L49</f>
        <v>1.3987420351230894E-2</v>
      </c>
      <c r="Q55" s="49"/>
      <c r="S55" s="99" t="s">
        <v>16</v>
      </c>
      <c r="T55" s="99">
        <v>1.6372277530026343E-2</v>
      </c>
    </row>
    <row r="56" spans="1:20" x14ac:dyDescent="0.25">
      <c r="A56" s="32" t="s">
        <v>101</v>
      </c>
      <c r="B56" s="72">
        <v>0.16899999999999996</v>
      </c>
      <c r="C56" s="72">
        <v>0.15899999999999995</v>
      </c>
      <c r="D56" s="72">
        <v>0.219</v>
      </c>
      <c r="E56" s="99">
        <f t="shared" si="6"/>
        <v>0.54699999999999993</v>
      </c>
      <c r="F56" s="99">
        <f>E56/3</f>
        <v>0.18233333333333332</v>
      </c>
      <c r="G56" s="59"/>
      <c r="H56" s="78"/>
      <c r="I56" s="78"/>
      <c r="J56" s="78"/>
      <c r="K56" s="78"/>
      <c r="Q56" s="49"/>
    </row>
    <row r="57" spans="1:20" x14ac:dyDescent="0.25">
      <c r="A57" s="32" t="s">
        <v>102</v>
      </c>
      <c r="B57" s="72">
        <v>0.15899999999999995</v>
      </c>
      <c r="C57" s="72">
        <v>0.17899999999999996</v>
      </c>
      <c r="D57" s="72">
        <v>0.16899999999999996</v>
      </c>
      <c r="E57" s="99">
        <f t="shared" si="6"/>
        <v>0.5069999999999999</v>
      </c>
      <c r="F57" s="99">
        <f t="shared" ref="F57:F58" si="13">E57/3</f>
        <v>0.16899999999999996</v>
      </c>
      <c r="G57" s="59"/>
      <c r="H57" s="78"/>
      <c r="I57" s="78"/>
      <c r="J57" s="78"/>
      <c r="K57" s="78"/>
    </row>
    <row r="58" spans="1:20" x14ac:dyDescent="0.25">
      <c r="A58" s="32" t="s">
        <v>103</v>
      </c>
      <c r="B58" s="72">
        <v>0.14799999999999999</v>
      </c>
      <c r="C58" s="72">
        <v>0.13899999999999998</v>
      </c>
      <c r="D58" s="72">
        <v>0.14899999999999999</v>
      </c>
      <c r="E58" s="99">
        <f t="shared" si="6"/>
        <v>0.43599999999999994</v>
      </c>
      <c r="F58" s="99">
        <f t="shared" si="13"/>
        <v>0.14533333333333331</v>
      </c>
      <c r="G58" s="59"/>
      <c r="H58" s="78"/>
      <c r="I58" s="78"/>
      <c r="J58" s="78"/>
      <c r="K58" s="78"/>
    </row>
    <row r="59" spans="1:20" x14ac:dyDescent="0.25">
      <c r="A59" s="30" t="s">
        <v>4</v>
      </c>
      <c r="B59" s="31">
        <f>SUM(B41:B58)</f>
        <v>3.1241479999999999</v>
      </c>
      <c r="C59" s="31">
        <f t="shared" ref="C59:D59" si="14">SUM(C41:C58)</f>
        <v>3.1288639999999992</v>
      </c>
      <c r="D59" s="31">
        <f t="shared" si="14"/>
        <v>3.2968839999999995</v>
      </c>
      <c r="E59" s="31">
        <f>SUM(E41:E58)</f>
        <v>9.5498960000000004</v>
      </c>
      <c r="F59" s="31">
        <f>AVERAGE(B41:D58)</f>
        <v>0.17684992592592591</v>
      </c>
      <c r="G59" s="59"/>
      <c r="H59" s="78"/>
      <c r="I59" s="78"/>
      <c r="J59" s="78"/>
      <c r="K59" s="78"/>
    </row>
    <row r="60" spans="1:20" x14ac:dyDescent="0.25">
      <c r="A60" s="30" t="s">
        <v>5</v>
      </c>
      <c r="B60" s="31">
        <f>B59/18</f>
        <v>0.17356377777777776</v>
      </c>
      <c r="C60" s="31">
        <f>C59/18</f>
        <v>0.17382577777777775</v>
      </c>
      <c r="D60" s="31">
        <f>D59/18</f>
        <v>0.1831602222222222</v>
      </c>
      <c r="G60" s="59"/>
      <c r="H60" s="78"/>
      <c r="I60" s="78"/>
      <c r="J60" s="78"/>
      <c r="K60" s="78"/>
    </row>
    <row r="61" spans="1:20" x14ac:dyDescent="0.25">
      <c r="A61" s="30" t="s">
        <v>26</v>
      </c>
      <c r="B61" s="31">
        <f>(E59*E59)/54</f>
        <v>1.6888984002002962</v>
      </c>
      <c r="C61" s="31"/>
      <c r="D61" s="31"/>
      <c r="G61" s="59"/>
      <c r="H61" s="78"/>
      <c r="I61" s="78"/>
      <c r="J61" s="78"/>
      <c r="K61" s="78"/>
    </row>
    <row r="62" spans="1:20" x14ac:dyDescent="0.25">
      <c r="A62" s="30" t="s">
        <v>27</v>
      </c>
      <c r="B62" s="31">
        <f>SUMSQ(B41:D58)-B61</f>
        <v>5.2143059831703198E-2</v>
      </c>
      <c r="C62" s="30" t="s">
        <v>28</v>
      </c>
      <c r="D62" s="31">
        <f>(SUMSQ(B59:D59)/18)-B61</f>
        <v>1.0757534583700767E-3</v>
      </c>
      <c r="G62" s="59"/>
      <c r="H62" s="78"/>
      <c r="I62" s="78"/>
      <c r="J62" s="78"/>
      <c r="K62" s="78"/>
    </row>
    <row r="63" spans="1:20" x14ac:dyDescent="0.25">
      <c r="A63" s="30" t="s">
        <v>30</v>
      </c>
      <c r="B63" s="31">
        <f>(SUMSQ(E41:E58)/3)-B61</f>
        <v>4.6235344407703272E-2</v>
      </c>
      <c r="C63" s="30" t="s">
        <v>31</v>
      </c>
      <c r="D63" s="31">
        <f>B62-B63-D62</f>
        <v>4.8319619656298496E-3</v>
      </c>
      <c r="G63" s="59"/>
      <c r="H63" s="78"/>
      <c r="I63" s="78"/>
      <c r="J63" s="78"/>
      <c r="K63" s="78"/>
    </row>
    <row r="64" spans="1:20" x14ac:dyDescent="0.25">
      <c r="I64" s="78"/>
      <c r="J64" s="78"/>
      <c r="K64" s="78"/>
    </row>
    <row r="65" spans="1:19" x14ac:dyDescent="0.25">
      <c r="I65" s="78"/>
      <c r="J65" s="78"/>
      <c r="K65" s="78"/>
    </row>
    <row r="66" spans="1:19" x14ac:dyDescent="0.25">
      <c r="I66" s="78"/>
      <c r="J66" s="78"/>
      <c r="K66" s="78"/>
    </row>
    <row r="67" spans="1:19" ht="15.75" x14ac:dyDescent="0.25">
      <c r="C67" s="56" t="s">
        <v>122</v>
      </c>
      <c r="I67" s="78"/>
      <c r="J67" s="78"/>
      <c r="K67" s="78"/>
    </row>
    <row r="68" spans="1:19" x14ac:dyDescent="0.25">
      <c r="C68" s="48" t="s">
        <v>116</v>
      </c>
      <c r="I68" s="78"/>
      <c r="J68" s="78"/>
      <c r="K68" s="78"/>
    </row>
    <row r="69" spans="1:19" x14ac:dyDescent="0.25">
      <c r="A69" s="36" t="s">
        <v>104</v>
      </c>
      <c r="B69" s="38">
        <v>2</v>
      </c>
      <c r="C69" s="39"/>
      <c r="D69" s="39"/>
      <c r="E69" s="39"/>
      <c r="F69" s="39"/>
      <c r="G69" s="39"/>
      <c r="H69" s="39"/>
      <c r="I69" s="78"/>
      <c r="J69" s="78"/>
      <c r="K69" s="78"/>
      <c r="L69" s="39"/>
      <c r="M69" s="35"/>
      <c r="N69" s="35"/>
      <c r="O69" s="39"/>
      <c r="P69" s="39"/>
    </row>
    <row r="70" spans="1:19" x14ac:dyDescent="0.25">
      <c r="A70" s="36" t="s">
        <v>105</v>
      </c>
      <c r="B70" s="38">
        <v>9</v>
      </c>
      <c r="C70" s="39" t="s">
        <v>107</v>
      </c>
      <c r="D70" s="39">
        <v>18</v>
      </c>
      <c r="E70" s="39"/>
      <c r="F70" s="39"/>
      <c r="G70" s="39"/>
      <c r="H70" s="39"/>
      <c r="I70" s="78"/>
      <c r="J70" s="78"/>
      <c r="K70" s="78"/>
      <c r="L70" s="39"/>
      <c r="M70" s="35"/>
      <c r="N70" s="35"/>
      <c r="O70" s="39"/>
      <c r="P70" s="39"/>
    </row>
    <row r="71" spans="1:19" x14ac:dyDescent="0.25">
      <c r="A71" s="37" t="s">
        <v>106</v>
      </c>
      <c r="B71" s="40">
        <v>3</v>
      </c>
      <c r="I71" s="78"/>
      <c r="J71" s="78"/>
      <c r="K71" s="78"/>
    </row>
    <row r="72" spans="1:19" x14ac:dyDescent="0.25">
      <c r="A72" s="46" t="s">
        <v>0</v>
      </c>
      <c r="B72" s="30" t="s">
        <v>1</v>
      </c>
      <c r="C72" s="30" t="s">
        <v>2</v>
      </c>
      <c r="D72" s="30" t="s">
        <v>3</v>
      </c>
      <c r="E72" s="30" t="s">
        <v>4</v>
      </c>
      <c r="F72" s="30" t="s">
        <v>5</v>
      </c>
      <c r="I72" s="78"/>
      <c r="J72" s="78"/>
      <c r="K72" s="78"/>
      <c r="O72" s="41" t="s">
        <v>7</v>
      </c>
      <c r="R72" s="41"/>
      <c r="S72" s="41"/>
    </row>
    <row r="73" spans="1:19" x14ac:dyDescent="0.25">
      <c r="A73" s="32" t="s">
        <v>86</v>
      </c>
      <c r="B73" s="57">
        <f>DATA!AM8</f>
        <v>7.6849999999999996</v>
      </c>
      <c r="C73" s="57">
        <f>DATA!AN8</f>
        <v>6.3720000000000008</v>
      </c>
      <c r="D73" s="57">
        <f>DATA!AO8</f>
        <v>6.2523999999999988</v>
      </c>
      <c r="E73" s="31">
        <f>SUM(B73:D73)</f>
        <v>20.3094</v>
      </c>
      <c r="F73" s="31">
        <f>E73/3</f>
        <v>6.7698</v>
      </c>
      <c r="H73" s="47"/>
      <c r="I73" s="47"/>
      <c r="J73" s="47" t="s">
        <v>6</v>
      </c>
      <c r="K73" s="47"/>
      <c r="L73" s="47"/>
      <c r="M73" s="47"/>
      <c r="N73" s="47"/>
      <c r="O73" s="33">
        <v>1</v>
      </c>
      <c r="P73" s="42">
        <f>SUM(F73:F81)/9</f>
        <v>14.325313881481479</v>
      </c>
      <c r="Q73" s="49">
        <f>RANK(P73,P$73:P$74,0)</f>
        <v>1</v>
      </c>
      <c r="R73" s="41"/>
      <c r="S73" s="41"/>
    </row>
    <row r="74" spans="1:19" x14ac:dyDescent="0.25">
      <c r="A74" s="32" t="s">
        <v>87</v>
      </c>
      <c r="B74" s="57">
        <f>DATA!AM9</f>
        <v>13.893057199999996</v>
      </c>
      <c r="C74" s="57">
        <f>DATA!AN9</f>
        <v>15.192</v>
      </c>
      <c r="D74" s="57">
        <f>DATA!AO9</f>
        <v>16.53</v>
      </c>
      <c r="E74" s="31">
        <f t="shared" ref="E74:E90" si="15">SUM(B74:D74)</f>
        <v>45.615057199999995</v>
      </c>
      <c r="F74" s="31">
        <f t="shared" ref="F74:F87" si="16">E74/3</f>
        <v>15.205019066666665</v>
      </c>
      <c r="G74" s="31"/>
      <c r="H74" s="30" t="s">
        <v>8</v>
      </c>
      <c r="I74" s="30" t="s">
        <v>9</v>
      </c>
      <c r="J74" s="30" t="s">
        <v>10</v>
      </c>
      <c r="K74" s="30" t="s">
        <v>11</v>
      </c>
      <c r="L74" s="30" t="s">
        <v>12</v>
      </c>
      <c r="M74" s="30" t="s">
        <v>112</v>
      </c>
      <c r="N74" s="50"/>
      <c r="O74" s="33">
        <v>2</v>
      </c>
      <c r="P74" s="42">
        <f>SUM(F82:F90)/9</f>
        <v>12.68385185185185</v>
      </c>
      <c r="Q74" s="49">
        <f>RANK(P74,P$73:P$74,0)</f>
        <v>2</v>
      </c>
      <c r="R74" s="41"/>
      <c r="S74" s="41"/>
    </row>
    <row r="75" spans="1:19" x14ac:dyDescent="0.25">
      <c r="A75" s="32" t="s">
        <v>88</v>
      </c>
      <c r="B75" s="57">
        <f>DATA!AM10</f>
        <v>17.495999999999999</v>
      </c>
      <c r="C75" s="57">
        <f>DATA!AN10</f>
        <v>15.694800000000001</v>
      </c>
      <c r="D75" s="57">
        <f>DATA!AO10</f>
        <v>16.029999999999998</v>
      </c>
      <c r="E75" s="31">
        <f t="shared" si="15"/>
        <v>49.220799999999997</v>
      </c>
      <c r="F75" s="31">
        <f t="shared" si="16"/>
        <v>16.406933333333331</v>
      </c>
      <c r="G75" s="31" t="s">
        <v>13</v>
      </c>
      <c r="H75" s="31">
        <f>B71-1</f>
        <v>2</v>
      </c>
      <c r="I75" s="31">
        <f>D94</f>
        <v>6.9302968866322772</v>
      </c>
      <c r="J75" s="31">
        <f>I75/H75</f>
        <v>3.4651484433161386</v>
      </c>
      <c r="K75" s="31">
        <f>J75/$J$16</f>
        <v>3811.0301502389548</v>
      </c>
      <c r="L75" s="31">
        <f>FINV(0.05,H75,$H$16)</f>
        <v>3.275897990672394</v>
      </c>
      <c r="M75" s="31" t="str">
        <f>IF(K75&gt;=L75, "S", "NS")</f>
        <v>S</v>
      </c>
      <c r="N75" s="39"/>
      <c r="O75" s="30" t="s">
        <v>14</v>
      </c>
      <c r="P75" s="42">
        <f>SQRT(J80/(3*9))</f>
        <v>0.21961381749907075</v>
      </c>
      <c r="R75" s="41"/>
      <c r="S75" s="41"/>
    </row>
    <row r="76" spans="1:19" x14ac:dyDescent="0.25">
      <c r="A76" s="32" t="s">
        <v>89</v>
      </c>
      <c r="B76" s="57">
        <f>DATA!AM11</f>
        <v>12.738000000000001</v>
      </c>
      <c r="C76" s="57">
        <f>DATA!AN11</f>
        <v>12.096</v>
      </c>
      <c r="D76" s="57">
        <f>DATA!AO11</f>
        <v>12.67</v>
      </c>
      <c r="E76" s="31">
        <f t="shared" si="15"/>
        <v>37.504000000000005</v>
      </c>
      <c r="F76" s="31">
        <f t="shared" si="16"/>
        <v>12.501333333333335</v>
      </c>
      <c r="G76" s="31" t="s">
        <v>15</v>
      </c>
      <c r="H76" s="31">
        <f>D70-1</f>
        <v>17</v>
      </c>
      <c r="I76" s="31">
        <f>B95</f>
        <v>652.84937256646663</v>
      </c>
      <c r="J76" s="31">
        <f t="shared" ref="J76:J80" si="17">I76/H76</f>
        <v>38.402904268615686</v>
      </c>
      <c r="K76" s="31">
        <f>J76/$J$16</f>
        <v>42236.177877670838</v>
      </c>
      <c r="L76" s="31">
        <f>FINV(0.05,H76,$H$16)</f>
        <v>1.9332068318040869</v>
      </c>
      <c r="M76" s="43" t="str">
        <f t="shared" ref="M76" si="18">IF(K76&gt;=L76, "S", "NS")</f>
        <v>S</v>
      </c>
      <c r="N76" s="30" t="s">
        <v>113</v>
      </c>
      <c r="O76" s="30" t="s">
        <v>16</v>
      </c>
      <c r="P76" s="42">
        <f>SQRT((2*J80)/(3*9))*L81</f>
        <v>0.6311762051466534</v>
      </c>
      <c r="R76" s="41"/>
      <c r="S76" s="41"/>
    </row>
    <row r="77" spans="1:19" x14ac:dyDescent="0.25">
      <c r="A77" s="32" t="s">
        <v>90</v>
      </c>
      <c r="B77" s="57">
        <f>DATA!AM12</f>
        <v>17.746217599999994</v>
      </c>
      <c r="C77" s="57">
        <f>DATA!AN12</f>
        <v>18.088000000000001</v>
      </c>
      <c r="D77" s="57">
        <f>DATA!AO12</f>
        <v>16.465</v>
      </c>
      <c r="E77" s="31">
        <f t="shared" si="15"/>
        <v>52.299217599999992</v>
      </c>
      <c r="F77" s="31">
        <f t="shared" si="16"/>
        <v>17.433072533333331</v>
      </c>
      <c r="G77" s="31" t="s">
        <v>108</v>
      </c>
      <c r="H77" s="31">
        <f>B69-1</f>
        <v>1</v>
      </c>
      <c r="I77" s="31">
        <f>(SUM(E73:E81)^2+SUM(E82:E90)^2)/27-B93</f>
        <v>36.374367528665971</v>
      </c>
      <c r="J77" s="31">
        <f t="shared" si="17"/>
        <v>36.374367528665971</v>
      </c>
      <c r="K77" s="31">
        <f>J77/$J$16</f>
        <v>40005.158109462165</v>
      </c>
      <c r="L77" s="31">
        <f>FINV(0.05,H77,$H$16)</f>
        <v>4.1300177456520188</v>
      </c>
      <c r="M77" s="31" t="str">
        <f>IF(K77&gt;=L77, "S", "NS")</f>
        <v>S</v>
      </c>
      <c r="N77" s="39"/>
      <c r="O77" s="33">
        <v>1</v>
      </c>
      <c r="P77" s="42">
        <f>(F73+F82)/2</f>
        <v>6.0808999999999997</v>
      </c>
      <c r="Q77" s="49">
        <f>RANK(P77,P$77:P$85,0)</f>
        <v>9</v>
      </c>
      <c r="R77" s="51">
        <v>9</v>
      </c>
      <c r="S77" s="41"/>
    </row>
    <row r="78" spans="1:19" x14ac:dyDescent="0.25">
      <c r="A78" s="32" t="s">
        <v>91</v>
      </c>
      <c r="B78" s="57">
        <f>DATA!AM13</f>
        <v>21.237999999999996</v>
      </c>
      <c r="C78" s="57">
        <f>DATA!AN13</f>
        <v>16.931999999999999</v>
      </c>
      <c r="D78" s="57">
        <f>DATA!AO13</f>
        <v>18.163999999999998</v>
      </c>
      <c r="E78" s="31">
        <f t="shared" si="15"/>
        <v>56.333999999999989</v>
      </c>
      <c r="F78" s="31">
        <f t="shared" si="16"/>
        <v>18.777999999999995</v>
      </c>
      <c r="G78" s="31" t="s">
        <v>109</v>
      </c>
      <c r="H78" s="31">
        <f>B70-1</f>
        <v>8</v>
      </c>
      <c r="I78" s="31">
        <f>((E73+E82)^2+(E74+E83)^2+(E75+E84)^2+(E76+E85)^2+(E77+E86)^2+(E78+E87)^2+(E79+E88)^2+(E80+E89)^2+(E81+E90)^2/6)-B93</f>
        <v>48696.360710999397</v>
      </c>
      <c r="J78" s="31">
        <f t="shared" si="17"/>
        <v>6087.0450888749247</v>
      </c>
      <c r="K78" s="31">
        <f>J78/$J$16</f>
        <v>6694637.3983811066</v>
      </c>
      <c r="L78" s="31">
        <f>FINV(0.05,H78,$H$16)</f>
        <v>2.2253399674380931</v>
      </c>
      <c r="M78" s="31" t="str">
        <f>IF(K78&gt;=L78, "S", "NS")</f>
        <v>S</v>
      </c>
      <c r="N78" s="39"/>
      <c r="O78" s="33">
        <v>2</v>
      </c>
      <c r="P78" s="42">
        <f t="shared" ref="P78:P85" si="19">(F74+F83)/2</f>
        <v>13.549009533333333</v>
      </c>
      <c r="Q78" s="49">
        <f t="shared" ref="Q78:Q84" si="20">RANK(P78,P$77:P$85,0)</f>
        <v>5</v>
      </c>
      <c r="R78" s="52">
        <v>5</v>
      </c>
      <c r="S78" s="41"/>
    </row>
    <row r="79" spans="1:19" x14ac:dyDescent="0.25">
      <c r="A79" s="32" t="s">
        <v>92</v>
      </c>
      <c r="B79" s="57">
        <f>DATA!AM14</f>
        <v>14.472000000000001</v>
      </c>
      <c r="C79" s="57">
        <f>DATA!AN14</f>
        <v>13.035</v>
      </c>
      <c r="D79" s="57">
        <f>DATA!AO14</f>
        <v>13.614999999999998</v>
      </c>
      <c r="E79" s="31">
        <f t="shared" si="15"/>
        <v>41.122</v>
      </c>
      <c r="F79" s="31">
        <f t="shared" si="16"/>
        <v>13.707333333333333</v>
      </c>
      <c r="G79" s="26" t="s">
        <v>110</v>
      </c>
      <c r="H79" s="31">
        <f>H77*H78</f>
        <v>8</v>
      </c>
      <c r="I79" s="31">
        <f>I76-(I77+I78)</f>
        <v>-48079.885705961598</v>
      </c>
      <c r="J79" s="31">
        <f t="shared" si="17"/>
        <v>-6009.9857132451998</v>
      </c>
      <c r="K79" s="44">
        <f>J79/$J$16</f>
        <v>-6609886.1651547393</v>
      </c>
      <c r="L79" s="31">
        <f>FINV(0.05,H79,$H$16)</f>
        <v>2.2253399674380931</v>
      </c>
      <c r="M79" s="31" t="str">
        <f t="shared" ref="M79" si="21">IF(K79&gt;=L79, "S", "NS")</f>
        <v>NS</v>
      </c>
      <c r="N79" s="39"/>
      <c r="O79" s="33">
        <v>3</v>
      </c>
      <c r="P79" s="42">
        <f t="shared" si="19"/>
        <v>17.101799999999997</v>
      </c>
      <c r="Q79" s="49">
        <f t="shared" si="20"/>
        <v>2</v>
      </c>
      <c r="R79" s="52">
        <v>2</v>
      </c>
      <c r="S79" s="41"/>
    </row>
    <row r="80" spans="1:19" x14ac:dyDescent="0.25">
      <c r="A80" s="32" t="s">
        <v>93</v>
      </c>
      <c r="B80" s="57">
        <f>DATA!AM15</f>
        <v>15.66</v>
      </c>
      <c r="C80" s="57">
        <f>DATA!AN15</f>
        <v>16.149999999999999</v>
      </c>
      <c r="D80" s="57">
        <f>DATA!AO15</f>
        <v>15.503</v>
      </c>
      <c r="E80" s="31">
        <f t="shared" si="15"/>
        <v>47.313000000000002</v>
      </c>
      <c r="F80" s="31">
        <f t="shared" si="16"/>
        <v>15.771000000000001</v>
      </c>
      <c r="G80" s="45" t="s">
        <v>23</v>
      </c>
      <c r="H80" s="31">
        <f>((B71-1)*(B69*B70-1))</f>
        <v>34</v>
      </c>
      <c r="I80" s="31">
        <f>D95</f>
        <v>44.275350071920911</v>
      </c>
      <c r="J80" s="31">
        <f t="shared" si="17"/>
        <v>1.3022161785859092</v>
      </c>
      <c r="O80" s="33">
        <v>4</v>
      </c>
      <c r="P80" s="42">
        <f t="shared" si="19"/>
        <v>12.439166666666665</v>
      </c>
      <c r="Q80" s="49">
        <f t="shared" si="20"/>
        <v>7</v>
      </c>
      <c r="R80" s="52">
        <v>7</v>
      </c>
      <c r="S80" s="41"/>
    </row>
    <row r="81" spans="1:18" x14ac:dyDescent="0.25">
      <c r="A81" s="32" t="s">
        <v>94</v>
      </c>
      <c r="B81" s="57">
        <f>DATA!AM16</f>
        <v>12.774999999999999</v>
      </c>
      <c r="C81" s="57">
        <f>DATA!AN16</f>
        <v>11.067</v>
      </c>
      <c r="D81" s="57">
        <f>DATA!AO16</f>
        <v>13.223999999999998</v>
      </c>
      <c r="E81" s="31">
        <f t="shared" si="15"/>
        <v>37.065999999999995</v>
      </c>
      <c r="F81" s="31">
        <f t="shared" si="16"/>
        <v>12.355333333333332</v>
      </c>
      <c r="G81" s="44" t="s">
        <v>4</v>
      </c>
      <c r="H81" s="31">
        <f>SUM(H75:H80)-H76</f>
        <v>53</v>
      </c>
      <c r="I81" s="31">
        <f>B94</f>
        <v>704.05501952501982</v>
      </c>
      <c r="K81" s="31" t="s">
        <v>111</v>
      </c>
      <c r="L81" s="41">
        <f>TINV(0.05,34)</f>
        <v>2.0322445093177191</v>
      </c>
      <c r="O81" s="33">
        <v>5</v>
      </c>
      <c r="P81" s="42">
        <f t="shared" si="19"/>
        <v>15.291036266666666</v>
      </c>
      <c r="Q81" s="49">
        <f t="shared" si="20"/>
        <v>3</v>
      </c>
      <c r="R81" s="51">
        <v>3</v>
      </c>
    </row>
    <row r="82" spans="1:18" x14ac:dyDescent="0.25">
      <c r="A82" s="32" t="s">
        <v>95</v>
      </c>
      <c r="B82" s="57">
        <f>DATA!AM17</f>
        <v>7.9499999999999993</v>
      </c>
      <c r="C82" s="57">
        <f>DATA!AN17</f>
        <v>4.8360000000000003</v>
      </c>
      <c r="D82" s="57">
        <f>DATA!AO17</f>
        <v>3.39</v>
      </c>
      <c r="E82" s="31">
        <f t="shared" si="15"/>
        <v>16.175999999999998</v>
      </c>
      <c r="F82" s="31">
        <f t="shared" si="16"/>
        <v>5.3919999999999995</v>
      </c>
      <c r="G82" s="34" t="s">
        <v>14</v>
      </c>
      <c r="H82" s="31">
        <f>SQRT(J80/3)</f>
        <v>0.65884145249721227</v>
      </c>
      <c r="O82" s="33">
        <v>6</v>
      </c>
      <c r="P82" s="42">
        <f t="shared" si="19"/>
        <v>17.980333333333331</v>
      </c>
      <c r="Q82" s="49">
        <f t="shared" si="20"/>
        <v>1</v>
      </c>
      <c r="R82" s="52">
        <v>1</v>
      </c>
    </row>
    <row r="83" spans="1:18" x14ac:dyDescent="0.25">
      <c r="A83" s="32" t="s">
        <v>96</v>
      </c>
      <c r="B83" s="57">
        <f>DATA!AM18</f>
        <v>11.935</v>
      </c>
      <c r="C83" s="57">
        <f>DATA!AN18</f>
        <v>11.648</v>
      </c>
      <c r="D83" s="57">
        <f>DATA!AO18</f>
        <v>12.096</v>
      </c>
      <c r="E83" s="31">
        <f t="shared" si="15"/>
        <v>35.679000000000002</v>
      </c>
      <c r="F83" s="31">
        <f t="shared" si="16"/>
        <v>11.893000000000001</v>
      </c>
      <c r="G83" s="34" t="s">
        <v>16</v>
      </c>
      <c r="H83" s="31">
        <f>(SQRT((2*J80)/3))*L81</f>
        <v>1.8935286154399604</v>
      </c>
      <c r="O83" s="33">
        <v>7</v>
      </c>
      <c r="P83" s="42">
        <f t="shared" si="19"/>
        <v>13.034333333333333</v>
      </c>
      <c r="Q83" s="49">
        <f t="shared" si="20"/>
        <v>6</v>
      </c>
      <c r="R83" s="52">
        <v>6</v>
      </c>
    </row>
    <row r="84" spans="1:18" x14ac:dyDescent="0.25">
      <c r="A84" s="32" t="s">
        <v>97</v>
      </c>
      <c r="B84" s="57">
        <f>DATA!AM19</f>
        <v>18.641999999999999</v>
      </c>
      <c r="C84" s="57">
        <f>DATA!AN19</f>
        <v>16.38</v>
      </c>
      <c r="D84" s="57">
        <f>DATA!AO19</f>
        <v>18.367999999999999</v>
      </c>
      <c r="E84" s="31">
        <f t="shared" si="15"/>
        <v>53.39</v>
      </c>
      <c r="F84" s="31">
        <f t="shared" si="16"/>
        <v>17.796666666666667</v>
      </c>
      <c r="G84" s="34" t="s">
        <v>29</v>
      </c>
      <c r="H84" s="31">
        <f>((SQRT(J80))/F91)*100</f>
        <v>8.4500712174852826</v>
      </c>
      <c r="O84" s="33">
        <v>8</v>
      </c>
      <c r="P84" s="42">
        <f t="shared" si="19"/>
        <v>14.457666666666668</v>
      </c>
      <c r="Q84" s="49">
        <f t="shared" si="20"/>
        <v>4</v>
      </c>
      <c r="R84" s="51">
        <v>4</v>
      </c>
    </row>
    <row r="85" spans="1:18" x14ac:dyDescent="0.25">
      <c r="A85" s="32" t="s">
        <v>98</v>
      </c>
      <c r="B85" s="57">
        <f>DATA!AM20</f>
        <v>13.983999999999998</v>
      </c>
      <c r="C85" s="57">
        <f>DATA!AN20</f>
        <v>10.411</v>
      </c>
      <c r="D85" s="57">
        <f>DATA!AO20</f>
        <v>12.735999999999999</v>
      </c>
      <c r="E85" s="31">
        <f t="shared" si="15"/>
        <v>37.130999999999993</v>
      </c>
      <c r="F85" s="31">
        <f t="shared" si="16"/>
        <v>12.376999999999997</v>
      </c>
      <c r="O85" s="33">
        <v>9</v>
      </c>
      <c r="P85" s="42">
        <f t="shared" si="19"/>
        <v>11.606999999999999</v>
      </c>
      <c r="Q85" s="49">
        <f>RANK(P85,P$77:P$85,0)</f>
        <v>8</v>
      </c>
      <c r="R85" s="52">
        <v>8</v>
      </c>
    </row>
    <row r="86" spans="1:18" x14ac:dyDescent="0.25">
      <c r="A86" s="32" t="s">
        <v>99</v>
      </c>
      <c r="B86" s="57">
        <f>DATA!AM21</f>
        <v>11.68</v>
      </c>
      <c r="C86" s="57">
        <f>DATA!AN21</f>
        <v>14.592000000000001</v>
      </c>
      <c r="D86" s="57">
        <f>DATA!AO21</f>
        <v>13.175000000000001</v>
      </c>
      <c r="E86" s="31">
        <f t="shared" si="15"/>
        <v>39.447000000000003</v>
      </c>
      <c r="F86" s="31">
        <f t="shared" si="16"/>
        <v>13.149000000000001</v>
      </c>
      <c r="O86" s="30" t="s">
        <v>14</v>
      </c>
      <c r="P86" s="42">
        <f>SQRT(J80/(3*2))</f>
        <v>0.46587125878757341</v>
      </c>
      <c r="Q86" s="49"/>
    </row>
    <row r="87" spans="1:18" x14ac:dyDescent="0.25">
      <c r="A87" s="32" t="s">
        <v>100</v>
      </c>
      <c r="B87" s="57">
        <f>DATA!AM22</f>
        <v>16.847999999999999</v>
      </c>
      <c r="C87" s="57">
        <f>DATA!AN22</f>
        <v>16.763999999999999</v>
      </c>
      <c r="D87" s="57">
        <f>DATA!AO22</f>
        <v>17.936</v>
      </c>
      <c r="E87" s="31">
        <f t="shared" si="15"/>
        <v>51.547999999999995</v>
      </c>
      <c r="F87" s="31">
        <f t="shared" si="16"/>
        <v>17.182666666666666</v>
      </c>
      <c r="N87" s="30" t="s">
        <v>109</v>
      </c>
      <c r="O87" s="30" t="s">
        <v>16</v>
      </c>
      <c r="P87" s="42">
        <f>SQRT((2*J80)/(3*2))*L81</f>
        <v>1.3389269243483704</v>
      </c>
      <c r="Q87" s="49"/>
    </row>
    <row r="88" spans="1:18" x14ac:dyDescent="0.25">
      <c r="A88" s="32" t="s">
        <v>101</v>
      </c>
      <c r="B88" s="57">
        <f>DATA!AM23</f>
        <v>12.128</v>
      </c>
      <c r="C88" s="57">
        <f>DATA!AN23</f>
        <v>11.339999999999998</v>
      </c>
      <c r="D88" s="57">
        <f>DATA!AO23</f>
        <v>13.616</v>
      </c>
      <c r="E88" s="31">
        <f t="shared" si="15"/>
        <v>37.083999999999996</v>
      </c>
      <c r="F88" s="31">
        <f>E88/3</f>
        <v>12.361333333333333</v>
      </c>
      <c r="Q88" s="49"/>
    </row>
    <row r="89" spans="1:18" x14ac:dyDescent="0.25">
      <c r="A89" s="32" t="s">
        <v>102</v>
      </c>
      <c r="B89" s="57">
        <f>DATA!AM24</f>
        <v>12.679</v>
      </c>
      <c r="C89" s="57">
        <f>DATA!AN24</f>
        <v>13.794</v>
      </c>
      <c r="D89" s="57">
        <f>DATA!AO24</f>
        <v>12.96</v>
      </c>
      <c r="E89" s="31">
        <f t="shared" si="15"/>
        <v>39.433</v>
      </c>
      <c r="F89" s="31">
        <f t="shared" ref="F89:F90" si="22">E89/3</f>
        <v>13.144333333333334</v>
      </c>
    </row>
    <row r="90" spans="1:18" x14ac:dyDescent="0.25">
      <c r="A90" s="32" t="s">
        <v>103</v>
      </c>
      <c r="B90" s="57">
        <f>DATA!AM25</f>
        <v>11.135999999999999</v>
      </c>
      <c r="C90" s="57">
        <f>DATA!AN25</f>
        <v>10.528000000000002</v>
      </c>
      <c r="D90" s="57">
        <f>DATA!AO25</f>
        <v>10.912000000000001</v>
      </c>
      <c r="E90" s="31">
        <f t="shared" si="15"/>
        <v>32.576000000000001</v>
      </c>
      <c r="F90" s="31">
        <f t="shared" si="22"/>
        <v>10.858666666666666</v>
      </c>
    </row>
    <row r="91" spans="1:18" x14ac:dyDescent="0.25">
      <c r="A91" s="30" t="s">
        <v>4</v>
      </c>
      <c r="B91" s="31">
        <f>SUM(B73:B90)</f>
        <v>250.6852748</v>
      </c>
      <c r="C91" s="31">
        <f t="shared" ref="C91:D91" si="23">SUM(C73:C90)</f>
        <v>234.91980000000004</v>
      </c>
      <c r="D91" s="31">
        <f t="shared" si="23"/>
        <v>243.64240000000001</v>
      </c>
      <c r="E91" s="31">
        <f>SUM(E73:E90)</f>
        <v>729.24747479999985</v>
      </c>
      <c r="F91" s="31">
        <f>AVERAGE(B73:D90)</f>
        <v>13.504582866666665</v>
      </c>
    </row>
    <row r="92" spans="1:18" x14ac:dyDescent="0.25">
      <c r="A92" s="30" t="s">
        <v>5</v>
      </c>
      <c r="B92" s="31">
        <f>B91/18</f>
        <v>13.926959711111111</v>
      </c>
      <c r="C92" s="31">
        <f>C91/18</f>
        <v>13.051100000000002</v>
      </c>
      <c r="D92" s="31">
        <f>D91/18</f>
        <v>13.53568888888889</v>
      </c>
    </row>
    <row r="93" spans="1:18" x14ac:dyDescent="0.25">
      <c r="A93" s="30" t="s">
        <v>26</v>
      </c>
      <c r="B93" s="31">
        <f>(E91*E91)/54</f>
        <v>9848.182953744008</v>
      </c>
      <c r="C93" s="31"/>
      <c r="D93" s="31"/>
    </row>
    <row r="94" spans="1:18" x14ac:dyDescent="0.25">
      <c r="A94" s="30" t="s">
        <v>27</v>
      </c>
      <c r="B94" s="31">
        <f>SUMSQ(B73:D90)-B93</f>
        <v>704.05501952501982</v>
      </c>
      <c r="C94" s="30" t="s">
        <v>28</v>
      </c>
      <c r="D94" s="31">
        <f>(SUMSQ(B91:D91)/18)-B93</f>
        <v>6.9302968866322772</v>
      </c>
    </row>
    <row r="95" spans="1:18" x14ac:dyDescent="0.25">
      <c r="A95" s="30" t="s">
        <v>30</v>
      </c>
      <c r="B95" s="31">
        <f>(SUMSQ(E73:E90)/3)-B93</f>
        <v>652.84937256646663</v>
      </c>
      <c r="C95" s="30" t="s">
        <v>31</v>
      </c>
      <c r="D95" s="31">
        <f>B94-B95-D94</f>
        <v>44.275350071920911</v>
      </c>
    </row>
    <row r="99" spans="1:18" ht="15.75" x14ac:dyDescent="0.25">
      <c r="C99" s="56" t="s">
        <v>122</v>
      </c>
    </row>
    <row r="100" spans="1:18" ht="15.75" x14ac:dyDescent="0.25">
      <c r="C100" s="65" t="s">
        <v>117</v>
      </c>
    </row>
    <row r="101" spans="1:18" x14ac:dyDescent="0.25">
      <c r="A101" s="36" t="s">
        <v>104</v>
      </c>
      <c r="B101" s="38">
        <v>2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5"/>
      <c r="N101" s="35"/>
      <c r="O101" s="39"/>
      <c r="P101" s="39"/>
    </row>
    <row r="102" spans="1:18" x14ac:dyDescent="0.25">
      <c r="A102" s="36" t="s">
        <v>105</v>
      </c>
      <c r="B102" s="38">
        <v>9</v>
      </c>
      <c r="C102" s="39" t="s">
        <v>107</v>
      </c>
      <c r="D102" s="39">
        <v>18</v>
      </c>
      <c r="E102" s="39"/>
      <c r="F102" s="39"/>
      <c r="G102" s="39"/>
      <c r="H102" s="39"/>
      <c r="I102" s="39"/>
      <c r="J102" s="39"/>
      <c r="K102" s="39"/>
      <c r="L102" s="39"/>
      <c r="M102" s="35"/>
      <c r="N102" s="35"/>
      <c r="O102" s="39"/>
      <c r="P102" s="39"/>
    </row>
    <row r="103" spans="1:18" x14ac:dyDescent="0.25">
      <c r="A103" s="37" t="s">
        <v>106</v>
      </c>
      <c r="B103" s="40">
        <v>3</v>
      </c>
    </row>
    <row r="104" spans="1:18" x14ac:dyDescent="0.25">
      <c r="A104" s="46" t="s">
        <v>0</v>
      </c>
      <c r="B104" s="30" t="s">
        <v>1</v>
      </c>
      <c r="C104" s="30" t="s">
        <v>2</v>
      </c>
      <c r="D104" s="30" t="s">
        <v>3</v>
      </c>
      <c r="E104" s="30" t="s">
        <v>4</v>
      </c>
      <c r="F104" s="30" t="s">
        <v>5</v>
      </c>
      <c r="O104" s="41" t="s">
        <v>7</v>
      </c>
      <c r="R104" s="41"/>
    </row>
    <row r="105" spans="1:18" x14ac:dyDescent="0.25">
      <c r="A105" s="32" t="s">
        <v>86</v>
      </c>
      <c r="B105" s="57">
        <f>DATA!AM31</f>
        <v>4.0392000000000001</v>
      </c>
      <c r="C105" s="57">
        <f>DATA!AN31</f>
        <v>4.3423999999999996</v>
      </c>
      <c r="D105" s="57">
        <f>DATA!AO31</f>
        <v>4.4064000000000014</v>
      </c>
      <c r="E105" s="31">
        <f>SUM(B105:D105)</f>
        <v>12.788</v>
      </c>
      <c r="F105" s="31">
        <f>E105/3</f>
        <v>4.262666666666667</v>
      </c>
      <c r="H105" s="47"/>
      <c r="I105" s="47"/>
      <c r="J105" s="47" t="s">
        <v>6</v>
      </c>
      <c r="K105" s="47"/>
      <c r="L105" s="47"/>
      <c r="M105" s="47"/>
      <c r="N105" s="47"/>
      <c r="O105" s="33">
        <v>1</v>
      </c>
      <c r="P105" s="42">
        <f>SUM(F105:F113)/9</f>
        <v>11.967151244444443</v>
      </c>
      <c r="Q105" s="49">
        <f>RANK(P105,P$105:P$106,0)</f>
        <v>1</v>
      </c>
      <c r="R105" s="41"/>
    </row>
    <row r="106" spans="1:18" x14ac:dyDescent="0.25">
      <c r="A106" s="32" t="s">
        <v>87</v>
      </c>
      <c r="B106" s="57">
        <f>DATA!AM32</f>
        <v>11.322000000000001</v>
      </c>
      <c r="C106" s="57">
        <f>DATA!AN32</f>
        <v>14.431600000000001</v>
      </c>
      <c r="D106" s="57">
        <f>DATA!AO32</f>
        <v>12.842799999999999</v>
      </c>
      <c r="E106" s="31">
        <f t="shared" ref="E106:E122" si="24">SUM(B106:D106)</f>
        <v>38.596400000000003</v>
      </c>
      <c r="F106" s="31">
        <f t="shared" ref="F106:F119" si="25">E106/3</f>
        <v>12.865466666666668</v>
      </c>
      <c r="G106" s="31"/>
      <c r="H106" s="30" t="s">
        <v>8</v>
      </c>
      <c r="I106" s="30" t="s">
        <v>9</v>
      </c>
      <c r="J106" s="30" t="s">
        <v>10</v>
      </c>
      <c r="K106" s="30" t="s">
        <v>11</v>
      </c>
      <c r="L106" s="30" t="s">
        <v>12</v>
      </c>
      <c r="M106" s="30" t="s">
        <v>112</v>
      </c>
      <c r="N106" s="50"/>
      <c r="O106" s="33">
        <v>2</v>
      </c>
      <c r="P106" s="42">
        <f>SUM(F114:F122)/9</f>
        <v>10.416256918518517</v>
      </c>
      <c r="Q106" s="49">
        <f>RANK(P106,P$105:P$106,0)</f>
        <v>2</v>
      </c>
      <c r="R106" s="41"/>
    </row>
    <row r="107" spans="1:18" x14ac:dyDescent="0.25">
      <c r="A107" s="32" t="s">
        <v>88</v>
      </c>
      <c r="B107" s="57">
        <f>DATA!AM33</f>
        <v>14.4001</v>
      </c>
      <c r="C107" s="57">
        <f>DATA!AN33</f>
        <v>15.0228</v>
      </c>
      <c r="D107" s="57">
        <f>DATA!AO33</f>
        <v>15.680399999999999</v>
      </c>
      <c r="E107" s="31">
        <f t="shared" si="24"/>
        <v>45.103299999999997</v>
      </c>
      <c r="F107" s="31">
        <f t="shared" si="25"/>
        <v>15.034433333333332</v>
      </c>
      <c r="G107" s="31" t="s">
        <v>13</v>
      </c>
      <c r="H107" s="31">
        <f>B103-1</f>
        <v>2</v>
      </c>
      <c r="I107" s="31">
        <f>D126</f>
        <v>4.9701856915389726</v>
      </c>
      <c r="J107" s="31">
        <f>I107/H107</f>
        <v>2.4850928457694863</v>
      </c>
      <c r="K107" s="31">
        <f>J107/$J$16</f>
        <v>2733.1480645911779</v>
      </c>
      <c r="L107" s="31">
        <f>FINV(0.05,H107,$H$16)</f>
        <v>3.275897990672394</v>
      </c>
      <c r="M107" s="31" t="str">
        <f>IF(K107&gt;=L107, "S", "NS")</f>
        <v>S</v>
      </c>
      <c r="N107" s="39"/>
      <c r="O107" s="30" t="s">
        <v>14</v>
      </c>
      <c r="P107" s="42">
        <f>SQRT(J112/(3*9))</f>
        <v>0.15540244644090853</v>
      </c>
      <c r="R107" s="41"/>
    </row>
    <row r="108" spans="1:18" x14ac:dyDescent="0.25">
      <c r="A108" s="32" t="s">
        <v>89</v>
      </c>
      <c r="B108" s="57">
        <f>DATA!AM34</f>
        <v>9.7327999999999975</v>
      </c>
      <c r="C108" s="57">
        <f>DATA!AN34</f>
        <v>9.9959999999999969</v>
      </c>
      <c r="D108" s="57">
        <f>DATA!AO34</f>
        <v>12.125999999999998</v>
      </c>
      <c r="E108" s="31">
        <f t="shared" si="24"/>
        <v>31.85479999999999</v>
      </c>
      <c r="F108" s="31">
        <f t="shared" si="25"/>
        <v>10.618266666666663</v>
      </c>
      <c r="G108" s="31" t="s">
        <v>15</v>
      </c>
      <c r="H108" s="31">
        <f>D102-1</f>
        <v>17</v>
      </c>
      <c r="I108" s="31">
        <f>B127</f>
        <v>494.71942043941453</v>
      </c>
      <c r="J108" s="31">
        <f t="shared" ref="J108:J112" si="26">I108/H108</f>
        <v>29.101142378789092</v>
      </c>
      <c r="K108" s="31">
        <f>J108/$J$16</f>
        <v>32005.939377831004</v>
      </c>
      <c r="L108" s="31">
        <f>FINV(0.05,H108,$H$16)</f>
        <v>1.9332068318040869</v>
      </c>
      <c r="M108" s="43" t="str">
        <f t="shared" ref="M108" si="27">IF(K108&gt;=L108, "S", "NS")</f>
        <v>S</v>
      </c>
      <c r="N108" s="30" t="s">
        <v>113</v>
      </c>
      <c r="O108" s="30" t="s">
        <v>16</v>
      </c>
      <c r="P108" s="42">
        <f>SQRT((2*J112)/(3*9))*L113</f>
        <v>0.44663094304388995</v>
      </c>
      <c r="R108" s="41"/>
    </row>
    <row r="109" spans="1:18" x14ac:dyDescent="0.25">
      <c r="A109" s="32" t="s">
        <v>90</v>
      </c>
      <c r="B109" s="57">
        <f>DATA!AM35</f>
        <v>14.361600000000001</v>
      </c>
      <c r="C109" s="57">
        <f>DATA!AN35</f>
        <v>13.293199999999999</v>
      </c>
      <c r="D109" s="57">
        <f>DATA!AO35</f>
        <v>13.827599999999999</v>
      </c>
      <c r="E109" s="31">
        <f t="shared" si="24"/>
        <v>41.482399999999998</v>
      </c>
      <c r="F109" s="31">
        <f t="shared" si="25"/>
        <v>13.827466666666666</v>
      </c>
      <c r="G109" s="31" t="s">
        <v>108</v>
      </c>
      <c r="H109" s="31">
        <f>B101-1</f>
        <v>1</v>
      </c>
      <c r="I109" s="31">
        <f>(SUM(E105:E113)^2+SUM(E114:E122)^2)/27-B125</f>
        <v>32.471188337555759</v>
      </c>
      <c r="J109" s="31">
        <f t="shared" si="26"/>
        <v>32.471188337555759</v>
      </c>
      <c r="K109" s="31">
        <f>J109/$J$16</f>
        <v>35712.374171793155</v>
      </c>
      <c r="L109" s="31">
        <f>FINV(0.05,H109,$H$16)</f>
        <v>4.1300177456520188</v>
      </c>
      <c r="M109" s="31" t="str">
        <f>IF(K109&gt;=L109, "S", "NS")</f>
        <v>S</v>
      </c>
      <c r="N109" s="39"/>
      <c r="O109" s="33">
        <v>1</v>
      </c>
      <c r="P109" s="42">
        <f>(F105+F114)/2</f>
        <v>4.0438166666666664</v>
      </c>
      <c r="Q109" s="49">
        <f>RANK(P109,P$109:P$117,0)</f>
        <v>9</v>
      </c>
      <c r="R109" s="51">
        <v>9</v>
      </c>
    </row>
    <row r="110" spans="1:18" x14ac:dyDescent="0.25">
      <c r="A110" s="32" t="s">
        <v>91</v>
      </c>
      <c r="B110" s="57">
        <f>DATA!AM36</f>
        <v>14.168799999999999</v>
      </c>
      <c r="C110" s="57">
        <f>DATA!AN36</f>
        <v>15.342899999999997</v>
      </c>
      <c r="D110" s="57">
        <f>DATA!AO36</f>
        <v>14.466399999999998</v>
      </c>
      <c r="E110" s="31">
        <f t="shared" si="24"/>
        <v>43.978099999999998</v>
      </c>
      <c r="F110" s="31">
        <f t="shared" si="25"/>
        <v>14.659366666666665</v>
      </c>
      <c r="G110" s="31" t="s">
        <v>109</v>
      </c>
      <c r="H110" s="31">
        <f>B102-1</f>
        <v>8</v>
      </c>
      <c r="I110" s="31">
        <f>((E105+E114)^2+(E106+E115)^2+(E107+E116)^2+(E108+E117)^2+(E109+E118)^2+(E110+E119)^2+(E111+E120)^2+(E112+E121)^2+(E113+E122)^2/6)-B125</f>
        <v>33673.086441133295</v>
      </c>
      <c r="J110" s="31">
        <f t="shared" si="26"/>
        <v>4209.1358051416619</v>
      </c>
      <c r="K110" s="31">
        <f>J110/$J$16</f>
        <v>4629280.3099926813</v>
      </c>
      <c r="L110" s="31">
        <f>FINV(0.05,H110,$H$16)</f>
        <v>2.2253399674380931</v>
      </c>
      <c r="M110" s="31" t="str">
        <f>IF(K110&gt;=L110, "S", "NS")</f>
        <v>S</v>
      </c>
      <c r="N110" s="39"/>
      <c r="O110" s="33">
        <v>2</v>
      </c>
      <c r="P110" s="42">
        <f t="shared" ref="P110:P117" si="28">(F106+F115)/2</f>
        <v>11.806616666666667</v>
      </c>
      <c r="Q110" s="49">
        <f t="shared" ref="Q110:Q117" si="29">RANK(P110,P$109:P$117,0)</f>
        <v>5</v>
      </c>
      <c r="R110" s="52">
        <v>5</v>
      </c>
    </row>
    <row r="111" spans="1:18" x14ac:dyDescent="0.25">
      <c r="A111" s="32" t="s">
        <v>92</v>
      </c>
      <c r="B111" s="57">
        <f>DATA!AM37</f>
        <v>12.455397999999994</v>
      </c>
      <c r="C111" s="57">
        <f>DATA!AN37</f>
        <v>10.342566399999997</v>
      </c>
      <c r="D111" s="57">
        <f>DATA!AO37</f>
        <v>12.671419199999994</v>
      </c>
      <c r="E111" s="31">
        <f t="shared" si="24"/>
        <v>35.469383599999986</v>
      </c>
      <c r="F111" s="31">
        <f t="shared" si="25"/>
        <v>11.823127866666661</v>
      </c>
      <c r="G111" s="26" t="s">
        <v>110</v>
      </c>
      <c r="H111" s="31">
        <f>H109*H110</f>
        <v>8</v>
      </c>
      <c r="I111" s="31">
        <f>I108-(I109+I110)</f>
        <v>-33210.838209031441</v>
      </c>
      <c r="J111" s="31">
        <f t="shared" si="26"/>
        <v>-4151.3547761289301</v>
      </c>
      <c r="K111" s="44">
        <f>J111/$J$16</f>
        <v>-4565731.7355862651</v>
      </c>
      <c r="L111" s="31">
        <f>FINV(0.05,H111,$H$16)</f>
        <v>2.2253399674380931</v>
      </c>
      <c r="M111" s="31" t="str">
        <f t="shared" ref="M111" si="30">IF(K111&gt;=L111, "S", "NS")</f>
        <v>NS</v>
      </c>
      <c r="N111" s="39"/>
      <c r="O111" s="33">
        <v>3</v>
      </c>
      <c r="P111" s="42">
        <f t="shared" si="28"/>
        <v>13.668216666666666</v>
      </c>
      <c r="Q111" s="49">
        <f t="shared" si="29"/>
        <v>2</v>
      </c>
      <c r="R111" s="52">
        <v>2</v>
      </c>
    </row>
    <row r="112" spans="1:18" x14ac:dyDescent="0.25">
      <c r="A112" s="32" t="s">
        <v>93</v>
      </c>
      <c r="B112" s="57">
        <f>DATA!AM38</f>
        <v>14.035199999999998</v>
      </c>
      <c r="C112" s="57">
        <f>DATA!AN38</f>
        <v>12.984599999999999</v>
      </c>
      <c r="D112" s="57">
        <f>DATA!AO38</f>
        <v>13.7072</v>
      </c>
      <c r="E112" s="31">
        <f t="shared" si="24"/>
        <v>40.726999999999997</v>
      </c>
      <c r="F112" s="31">
        <f t="shared" si="25"/>
        <v>13.575666666666665</v>
      </c>
      <c r="G112" s="45" t="s">
        <v>23</v>
      </c>
      <c r="H112" s="31">
        <f>((B103-1)*(B101*B102-1))</f>
        <v>34</v>
      </c>
      <c r="I112" s="31">
        <f>D127</f>
        <v>22.169626890314248</v>
      </c>
      <c r="J112" s="31">
        <f t="shared" si="26"/>
        <v>0.65204784971512497</v>
      </c>
      <c r="O112" s="33">
        <v>4</v>
      </c>
      <c r="P112" s="42">
        <f t="shared" si="28"/>
        <v>10.416783333333331</v>
      </c>
      <c r="Q112" s="49">
        <f t="shared" si="29"/>
        <v>7</v>
      </c>
      <c r="R112" s="52">
        <v>7</v>
      </c>
    </row>
    <row r="113" spans="1:18" x14ac:dyDescent="0.25">
      <c r="A113" s="32" t="s">
        <v>94</v>
      </c>
      <c r="B113" s="57">
        <f>DATA!AM39</f>
        <v>10.722100000000001</v>
      </c>
      <c r="C113" s="57">
        <f>DATA!AN39</f>
        <v>11.395999999999999</v>
      </c>
      <c r="D113" s="57">
        <f>DATA!AO39</f>
        <v>10.9956</v>
      </c>
      <c r="E113" s="31">
        <f t="shared" si="24"/>
        <v>33.113699999999994</v>
      </c>
      <c r="F113" s="31">
        <f t="shared" si="25"/>
        <v>11.037899999999999</v>
      </c>
      <c r="G113" s="44" t="s">
        <v>4</v>
      </c>
      <c r="H113" s="31">
        <f>SUM(H107:H112)-H108</f>
        <v>53</v>
      </c>
      <c r="I113" s="31">
        <f>B126</f>
        <v>521.85923302126776</v>
      </c>
      <c r="K113" s="31" t="s">
        <v>111</v>
      </c>
      <c r="L113" s="41">
        <f>TINV(0.05,34)</f>
        <v>2.0322445093177191</v>
      </c>
      <c r="O113" s="33">
        <v>5</v>
      </c>
      <c r="P113" s="42">
        <f t="shared" si="28"/>
        <v>12.892399599999997</v>
      </c>
      <c r="Q113" s="49">
        <f t="shared" si="29"/>
        <v>3</v>
      </c>
      <c r="R113" s="51">
        <v>3</v>
      </c>
    </row>
    <row r="114" spans="1:18" x14ac:dyDescent="0.25">
      <c r="A114" s="32" t="s">
        <v>95</v>
      </c>
      <c r="B114" s="57">
        <f>DATA!AM40</f>
        <v>3.8913000000000002</v>
      </c>
      <c r="C114" s="57">
        <f>DATA!AN40</f>
        <v>3.4860000000000002</v>
      </c>
      <c r="D114" s="57">
        <f>DATA!AO40</f>
        <v>4.0975999999999999</v>
      </c>
      <c r="E114" s="31">
        <f t="shared" si="24"/>
        <v>11.4749</v>
      </c>
      <c r="F114" s="31">
        <f t="shared" si="25"/>
        <v>3.8249666666666666</v>
      </c>
      <c r="G114" s="34" t="s">
        <v>14</v>
      </c>
      <c r="H114" s="31">
        <f>SQRT(J112/3)</f>
        <v>0.46620733932272557</v>
      </c>
      <c r="O114" s="33">
        <v>6</v>
      </c>
      <c r="P114" s="42">
        <f t="shared" si="28"/>
        <v>14.423323199999999</v>
      </c>
      <c r="Q114" s="49">
        <f t="shared" si="29"/>
        <v>1</v>
      </c>
      <c r="R114" s="52">
        <v>1</v>
      </c>
    </row>
    <row r="115" spans="1:18" x14ac:dyDescent="0.25">
      <c r="A115" s="32" t="s">
        <v>96</v>
      </c>
      <c r="B115" s="57">
        <f>DATA!AM41</f>
        <v>10.224499999999997</v>
      </c>
      <c r="C115" s="57">
        <f>DATA!AN41</f>
        <v>11.491799999999998</v>
      </c>
      <c r="D115" s="57">
        <f>DATA!AO41</f>
        <v>10.526999999999999</v>
      </c>
      <c r="E115" s="31">
        <f t="shared" si="24"/>
        <v>32.243299999999998</v>
      </c>
      <c r="F115" s="31">
        <f t="shared" si="25"/>
        <v>10.747766666666665</v>
      </c>
      <c r="G115" s="34" t="s">
        <v>16</v>
      </c>
      <c r="H115" s="31">
        <f>(SQRT((2*J112)/3))*L113</f>
        <v>1.3398928291316698</v>
      </c>
      <c r="O115" s="33">
        <v>7</v>
      </c>
      <c r="P115" s="42">
        <f t="shared" si="28"/>
        <v>11.483863933333328</v>
      </c>
      <c r="Q115" s="49">
        <f t="shared" si="29"/>
        <v>6</v>
      </c>
      <c r="R115" s="52">
        <v>6</v>
      </c>
    </row>
    <row r="116" spans="1:18" x14ac:dyDescent="0.25">
      <c r="A116" s="32" t="s">
        <v>97</v>
      </c>
      <c r="B116" s="57">
        <f>DATA!AM42</f>
        <v>12.494199999999999</v>
      </c>
      <c r="C116" s="57">
        <f>DATA!AN42</f>
        <v>11.950999999999999</v>
      </c>
      <c r="D116" s="57">
        <f>DATA!AO42</f>
        <v>12.460799999999999</v>
      </c>
      <c r="E116" s="31">
        <f t="shared" si="24"/>
        <v>36.905999999999999</v>
      </c>
      <c r="F116" s="31">
        <f t="shared" si="25"/>
        <v>12.302</v>
      </c>
      <c r="G116" s="34" t="s">
        <v>29</v>
      </c>
      <c r="H116" s="31">
        <f>((SQRT(J112))/F123)*100</f>
        <v>7.2151192766488297</v>
      </c>
      <c r="O116" s="33">
        <v>8</v>
      </c>
      <c r="P116" s="42">
        <f t="shared" si="28"/>
        <v>12.25783333333333</v>
      </c>
      <c r="Q116" s="49">
        <f t="shared" si="29"/>
        <v>4</v>
      </c>
      <c r="R116" s="51">
        <v>4</v>
      </c>
    </row>
    <row r="117" spans="1:18" x14ac:dyDescent="0.25">
      <c r="A117" s="32" t="s">
        <v>98</v>
      </c>
      <c r="B117" s="57">
        <f>DATA!AM43</f>
        <v>9.9541000000000004</v>
      </c>
      <c r="C117" s="57">
        <f>DATA!AN43</f>
        <v>9.3969000000000005</v>
      </c>
      <c r="D117" s="57">
        <f>DATA!AO43</f>
        <v>11.294899999999998</v>
      </c>
      <c r="E117" s="31">
        <f t="shared" si="24"/>
        <v>30.645899999999997</v>
      </c>
      <c r="F117" s="31">
        <f t="shared" si="25"/>
        <v>10.215299999999999</v>
      </c>
      <c r="O117" s="33">
        <v>9</v>
      </c>
      <c r="P117" s="42">
        <f t="shared" si="28"/>
        <v>9.7324833333333327</v>
      </c>
      <c r="Q117" s="49">
        <f t="shared" si="29"/>
        <v>8</v>
      </c>
      <c r="R117" s="52">
        <v>8</v>
      </c>
    </row>
    <row r="118" spans="1:18" x14ac:dyDescent="0.25">
      <c r="A118" s="32" t="s">
        <v>99</v>
      </c>
      <c r="B118" s="57">
        <f>DATA!AM44</f>
        <v>11.493499999999999</v>
      </c>
      <c r="C118" s="57">
        <f>DATA!AN44</f>
        <v>11.9716</v>
      </c>
      <c r="D118" s="57">
        <f>DATA!AO44</f>
        <v>12.406897599999995</v>
      </c>
      <c r="E118" s="31">
        <f t="shared" si="24"/>
        <v>35.871997599999993</v>
      </c>
      <c r="F118" s="31">
        <f t="shared" si="25"/>
        <v>11.95733253333333</v>
      </c>
      <c r="O118" s="30" t="s">
        <v>14</v>
      </c>
      <c r="P118" s="42">
        <f>SQRT(J112/(3*2))</f>
        <v>0.329658371074037</v>
      </c>
      <c r="Q118" s="49"/>
    </row>
    <row r="119" spans="1:18" x14ac:dyDescent="0.25">
      <c r="A119" s="32" t="s">
        <v>100</v>
      </c>
      <c r="B119" s="57">
        <f>DATA!AM45</f>
        <v>14.248399999999998</v>
      </c>
      <c r="C119" s="57">
        <f>DATA!AN45</f>
        <v>13.084939199999996</v>
      </c>
      <c r="D119" s="57">
        <f>DATA!AO45</f>
        <v>15.2285</v>
      </c>
      <c r="E119" s="31">
        <f t="shared" si="24"/>
        <v>42.561839199999994</v>
      </c>
      <c r="F119" s="31">
        <f t="shared" si="25"/>
        <v>14.187279733333332</v>
      </c>
      <c r="N119" s="30" t="s">
        <v>109</v>
      </c>
      <c r="O119" s="30" t="s">
        <v>16</v>
      </c>
      <c r="P119" s="42">
        <f>SQRT((2*J112)/(3*2))*L113</f>
        <v>0.94744730554223178</v>
      </c>
      <c r="Q119" s="49"/>
    </row>
    <row r="120" spans="1:18" x14ac:dyDescent="0.25">
      <c r="A120" s="32" t="s">
        <v>101</v>
      </c>
      <c r="B120" s="57">
        <f>DATA!AM46</f>
        <v>10.444199999999997</v>
      </c>
      <c r="C120" s="57">
        <f>DATA!AN46</f>
        <v>10.112399999999996</v>
      </c>
      <c r="D120" s="57">
        <f>DATA!AO46</f>
        <v>12.8772</v>
      </c>
      <c r="E120" s="31">
        <f t="shared" si="24"/>
        <v>33.433799999999991</v>
      </c>
      <c r="F120" s="31">
        <f>E120/3</f>
        <v>11.144599999999997</v>
      </c>
      <c r="Q120" s="49"/>
    </row>
    <row r="121" spans="1:18" x14ac:dyDescent="0.25">
      <c r="A121" s="32" t="s">
        <v>102</v>
      </c>
      <c r="B121" s="57">
        <f>DATA!AM47</f>
        <v>9.8897999999999975</v>
      </c>
      <c r="C121" s="57">
        <f>DATA!AN47</f>
        <v>11.742399999999996</v>
      </c>
      <c r="D121" s="57">
        <f>DATA!AO47</f>
        <v>11.187799999999998</v>
      </c>
      <c r="E121" s="31">
        <f t="shared" si="24"/>
        <v>32.819999999999993</v>
      </c>
      <c r="F121" s="31">
        <f t="shared" ref="F121:F122" si="31">E121/3</f>
        <v>10.939999999999998</v>
      </c>
    </row>
    <row r="122" spans="1:18" x14ac:dyDescent="0.25">
      <c r="A122" s="32" t="s">
        <v>103</v>
      </c>
      <c r="B122" s="57">
        <f>DATA!AM48</f>
        <v>8.8503999999999987</v>
      </c>
      <c r="C122" s="57">
        <f>DATA!AN48</f>
        <v>8.1314999999999991</v>
      </c>
      <c r="D122" s="57">
        <f>DATA!AO48</f>
        <v>8.2993000000000006</v>
      </c>
      <c r="E122" s="31">
        <f t="shared" si="24"/>
        <v>25.281199999999998</v>
      </c>
      <c r="F122" s="31">
        <f t="shared" si="31"/>
        <v>8.4270666666666667</v>
      </c>
    </row>
    <row r="123" spans="1:18" x14ac:dyDescent="0.25">
      <c r="A123" s="30" t="s">
        <v>4</v>
      </c>
      <c r="B123" s="31">
        <f>SUM(B105:B122)</f>
        <v>196.72759800000003</v>
      </c>
      <c r="C123" s="31">
        <f t="shared" ref="C123:D123" si="32">SUM(C105:C122)</f>
        <v>198.52060559999998</v>
      </c>
      <c r="D123" s="31">
        <f t="shared" si="32"/>
        <v>209.10381679999995</v>
      </c>
      <c r="E123" s="31">
        <f>SUM(E105:E122)</f>
        <v>604.35202039999979</v>
      </c>
      <c r="F123" s="31">
        <f>AVERAGE(B105:D122)</f>
        <v>11.191704081481484</v>
      </c>
    </row>
    <row r="124" spans="1:18" x14ac:dyDescent="0.25">
      <c r="A124" s="30" t="s">
        <v>5</v>
      </c>
      <c r="B124" s="31">
        <f>B123/18</f>
        <v>10.929311000000002</v>
      </c>
      <c r="C124" s="31">
        <f>C123/18</f>
        <v>11.028922533333333</v>
      </c>
      <c r="D124" s="31">
        <f>D123/18</f>
        <v>11.616878711111108</v>
      </c>
    </row>
    <row r="125" spans="1:18" x14ac:dyDescent="0.25">
      <c r="A125" s="30" t="s">
        <v>26</v>
      </c>
      <c r="B125" s="31">
        <f>(E123*E123)/54</f>
        <v>6763.7289733622556</v>
      </c>
      <c r="C125" s="31"/>
      <c r="D125" s="31"/>
    </row>
    <row r="126" spans="1:18" x14ac:dyDescent="0.25">
      <c r="A126" s="30" t="s">
        <v>27</v>
      </c>
      <c r="B126" s="31">
        <f>SUMSQ(B105:D122)-B125</f>
        <v>521.85923302126776</v>
      </c>
      <c r="C126" s="30" t="s">
        <v>28</v>
      </c>
      <c r="D126" s="31">
        <f>(SUMSQ(B123:D123)/18)-B125</f>
        <v>4.9701856915389726</v>
      </c>
    </row>
    <row r="127" spans="1:18" x14ac:dyDescent="0.25">
      <c r="A127" s="30" t="s">
        <v>30</v>
      </c>
      <c r="B127" s="31">
        <f>(SUMSQ(E105:E122)/3)-B125</f>
        <v>494.71942043941453</v>
      </c>
      <c r="C127" s="30" t="s">
        <v>31</v>
      </c>
      <c r="D127" s="31">
        <f>B126-B127-D126</f>
        <v>22.169626890314248</v>
      </c>
    </row>
    <row r="128" spans="1:18" x14ac:dyDescent="0.25">
      <c r="A128" s="50"/>
      <c r="B128" s="39"/>
      <c r="C128" s="50"/>
      <c r="D128" s="39"/>
    </row>
    <row r="129" spans="1:18" x14ac:dyDescent="0.25">
      <c r="A129" s="50"/>
      <c r="B129" s="39"/>
      <c r="C129" s="50"/>
      <c r="D129" s="39"/>
    </row>
    <row r="130" spans="1:18" x14ac:dyDescent="0.25">
      <c r="A130" s="50"/>
      <c r="B130" s="39"/>
      <c r="C130" s="50"/>
      <c r="D130" s="39"/>
    </row>
    <row r="131" spans="1:18" ht="15.75" x14ac:dyDescent="0.25">
      <c r="C131" s="56" t="s">
        <v>122</v>
      </c>
    </row>
    <row r="132" spans="1:18" ht="15.75" x14ac:dyDescent="0.25">
      <c r="C132" s="65" t="s">
        <v>119</v>
      </c>
    </row>
    <row r="133" spans="1:18" x14ac:dyDescent="0.25">
      <c r="A133" s="36" t="s">
        <v>104</v>
      </c>
      <c r="B133" s="38">
        <v>2</v>
      </c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5"/>
      <c r="N133" s="35"/>
      <c r="O133" s="39"/>
      <c r="P133" s="39"/>
    </row>
    <row r="134" spans="1:18" x14ac:dyDescent="0.25">
      <c r="A134" s="36" t="s">
        <v>105</v>
      </c>
      <c r="B134" s="38">
        <v>9</v>
      </c>
      <c r="C134" s="39" t="s">
        <v>107</v>
      </c>
      <c r="D134" s="39">
        <v>18</v>
      </c>
      <c r="E134" s="39"/>
      <c r="F134" s="39"/>
      <c r="G134" s="39"/>
      <c r="H134" s="39"/>
      <c r="I134" s="39"/>
      <c r="J134" s="39"/>
      <c r="K134" s="39"/>
      <c r="L134" s="39"/>
      <c r="M134" s="35"/>
      <c r="N134" s="35"/>
      <c r="O134" s="39"/>
      <c r="P134" s="39"/>
    </row>
    <row r="135" spans="1:18" x14ac:dyDescent="0.25">
      <c r="A135" s="37" t="s">
        <v>106</v>
      </c>
      <c r="B135" s="40">
        <v>3</v>
      </c>
    </row>
    <row r="136" spans="1:18" x14ac:dyDescent="0.25">
      <c r="A136" s="46" t="s">
        <v>0</v>
      </c>
      <c r="B136" s="30" t="s">
        <v>1</v>
      </c>
      <c r="C136" s="30" t="s">
        <v>2</v>
      </c>
      <c r="D136" s="30" t="s">
        <v>3</v>
      </c>
      <c r="E136" s="30" t="s">
        <v>4</v>
      </c>
      <c r="F136" s="30" t="s">
        <v>5</v>
      </c>
      <c r="O136" s="41" t="s">
        <v>7</v>
      </c>
      <c r="R136" s="41"/>
    </row>
    <row r="137" spans="1:18" x14ac:dyDescent="0.25">
      <c r="A137" s="32" t="s">
        <v>86</v>
      </c>
      <c r="B137" s="57">
        <f>B73+B105</f>
        <v>11.7242</v>
      </c>
      <c r="C137" s="57">
        <f t="shared" ref="C137:D137" si="33">C73+C105</f>
        <v>10.714400000000001</v>
      </c>
      <c r="D137" s="57">
        <f t="shared" si="33"/>
        <v>10.658799999999999</v>
      </c>
      <c r="E137" s="31">
        <f>SUM(B137:D137)</f>
        <v>33.0974</v>
      </c>
      <c r="F137" s="31">
        <f>E137/3</f>
        <v>11.032466666666666</v>
      </c>
      <c r="H137" s="47"/>
      <c r="I137" s="47"/>
      <c r="J137" s="47" t="s">
        <v>6</v>
      </c>
      <c r="K137" s="47"/>
      <c r="L137" s="47"/>
      <c r="M137" s="47"/>
      <c r="N137" s="47"/>
      <c r="O137" s="33">
        <v>1</v>
      </c>
      <c r="P137" s="42">
        <f>SUM(F137:F145)/9</f>
        <v>26.292465125925922</v>
      </c>
      <c r="Q137" s="49">
        <f>RANK(P137,P$137:P$138,0)</f>
        <v>1</v>
      </c>
      <c r="R137" s="41"/>
    </row>
    <row r="138" spans="1:18" x14ac:dyDescent="0.25">
      <c r="A138" s="32" t="s">
        <v>87</v>
      </c>
      <c r="B138" s="57">
        <f t="shared" ref="B138:D138" si="34">B74+B106</f>
        <v>25.215057199999997</v>
      </c>
      <c r="C138" s="57">
        <f t="shared" si="34"/>
        <v>29.623600000000003</v>
      </c>
      <c r="D138" s="57">
        <f t="shared" si="34"/>
        <v>29.372799999999998</v>
      </c>
      <c r="E138" s="31">
        <f t="shared" ref="E138:E154" si="35">SUM(B138:D138)</f>
        <v>84.211457199999998</v>
      </c>
      <c r="F138" s="31">
        <f t="shared" ref="F138:F151" si="36">E138/3</f>
        <v>28.070485733333332</v>
      </c>
      <c r="G138" s="31"/>
      <c r="H138" s="30" t="s">
        <v>8</v>
      </c>
      <c r="I138" s="30" t="s">
        <v>9</v>
      </c>
      <c r="J138" s="30" t="s">
        <v>10</v>
      </c>
      <c r="K138" s="30" t="s">
        <v>11</v>
      </c>
      <c r="L138" s="30" t="s">
        <v>12</v>
      </c>
      <c r="M138" s="30" t="s">
        <v>112</v>
      </c>
      <c r="N138" s="50"/>
      <c r="O138" s="33">
        <v>2</v>
      </c>
      <c r="P138" s="42">
        <f>SUM(F146:F154)/9</f>
        <v>23.100108770370365</v>
      </c>
      <c r="Q138" s="49">
        <f>RANK(P138,P$137:P$138,0)</f>
        <v>2</v>
      </c>
      <c r="R138" s="41"/>
    </row>
    <row r="139" spans="1:18" x14ac:dyDescent="0.25">
      <c r="A139" s="32" t="s">
        <v>88</v>
      </c>
      <c r="B139" s="57">
        <f t="shared" ref="B139:D139" si="37">B75+B107</f>
        <v>31.896099999999997</v>
      </c>
      <c r="C139" s="57">
        <f t="shared" si="37"/>
        <v>30.717600000000001</v>
      </c>
      <c r="D139" s="57">
        <f t="shared" si="37"/>
        <v>31.710399999999996</v>
      </c>
      <c r="E139" s="31">
        <f t="shared" si="35"/>
        <v>94.324099999999987</v>
      </c>
      <c r="F139" s="31">
        <f t="shared" si="36"/>
        <v>31.441366666666664</v>
      </c>
      <c r="G139" s="31" t="s">
        <v>13</v>
      </c>
      <c r="H139" s="31">
        <f>B135-1</f>
        <v>2</v>
      </c>
      <c r="I139" s="31">
        <f>D158</f>
        <v>11.04423599941947</v>
      </c>
      <c r="J139" s="31">
        <f>I139/H139</f>
        <v>5.5221179997097352</v>
      </c>
      <c r="K139" s="31">
        <f>J139/$J$16</f>
        <v>6073.3208214107717</v>
      </c>
      <c r="L139" s="31">
        <f>FINV(0.05,H139,$H$16)</f>
        <v>3.275897990672394</v>
      </c>
      <c r="M139" s="31" t="str">
        <f>IF(K139&gt;=L139, "S", "NS")</f>
        <v>S</v>
      </c>
      <c r="N139" s="39"/>
      <c r="O139" s="30" t="s">
        <v>14</v>
      </c>
      <c r="P139" s="42">
        <f>SQRT(J144/(3*9))</f>
        <v>0.29889409760170554</v>
      </c>
      <c r="R139" s="41"/>
    </row>
    <row r="140" spans="1:18" x14ac:dyDescent="0.25">
      <c r="A140" s="32" t="s">
        <v>89</v>
      </c>
      <c r="B140" s="57">
        <f t="shared" ref="B140:D140" si="38">B76+B108</f>
        <v>22.470799999999997</v>
      </c>
      <c r="C140" s="57">
        <f t="shared" si="38"/>
        <v>22.091999999999999</v>
      </c>
      <c r="D140" s="57">
        <f t="shared" si="38"/>
        <v>24.795999999999999</v>
      </c>
      <c r="E140" s="31">
        <f t="shared" si="35"/>
        <v>69.358800000000002</v>
      </c>
      <c r="F140" s="31">
        <f t="shared" si="36"/>
        <v>23.119600000000002</v>
      </c>
      <c r="G140" s="31" t="s">
        <v>15</v>
      </c>
      <c r="H140" s="31">
        <f>D134-1</f>
        <v>17</v>
      </c>
      <c r="I140" s="31">
        <f>B159</f>
        <v>2228.4039852356509</v>
      </c>
      <c r="J140" s="31">
        <f t="shared" ref="J140:J144" si="39">I140/H140</f>
        <v>131.08258736680298</v>
      </c>
      <c r="K140" s="31">
        <f>J140/$J$16</f>
        <v>144166.89524219651</v>
      </c>
      <c r="L140" s="31">
        <f>FINV(0.05,H140,$H$16)</f>
        <v>1.9332068318040869</v>
      </c>
      <c r="M140" s="43" t="str">
        <f t="shared" ref="M140" si="40">IF(K140&gt;=L140, "S", "NS")</f>
        <v>S</v>
      </c>
      <c r="N140" s="30" t="s">
        <v>113</v>
      </c>
      <c r="O140" s="30" t="s">
        <v>16</v>
      </c>
      <c r="P140" s="42">
        <f>SQRT((2*J144)/(3*9))*L145</f>
        <v>0.85902992996229044</v>
      </c>
      <c r="R140" s="41"/>
    </row>
    <row r="141" spans="1:18" x14ac:dyDescent="0.25">
      <c r="A141" s="32" t="s">
        <v>90</v>
      </c>
      <c r="B141" s="57">
        <f t="shared" ref="B141:D141" si="41">B77+B109</f>
        <v>32.107817599999997</v>
      </c>
      <c r="C141" s="57">
        <f t="shared" si="41"/>
        <v>31.3812</v>
      </c>
      <c r="D141" s="57">
        <f t="shared" si="41"/>
        <v>30.2926</v>
      </c>
      <c r="E141" s="31">
        <f t="shared" si="35"/>
        <v>93.781617600000004</v>
      </c>
      <c r="F141" s="31">
        <f t="shared" si="36"/>
        <v>31.2605392</v>
      </c>
      <c r="G141" s="31" t="s">
        <v>108</v>
      </c>
      <c r="H141" s="31">
        <f>B133-1</f>
        <v>1</v>
      </c>
      <c r="I141" s="31">
        <f>(SUM(E137:E145)^2+SUM(E146:E154)^2)/27-B157</f>
        <v>137.58037786157365</v>
      </c>
      <c r="J141" s="31">
        <f t="shared" si="39"/>
        <v>137.58037786157365</v>
      </c>
      <c r="K141" s="31">
        <f>J141/$J$16</f>
        <v>151313.27753738291</v>
      </c>
      <c r="L141" s="31">
        <f>FINV(0.05,H141,$H$16)</f>
        <v>4.1300177456520188</v>
      </c>
      <c r="M141" s="31" t="str">
        <f>IF(K141&gt;=L141, "S", "NS")</f>
        <v>S</v>
      </c>
      <c r="N141" s="39"/>
      <c r="O141" s="33">
        <v>1</v>
      </c>
      <c r="P141" s="42">
        <f>(F137+F146)/2</f>
        <v>10.124716666666666</v>
      </c>
      <c r="Q141" s="49">
        <f>RANK(P141,P$141:P$149,0)</f>
        <v>9</v>
      </c>
      <c r="R141" s="51">
        <v>9</v>
      </c>
    </row>
    <row r="142" spans="1:18" x14ac:dyDescent="0.25">
      <c r="A142" s="32" t="s">
        <v>91</v>
      </c>
      <c r="B142" s="57">
        <f t="shared" ref="B142:D142" si="42">B78+B110</f>
        <v>35.406799999999997</v>
      </c>
      <c r="C142" s="57">
        <f t="shared" si="42"/>
        <v>32.274899999999995</v>
      </c>
      <c r="D142" s="57">
        <f t="shared" si="42"/>
        <v>32.630399999999995</v>
      </c>
      <c r="E142" s="31">
        <f t="shared" si="35"/>
        <v>100.31209999999999</v>
      </c>
      <c r="F142" s="31">
        <f t="shared" si="36"/>
        <v>33.437366666666662</v>
      </c>
      <c r="G142" s="31" t="s">
        <v>109</v>
      </c>
      <c r="H142" s="31">
        <f>B134-1</f>
        <v>8</v>
      </c>
      <c r="I142" s="31">
        <f>((E137+E146)^2+(E138+E147)^2+(E139+E148)^2+(E140+E149)^2+(E141+E150)^2+(E142+E151)^2+(E143+E152)^2+(E144+E153)^2+(E145+E154)^2/6)-B157</f>
        <v>163252.969309181</v>
      </c>
      <c r="J142" s="31">
        <f t="shared" si="39"/>
        <v>20406.621163647626</v>
      </c>
      <c r="K142" s="31">
        <f>J142/$J$16</f>
        <v>22443554.667672332</v>
      </c>
      <c r="L142" s="31">
        <f>FINV(0.05,H142,$H$16)</f>
        <v>2.2253399674380931</v>
      </c>
      <c r="M142" s="31" t="str">
        <f>IF(K142&gt;=L142, "S", "NS")</f>
        <v>S</v>
      </c>
      <c r="N142" s="39"/>
      <c r="O142" s="33">
        <v>2</v>
      </c>
      <c r="P142" s="42">
        <f t="shared" ref="P142:P149" si="43">(F138+F147)/2</f>
        <v>25.355626199999996</v>
      </c>
      <c r="Q142" s="49">
        <f t="shared" ref="Q142:Q149" si="44">RANK(P142,P$141:P$149,0)</f>
        <v>5</v>
      </c>
      <c r="R142" s="52">
        <v>5</v>
      </c>
    </row>
    <row r="143" spans="1:18" x14ac:dyDescent="0.25">
      <c r="A143" s="32" t="s">
        <v>92</v>
      </c>
      <c r="B143" s="57">
        <f t="shared" ref="B143:D143" si="45">B79+B111</f>
        <v>26.927397999999997</v>
      </c>
      <c r="C143" s="57">
        <f t="shared" si="45"/>
        <v>23.377566399999999</v>
      </c>
      <c r="D143" s="57">
        <f t="shared" si="45"/>
        <v>26.28641919999999</v>
      </c>
      <c r="E143" s="31">
        <f t="shared" si="35"/>
        <v>76.591383599999986</v>
      </c>
      <c r="F143" s="31">
        <f t="shared" si="36"/>
        <v>25.530461199999994</v>
      </c>
      <c r="G143" s="26" t="s">
        <v>110</v>
      </c>
      <c r="H143" s="31">
        <f>H141*H142</f>
        <v>8</v>
      </c>
      <c r="I143" s="31">
        <f>I140-(I141+I142)</f>
        <v>-161162.14570180693</v>
      </c>
      <c r="J143" s="31">
        <f t="shared" si="39"/>
        <v>-20145.268212725867</v>
      </c>
      <c r="K143" s="44">
        <f>J143/$J$16</f>
        <v>-22156114.17497484</v>
      </c>
      <c r="L143" s="31">
        <f>FINV(0.05,H143,$H$16)</f>
        <v>2.2253399674380931</v>
      </c>
      <c r="M143" s="31" t="str">
        <f t="shared" ref="M143" si="46">IF(K143&gt;=L143, "S", "NS")</f>
        <v>NS</v>
      </c>
      <c r="N143" s="39"/>
      <c r="O143" s="33">
        <v>3</v>
      </c>
      <c r="P143" s="42">
        <f t="shared" si="43"/>
        <v>30.770016666666663</v>
      </c>
      <c r="Q143" s="49">
        <f t="shared" si="44"/>
        <v>2</v>
      </c>
      <c r="R143" s="52">
        <v>2</v>
      </c>
    </row>
    <row r="144" spans="1:18" x14ac:dyDescent="0.25">
      <c r="A144" s="32" t="s">
        <v>93</v>
      </c>
      <c r="B144" s="57">
        <f t="shared" ref="B144:D144" si="47">B80+B112</f>
        <v>29.6952</v>
      </c>
      <c r="C144" s="57">
        <f t="shared" si="47"/>
        <v>29.134599999999999</v>
      </c>
      <c r="D144" s="57">
        <f t="shared" si="47"/>
        <v>29.2102</v>
      </c>
      <c r="E144" s="31">
        <f t="shared" si="35"/>
        <v>88.039999999999992</v>
      </c>
      <c r="F144" s="31">
        <f t="shared" si="36"/>
        <v>29.346666666666664</v>
      </c>
      <c r="G144" s="45" t="s">
        <v>23</v>
      </c>
      <c r="H144" s="31">
        <f>((B135-1)*(B133*B134-1))</f>
        <v>34</v>
      </c>
      <c r="I144" s="31">
        <f>D159</f>
        <v>82.011991691484582</v>
      </c>
      <c r="J144" s="31">
        <f t="shared" si="39"/>
        <v>2.4121174026907228</v>
      </c>
      <c r="O144" s="33">
        <v>4</v>
      </c>
      <c r="P144" s="42">
        <f t="shared" si="43"/>
        <v>22.85595</v>
      </c>
      <c r="Q144" s="49">
        <f t="shared" si="44"/>
        <v>7</v>
      </c>
      <c r="R144" s="52">
        <v>7</v>
      </c>
    </row>
    <row r="145" spans="1:18" x14ac:dyDescent="0.25">
      <c r="A145" s="32" t="s">
        <v>94</v>
      </c>
      <c r="B145" s="57">
        <f t="shared" ref="B145:D145" si="48">B81+B113</f>
        <v>23.4971</v>
      </c>
      <c r="C145" s="57">
        <f t="shared" si="48"/>
        <v>22.463000000000001</v>
      </c>
      <c r="D145" s="57">
        <f t="shared" si="48"/>
        <v>24.2196</v>
      </c>
      <c r="E145" s="31">
        <f t="shared" si="35"/>
        <v>70.179699999999997</v>
      </c>
      <c r="F145" s="31">
        <f t="shared" si="36"/>
        <v>23.393233333333331</v>
      </c>
      <c r="G145" s="44" t="s">
        <v>4</v>
      </c>
      <c r="H145" s="31">
        <f>SUM(H139:H144)-H140</f>
        <v>53</v>
      </c>
      <c r="I145" s="31">
        <f>B158</f>
        <v>2321.460212926555</v>
      </c>
      <c r="K145" s="31" t="s">
        <v>111</v>
      </c>
      <c r="L145" s="41">
        <f>TINV(0.05,34)</f>
        <v>2.0322445093177191</v>
      </c>
      <c r="O145" s="33">
        <v>5</v>
      </c>
      <c r="P145" s="42">
        <f t="shared" si="43"/>
        <v>28.183435866666663</v>
      </c>
      <c r="Q145" s="49">
        <f t="shared" si="44"/>
        <v>3</v>
      </c>
      <c r="R145" s="51">
        <v>3</v>
      </c>
    </row>
    <row r="146" spans="1:18" x14ac:dyDescent="0.25">
      <c r="A146" s="32" t="s">
        <v>95</v>
      </c>
      <c r="B146" s="57">
        <f t="shared" ref="B146:D146" si="49">B82+B114</f>
        <v>11.8413</v>
      </c>
      <c r="C146" s="57">
        <f t="shared" si="49"/>
        <v>8.322000000000001</v>
      </c>
      <c r="D146" s="57">
        <f t="shared" si="49"/>
        <v>7.4876000000000005</v>
      </c>
      <c r="E146" s="31">
        <f t="shared" si="35"/>
        <v>27.6509</v>
      </c>
      <c r="F146" s="31">
        <f t="shared" si="36"/>
        <v>9.2169666666666661</v>
      </c>
      <c r="G146" s="34" t="s">
        <v>14</v>
      </c>
      <c r="H146" s="31">
        <f>SQRT(J144/3)</f>
        <v>0.89668229280511669</v>
      </c>
      <c r="O146" s="33">
        <v>6</v>
      </c>
      <c r="P146" s="42">
        <f t="shared" si="43"/>
        <v>32.403656533333333</v>
      </c>
      <c r="Q146" s="49">
        <f t="shared" si="44"/>
        <v>1</v>
      </c>
      <c r="R146" s="52">
        <v>1</v>
      </c>
    </row>
    <row r="147" spans="1:18" x14ac:dyDescent="0.25">
      <c r="A147" s="32" t="s">
        <v>96</v>
      </c>
      <c r="B147" s="57">
        <f t="shared" ref="B147:D147" si="50">B83+B115</f>
        <v>22.159499999999998</v>
      </c>
      <c r="C147" s="57">
        <f t="shared" si="50"/>
        <v>23.139799999999997</v>
      </c>
      <c r="D147" s="57">
        <f t="shared" si="50"/>
        <v>22.622999999999998</v>
      </c>
      <c r="E147" s="31">
        <f t="shared" si="35"/>
        <v>67.922299999999993</v>
      </c>
      <c r="F147" s="31">
        <f t="shared" si="36"/>
        <v>22.640766666666664</v>
      </c>
      <c r="G147" s="34" t="s">
        <v>16</v>
      </c>
      <c r="H147" s="31">
        <f>(SQRT((2*J144)/3))*L145</f>
        <v>2.5770897898868714</v>
      </c>
      <c r="O147" s="33">
        <v>7</v>
      </c>
      <c r="P147" s="42">
        <f t="shared" si="43"/>
        <v>24.518197266666661</v>
      </c>
      <c r="Q147" s="49">
        <f t="shared" si="44"/>
        <v>6</v>
      </c>
      <c r="R147" s="52">
        <v>6</v>
      </c>
    </row>
    <row r="148" spans="1:18" x14ac:dyDescent="0.25">
      <c r="A148" s="32" t="s">
        <v>97</v>
      </c>
      <c r="B148" s="57">
        <f t="shared" ref="B148:D148" si="51">B84+B116</f>
        <v>31.136199999999999</v>
      </c>
      <c r="C148" s="57">
        <f t="shared" si="51"/>
        <v>28.330999999999996</v>
      </c>
      <c r="D148" s="57">
        <f t="shared" si="51"/>
        <v>30.828799999999998</v>
      </c>
      <c r="E148" s="31">
        <f t="shared" si="35"/>
        <v>90.295999999999992</v>
      </c>
      <c r="F148" s="31">
        <f t="shared" si="36"/>
        <v>30.098666666666663</v>
      </c>
      <c r="G148" s="34" t="s">
        <v>29</v>
      </c>
      <c r="H148" s="31">
        <f>((SQRT(J144))/F155)*100</f>
        <v>6.288796743602278</v>
      </c>
      <c r="O148" s="33">
        <v>8</v>
      </c>
      <c r="P148" s="42">
        <f t="shared" si="43"/>
        <v>26.715499999999999</v>
      </c>
      <c r="Q148" s="49">
        <f t="shared" si="44"/>
        <v>4</v>
      </c>
      <c r="R148" s="51">
        <v>4</v>
      </c>
    </row>
    <row r="149" spans="1:18" x14ac:dyDescent="0.25">
      <c r="A149" s="32" t="s">
        <v>98</v>
      </c>
      <c r="B149" s="57">
        <f t="shared" ref="B149:D149" si="52">B85+B117</f>
        <v>23.938099999999999</v>
      </c>
      <c r="C149" s="57">
        <f t="shared" si="52"/>
        <v>19.8079</v>
      </c>
      <c r="D149" s="57">
        <f t="shared" si="52"/>
        <v>24.030899999999995</v>
      </c>
      <c r="E149" s="31">
        <f t="shared" si="35"/>
        <v>67.776899999999983</v>
      </c>
      <c r="F149" s="31">
        <f t="shared" si="36"/>
        <v>22.592299999999994</v>
      </c>
      <c r="O149" s="33">
        <v>9</v>
      </c>
      <c r="P149" s="42">
        <f t="shared" si="43"/>
        <v>21.339483333333334</v>
      </c>
      <c r="Q149" s="49">
        <f t="shared" si="44"/>
        <v>8</v>
      </c>
      <c r="R149" s="52">
        <v>8</v>
      </c>
    </row>
    <row r="150" spans="1:18" x14ac:dyDescent="0.25">
      <c r="A150" s="32" t="s">
        <v>99</v>
      </c>
      <c r="B150" s="57">
        <f t="shared" ref="B150:D150" si="53">B86+B118</f>
        <v>23.173499999999997</v>
      </c>
      <c r="C150" s="57">
        <f t="shared" si="53"/>
        <v>26.563600000000001</v>
      </c>
      <c r="D150" s="57">
        <f t="shared" si="53"/>
        <v>25.581897599999998</v>
      </c>
      <c r="E150" s="31">
        <f t="shared" si="35"/>
        <v>75.318997599999989</v>
      </c>
      <c r="F150" s="31">
        <f t="shared" si="36"/>
        <v>25.10633253333333</v>
      </c>
      <c r="O150" s="30" t="s">
        <v>14</v>
      </c>
      <c r="P150" s="42">
        <f>SQRT(J144/(3*2))</f>
        <v>0.63405012981239939</v>
      </c>
      <c r="Q150" s="49"/>
    </row>
    <row r="151" spans="1:18" x14ac:dyDescent="0.25">
      <c r="A151" s="32" t="s">
        <v>100</v>
      </c>
      <c r="B151" s="57">
        <f t="shared" ref="B151:D151" si="54">B87+B119</f>
        <v>31.096399999999996</v>
      </c>
      <c r="C151" s="57">
        <f t="shared" si="54"/>
        <v>29.848939199999997</v>
      </c>
      <c r="D151" s="57">
        <f t="shared" si="54"/>
        <v>33.164500000000004</v>
      </c>
      <c r="E151" s="31">
        <f t="shared" si="35"/>
        <v>94.109839199999996</v>
      </c>
      <c r="F151" s="31">
        <f t="shared" si="36"/>
        <v>31.3699464</v>
      </c>
      <c r="N151" s="30" t="s">
        <v>109</v>
      </c>
      <c r="O151" s="30" t="s">
        <v>16</v>
      </c>
      <c r="P151" s="42">
        <f>SQRT((2*J144)/(3*2))*L145</f>
        <v>1.8222776661556217</v>
      </c>
      <c r="Q151" s="49"/>
    </row>
    <row r="152" spans="1:18" x14ac:dyDescent="0.25">
      <c r="A152" s="32" t="s">
        <v>101</v>
      </c>
      <c r="B152" s="57">
        <f t="shared" ref="B152:D152" si="55">B88+B120</f>
        <v>22.572199999999995</v>
      </c>
      <c r="C152" s="57">
        <f t="shared" si="55"/>
        <v>21.452399999999994</v>
      </c>
      <c r="D152" s="57">
        <f t="shared" si="55"/>
        <v>26.493200000000002</v>
      </c>
      <c r="E152" s="31">
        <f t="shared" si="35"/>
        <v>70.517799999999994</v>
      </c>
      <c r="F152" s="31">
        <f>E152/3</f>
        <v>23.505933333333331</v>
      </c>
      <c r="Q152" s="49"/>
    </row>
    <row r="153" spans="1:18" x14ac:dyDescent="0.25">
      <c r="A153" s="32" t="s">
        <v>102</v>
      </c>
      <c r="B153" s="57">
        <f t="shared" ref="B153:D153" si="56">B89+B121</f>
        <v>22.568799999999996</v>
      </c>
      <c r="C153" s="57">
        <f t="shared" si="56"/>
        <v>25.536399999999997</v>
      </c>
      <c r="D153" s="57">
        <f t="shared" si="56"/>
        <v>24.147799999999997</v>
      </c>
      <c r="E153" s="31">
        <f t="shared" si="35"/>
        <v>72.252999999999986</v>
      </c>
      <c r="F153" s="31">
        <f t="shared" ref="F153:F154" si="57">E153/3</f>
        <v>24.08433333333333</v>
      </c>
    </row>
    <row r="154" spans="1:18" x14ac:dyDescent="0.25">
      <c r="A154" s="32" t="s">
        <v>103</v>
      </c>
      <c r="B154" s="57">
        <f t="shared" ref="B154:D154" si="58">B90+B122</f>
        <v>19.986399999999996</v>
      </c>
      <c r="C154" s="57">
        <f t="shared" si="58"/>
        <v>18.659500000000001</v>
      </c>
      <c r="D154" s="57">
        <f t="shared" si="58"/>
        <v>19.211300000000001</v>
      </c>
      <c r="E154" s="31">
        <f t="shared" si="35"/>
        <v>57.857199999999999</v>
      </c>
      <c r="F154" s="31">
        <f t="shared" si="57"/>
        <v>19.285733333333333</v>
      </c>
    </row>
    <row r="155" spans="1:18" x14ac:dyDescent="0.25">
      <c r="A155" s="30" t="s">
        <v>4</v>
      </c>
      <c r="B155" s="31">
        <f>SUM(B137:B154)</f>
        <v>447.4128728</v>
      </c>
      <c r="C155" s="31">
        <f t="shared" ref="C155:D155" si="59">SUM(C137:C154)</f>
        <v>433.44040560000008</v>
      </c>
      <c r="D155" s="31">
        <f t="shared" si="59"/>
        <v>452.74621679999996</v>
      </c>
      <c r="E155" s="31">
        <f>SUM(E137:E154)</f>
        <v>1333.5994951999996</v>
      </c>
      <c r="F155" s="31">
        <f>AVERAGE(B137:D154)</f>
        <v>24.696286948148146</v>
      </c>
    </row>
    <row r="156" spans="1:18" x14ac:dyDescent="0.25">
      <c r="A156" s="30" t="s">
        <v>5</v>
      </c>
      <c r="B156" s="31">
        <f>B155/18</f>
        <v>24.856270711111112</v>
      </c>
      <c r="C156" s="31">
        <f>C155/18</f>
        <v>24.080022533333338</v>
      </c>
      <c r="D156" s="31">
        <f>D155/18</f>
        <v>25.152567599999998</v>
      </c>
    </row>
    <row r="157" spans="1:18" x14ac:dyDescent="0.25">
      <c r="A157" s="30" t="s">
        <v>26</v>
      </c>
      <c r="B157" s="31">
        <f>(E155*E155)/54</f>
        <v>32934.955807364699</v>
      </c>
      <c r="C157" s="31"/>
      <c r="D157" s="31"/>
    </row>
    <row r="158" spans="1:18" x14ac:dyDescent="0.25">
      <c r="A158" s="30" t="s">
        <v>27</v>
      </c>
      <c r="B158" s="31">
        <f>SUMSQ(B137:D154)-B157</f>
        <v>2321.460212926555</v>
      </c>
      <c r="C158" s="30" t="s">
        <v>28</v>
      </c>
      <c r="D158" s="31">
        <f>(SUMSQ(B155:D155)/18)-B157</f>
        <v>11.04423599941947</v>
      </c>
    </row>
    <row r="159" spans="1:18" x14ac:dyDescent="0.25">
      <c r="A159" s="30" t="s">
        <v>30</v>
      </c>
      <c r="B159" s="31">
        <f>(SUMSQ(E137:E154)/3)-B157</f>
        <v>2228.4039852356509</v>
      </c>
      <c r="C159" s="30" t="s">
        <v>31</v>
      </c>
      <c r="D159" s="31">
        <f>B158-B159-D158</f>
        <v>82.011991691484582</v>
      </c>
    </row>
    <row r="160" spans="1:18" x14ac:dyDescent="0.25">
      <c r="A160" s="50"/>
      <c r="B160" s="39"/>
      <c r="C160" s="50"/>
      <c r="D160" s="39"/>
    </row>
    <row r="164" spans="1:21" x14ac:dyDescent="0.25">
      <c r="C164" s="66">
        <v>2020</v>
      </c>
    </row>
    <row r="165" spans="1:21" ht="15.75" x14ac:dyDescent="0.25">
      <c r="C165" s="56" t="s">
        <v>121</v>
      </c>
    </row>
    <row r="166" spans="1:21" x14ac:dyDescent="0.25">
      <c r="C166" s="48" t="s">
        <v>116</v>
      </c>
    </row>
    <row r="167" spans="1:21" x14ac:dyDescent="0.25">
      <c r="A167" s="36" t="s">
        <v>104</v>
      </c>
      <c r="B167" s="38">
        <v>2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5"/>
      <c r="N167" s="35"/>
      <c r="O167" s="39"/>
      <c r="P167" s="39"/>
    </row>
    <row r="168" spans="1:21" x14ac:dyDescent="0.25">
      <c r="A168" s="36" t="s">
        <v>105</v>
      </c>
      <c r="B168" s="38">
        <v>9</v>
      </c>
      <c r="C168" s="39" t="s">
        <v>107</v>
      </c>
      <c r="D168" s="39">
        <v>18</v>
      </c>
      <c r="E168" s="39"/>
      <c r="F168" s="39"/>
      <c r="G168" s="39"/>
      <c r="H168" s="39"/>
      <c r="I168" s="39"/>
      <c r="J168" s="39"/>
      <c r="K168" s="39"/>
      <c r="L168" s="39"/>
      <c r="M168" s="35"/>
      <c r="N168" s="35"/>
      <c r="O168" s="39"/>
      <c r="P168" s="39"/>
    </row>
    <row r="169" spans="1:21" x14ac:dyDescent="0.25">
      <c r="A169" s="37" t="s">
        <v>106</v>
      </c>
      <c r="B169" s="40">
        <v>3</v>
      </c>
    </row>
    <row r="170" spans="1:21" x14ac:dyDescent="0.25">
      <c r="A170" s="46" t="s">
        <v>0</v>
      </c>
      <c r="B170" s="30" t="s">
        <v>1</v>
      </c>
      <c r="C170" s="30" t="s">
        <v>2</v>
      </c>
      <c r="D170" s="30" t="s">
        <v>3</v>
      </c>
      <c r="E170" s="30" t="s">
        <v>4</v>
      </c>
      <c r="F170" s="30" t="s">
        <v>5</v>
      </c>
      <c r="O170" s="41" t="s">
        <v>7</v>
      </c>
      <c r="S170" s="53"/>
      <c r="T170" s="53"/>
      <c r="U170" s="53"/>
    </row>
    <row r="171" spans="1:21" x14ac:dyDescent="0.25">
      <c r="A171" s="32" t="s">
        <v>86</v>
      </c>
      <c r="B171" s="55">
        <v>0.32</v>
      </c>
      <c r="C171" s="55">
        <v>0.27</v>
      </c>
      <c r="D171" s="55">
        <v>0.29000000000000004</v>
      </c>
      <c r="E171" s="31">
        <f t="shared" ref="E171:E188" si="60">SUM(B171:D171)</f>
        <v>0.88000000000000012</v>
      </c>
      <c r="F171" s="31">
        <f>E171/3</f>
        <v>0.29333333333333339</v>
      </c>
      <c r="H171" s="47"/>
      <c r="I171" s="47"/>
      <c r="J171" s="47" t="s">
        <v>6</v>
      </c>
      <c r="K171" s="47"/>
      <c r="L171" s="47"/>
      <c r="M171" s="47"/>
      <c r="N171" s="47"/>
      <c r="O171" s="33">
        <v>1</v>
      </c>
      <c r="P171" s="42">
        <f>SUM(F171:F179)/9</f>
        <v>0.36996459259259262</v>
      </c>
      <c r="Q171" s="49">
        <f>RANK(P171,P$171:P$172,0)</f>
        <v>1</v>
      </c>
      <c r="S171" s="53"/>
      <c r="T171" s="53"/>
      <c r="U171" s="53"/>
    </row>
    <row r="172" spans="1:21" x14ac:dyDescent="0.25">
      <c r="A172" s="32" t="s">
        <v>87</v>
      </c>
      <c r="B172" s="55">
        <v>0.35714799999999991</v>
      </c>
      <c r="C172" s="55">
        <v>0.4</v>
      </c>
      <c r="D172" s="55">
        <v>0.39570799999999984</v>
      </c>
      <c r="E172" s="31">
        <f t="shared" si="60"/>
        <v>1.1528559999999999</v>
      </c>
      <c r="F172" s="31">
        <f t="shared" ref="F172:F185" si="61">E172/3</f>
        <v>0.38428533333333331</v>
      </c>
      <c r="G172" s="31"/>
      <c r="H172" s="30" t="s">
        <v>8</v>
      </c>
      <c r="I172" s="30" t="s">
        <v>9</v>
      </c>
      <c r="J172" s="30" t="s">
        <v>10</v>
      </c>
      <c r="K172" s="30" t="s">
        <v>11</v>
      </c>
      <c r="L172" s="30" t="s">
        <v>12</v>
      </c>
      <c r="M172" s="30" t="s">
        <v>112</v>
      </c>
      <c r="N172" s="50"/>
      <c r="O172" s="33">
        <v>2</v>
      </c>
      <c r="P172" s="42">
        <f>SUM(F180:F188)/9</f>
        <v>0.34490948148148148</v>
      </c>
      <c r="Q172" s="49">
        <f>RANK(P172,P$171:P$172,0)</f>
        <v>2</v>
      </c>
      <c r="S172" s="53"/>
      <c r="T172" s="53"/>
      <c r="U172" s="53"/>
    </row>
    <row r="173" spans="1:21" x14ac:dyDescent="0.25">
      <c r="A173" s="32" t="s">
        <v>88</v>
      </c>
      <c r="B173" s="55">
        <v>0.37</v>
      </c>
      <c r="C173" s="55">
        <v>0.33999999999999997</v>
      </c>
      <c r="D173" s="55">
        <v>0.37</v>
      </c>
      <c r="E173" s="31">
        <f t="shared" si="60"/>
        <v>1.08</v>
      </c>
      <c r="F173" s="31">
        <f t="shared" si="61"/>
        <v>0.36000000000000004</v>
      </c>
      <c r="G173" s="31" t="s">
        <v>13</v>
      </c>
      <c r="H173" s="31">
        <f>B169-1</f>
        <v>2</v>
      </c>
      <c r="I173" s="31">
        <f>D192</f>
        <v>1.0154471845948976E-3</v>
      </c>
      <c r="J173" s="31">
        <f>I173/H173</f>
        <v>5.0772359229744879E-4</v>
      </c>
      <c r="K173" s="31">
        <f>J173/$J$16</f>
        <v>0.55840318239915454</v>
      </c>
      <c r="L173" s="31">
        <f>FINV(0.05,H173,$H$16)</f>
        <v>3.275897990672394</v>
      </c>
      <c r="M173" s="31" t="str">
        <f>IF(K173&gt;=L173, "S", "NS")</f>
        <v>NS</v>
      </c>
      <c r="N173" s="39"/>
      <c r="O173" s="30" t="s">
        <v>14</v>
      </c>
      <c r="P173" s="42">
        <f>SQRT(J178/(3*9))</f>
        <v>8.1703244163460493E-3</v>
      </c>
      <c r="S173" s="53"/>
      <c r="T173" s="53"/>
      <c r="U173" s="53"/>
    </row>
    <row r="174" spans="1:21" x14ac:dyDescent="0.25">
      <c r="A174" s="32" t="s">
        <v>89</v>
      </c>
      <c r="B174" s="55">
        <v>0.33999999999999997</v>
      </c>
      <c r="C174" s="55">
        <v>0.35</v>
      </c>
      <c r="D174" s="55">
        <v>0.37</v>
      </c>
      <c r="E174" s="31">
        <f t="shared" si="60"/>
        <v>1.06</v>
      </c>
      <c r="F174" s="31">
        <f t="shared" si="61"/>
        <v>0.35333333333333333</v>
      </c>
      <c r="G174" s="31" t="s">
        <v>15</v>
      </c>
      <c r="H174" s="31">
        <f>D168-1</f>
        <v>17</v>
      </c>
      <c r="I174" s="31">
        <f>B193</f>
        <v>6.5432992304595317E-2</v>
      </c>
      <c r="J174" s="31">
        <f t="shared" ref="J174:J178" si="62">I174/H174</f>
        <v>3.8489995473291361E-3</v>
      </c>
      <c r="K174" s="31">
        <f>J174/$J$16</f>
        <v>4.2331962289873966</v>
      </c>
      <c r="L174" s="31">
        <f>FINV(0.05,H174,$H$16)</f>
        <v>1.9332068318040869</v>
      </c>
      <c r="M174" s="43" t="str">
        <f t="shared" ref="M174" si="63">IF(K174&gt;=L174, "S", "NS")</f>
        <v>S</v>
      </c>
      <c r="N174" s="30" t="s">
        <v>113</v>
      </c>
      <c r="O174" s="30" t="s">
        <v>16</v>
      </c>
      <c r="P174" s="42">
        <f>SQRT((2*J178)/(3*9))*L179</f>
        <v>2.3481739075676175E-2</v>
      </c>
      <c r="S174" s="53"/>
      <c r="T174" s="53"/>
      <c r="U174" s="53"/>
    </row>
    <row r="175" spans="1:21" x14ac:dyDescent="0.25">
      <c r="A175" s="32" t="s">
        <v>90</v>
      </c>
      <c r="B175" s="55">
        <v>0.38747199999999993</v>
      </c>
      <c r="C175" s="55">
        <v>0.40855600000000003</v>
      </c>
      <c r="D175" s="55">
        <v>0.41175200000000001</v>
      </c>
      <c r="E175" s="31">
        <f t="shared" si="60"/>
        <v>1.2077800000000001</v>
      </c>
      <c r="F175" s="31">
        <f t="shared" si="61"/>
        <v>0.40259333333333336</v>
      </c>
      <c r="G175" s="31" t="s">
        <v>108</v>
      </c>
      <c r="H175" s="31">
        <f>B167-1</f>
        <v>1</v>
      </c>
      <c r="I175" s="31">
        <f>(SUM(E171:E179)^2+SUM(E180:E188)^2)/27-B191</f>
        <v>8.4747410026677628E-3</v>
      </c>
      <c r="J175" s="31">
        <f t="shared" si="62"/>
        <v>8.4747410026677628E-3</v>
      </c>
      <c r="K175" s="31">
        <f>J175/$J$16</f>
        <v>9.3206666337574067</v>
      </c>
      <c r="L175" s="31">
        <f>FINV(0.05,H175,$H$16)</f>
        <v>4.1300177456520188</v>
      </c>
      <c r="M175" s="31" t="str">
        <f>IF(K175&gt;=L175, "S", "NS")</f>
        <v>S</v>
      </c>
      <c r="N175" s="39"/>
      <c r="O175" s="33">
        <v>1</v>
      </c>
      <c r="P175" s="42">
        <f>(F171+F180)/2</f>
        <v>0.28166666666666668</v>
      </c>
      <c r="Q175" s="49">
        <f>RANK(P175,P$175:P$183,0)</f>
        <v>9</v>
      </c>
      <c r="R175" s="51">
        <v>9</v>
      </c>
      <c r="S175" s="54"/>
      <c r="T175" s="54"/>
      <c r="U175" s="54"/>
    </row>
    <row r="176" spans="1:21" x14ac:dyDescent="0.25">
      <c r="A176" s="32" t="s">
        <v>91</v>
      </c>
      <c r="B176" s="55">
        <v>0.39</v>
      </c>
      <c r="C176" s="55">
        <v>0.38</v>
      </c>
      <c r="D176" s="55">
        <v>0.41000000000000003</v>
      </c>
      <c r="E176" s="31">
        <f t="shared" si="60"/>
        <v>1.1800000000000002</v>
      </c>
      <c r="F176" s="31">
        <f t="shared" si="61"/>
        <v>0.39333333333333337</v>
      </c>
      <c r="G176" s="31" t="s">
        <v>109</v>
      </c>
      <c r="H176" s="31">
        <f>B168-1</f>
        <v>8</v>
      </c>
      <c r="I176" s="31">
        <f>((E171+E180)^2+(E172+E181)^2+(E173+E182)^2+(E174+E183)^2+(E175+E184)^2+(E176+E185)^2+(E177+E186)^2+(E178+E187)^2+(E179+E188)^2/6)-B191</f>
        <v>31.090746453061932</v>
      </c>
      <c r="J176" s="31">
        <f t="shared" si="62"/>
        <v>3.8863433066327415</v>
      </c>
      <c r="K176" s="31">
        <f>J176/$J$16</f>
        <v>4274.2675409260883</v>
      </c>
      <c r="L176" s="31">
        <f>FINV(0.05,H176,$H$16)</f>
        <v>2.2253399674380931</v>
      </c>
      <c r="M176" s="31" t="str">
        <f>IF(K176&gt;=L176, "S", "NS")</f>
        <v>S</v>
      </c>
      <c r="N176" s="39"/>
      <c r="O176" s="33">
        <v>2</v>
      </c>
      <c r="P176" s="42">
        <f t="shared" ref="P176:P183" si="64">(F172+F181)/2</f>
        <v>0.36380933333333332</v>
      </c>
      <c r="Q176" s="49">
        <f t="shared" ref="Q176:Q183" si="65">RANK(P176,P$175:P$183,0)</f>
        <v>5</v>
      </c>
      <c r="R176" s="52">
        <v>5</v>
      </c>
      <c r="S176" s="53"/>
      <c r="T176" s="53"/>
      <c r="U176" s="53"/>
    </row>
    <row r="177" spans="1:21" x14ac:dyDescent="0.25">
      <c r="A177" s="32" t="s">
        <v>92</v>
      </c>
      <c r="B177" s="55">
        <v>0.37814799999999993</v>
      </c>
      <c r="C177" s="55">
        <v>0.35210799999999998</v>
      </c>
      <c r="D177" s="55">
        <v>0.37815199999999993</v>
      </c>
      <c r="E177" s="31">
        <f t="shared" si="60"/>
        <v>1.1084079999999998</v>
      </c>
      <c r="F177" s="31">
        <f t="shared" si="61"/>
        <v>0.36946933333333326</v>
      </c>
      <c r="G177" s="26" t="s">
        <v>110</v>
      </c>
      <c r="H177" s="31">
        <f>H175*H176</f>
        <v>8</v>
      </c>
      <c r="I177" s="31">
        <f>I174-(I175+I176)</f>
        <v>-31.033788201760004</v>
      </c>
      <c r="J177" s="31">
        <f t="shared" si="62"/>
        <v>-3.8792235252200005</v>
      </c>
      <c r="K177" s="44">
        <f>J177/$J$16</f>
        <v>-4266.4370822687088</v>
      </c>
      <c r="L177" s="31">
        <f>FINV(0.05,H177,$H$16)</f>
        <v>2.2253399674380931</v>
      </c>
      <c r="M177" s="31" t="str">
        <f t="shared" ref="M177" si="66">IF(K177&gt;=L177, "S", "NS")</f>
        <v>NS</v>
      </c>
      <c r="N177" s="39"/>
      <c r="O177" s="33">
        <v>3</v>
      </c>
      <c r="P177" s="42">
        <f t="shared" si="64"/>
        <v>0.38000000000000006</v>
      </c>
      <c r="Q177" s="49">
        <f t="shared" si="65"/>
        <v>2</v>
      </c>
      <c r="R177" s="52">
        <v>2</v>
      </c>
      <c r="S177" s="53"/>
      <c r="T177" s="53"/>
      <c r="U177" s="53"/>
    </row>
    <row r="178" spans="1:21" x14ac:dyDescent="0.25">
      <c r="A178" s="32" t="s">
        <v>93</v>
      </c>
      <c r="B178" s="55">
        <v>0.39</v>
      </c>
      <c r="C178" s="55">
        <v>0.4</v>
      </c>
      <c r="D178" s="55">
        <v>0.39</v>
      </c>
      <c r="E178" s="31">
        <f t="shared" si="60"/>
        <v>1.1800000000000002</v>
      </c>
      <c r="F178" s="31">
        <f t="shared" si="61"/>
        <v>0.39333333333333337</v>
      </c>
      <c r="G178" s="45" t="s">
        <v>23</v>
      </c>
      <c r="H178" s="31">
        <f>((B169-1)*(B167*B168-1))</f>
        <v>34</v>
      </c>
      <c r="I178" s="31">
        <f>D193</f>
        <v>6.1280356580736495E-2</v>
      </c>
      <c r="J178" s="31">
        <f t="shared" si="62"/>
        <v>1.8023634288451911E-3</v>
      </c>
      <c r="O178" s="33">
        <v>4</v>
      </c>
      <c r="P178" s="42">
        <f t="shared" si="64"/>
        <v>0.35333333333333333</v>
      </c>
      <c r="Q178" s="49">
        <f t="shared" si="65"/>
        <v>7</v>
      </c>
      <c r="R178" s="52">
        <v>7</v>
      </c>
      <c r="S178" s="53"/>
      <c r="T178" s="53"/>
      <c r="U178" s="53"/>
    </row>
    <row r="179" spans="1:21" x14ac:dyDescent="0.25">
      <c r="A179" s="32" t="s">
        <v>94</v>
      </c>
      <c r="B179" s="55">
        <v>0.36</v>
      </c>
      <c r="C179" s="55">
        <v>0.38</v>
      </c>
      <c r="D179" s="55">
        <v>0.4</v>
      </c>
      <c r="E179" s="31">
        <f t="shared" si="60"/>
        <v>1.1400000000000001</v>
      </c>
      <c r="F179" s="31">
        <f t="shared" si="61"/>
        <v>0.38000000000000006</v>
      </c>
      <c r="G179" s="44" t="s">
        <v>4</v>
      </c>
      <c r="H179" s="31">
        <f>SUM(H173:H178)-H174</f>
        <v>53</v>
      </c>
      <c r="I179" s="31">
        <f>B192</f>
        <v>0.12772879606992671</v>
      </c>
      <c r="K179" s="31" t="s">
        <v>111</v>
      </c>
      <c r="L179" s="41">
        <f>TINV(0.05,34)</f>
        <v>2.0322445093177191</v>
      </c>
      <c r="O179" s="33">
        <v>5</v>
      </c>
      <c r="P179" s="42">
        <f t="shared" si="64"/>
        <v>0.37676333333333334</v>
      </c>
      <c r="Q179" s="49">
        <f t="shared" si="65"/>
        <v>3</v>
      </c>
      <c r="R179" s="51">
        <v>3</v>
      </c>
      <c r="S179" s="64"/>
      <c r="T179" s="64"/>
      <c r="U179" s="64"/>
    </row>
    <row r="180" spans="1:21" x14ac:dyDescent="0.25">
      <c r="A180" s="32" t="s">
        <v>95</v>
      </c>
      <c r="B180" s="55">
        <v>0.39</v>
      </c>
      <c r="C180" s="55">
        <v>0.32999999999999996</v>
      </c>
      <c r="D180" s="55">
        <v>0.09</v>
      </c>
      <c r="E180" s="31">
        <f t="shared" si="60"/>
        <v>0.80999999999999994</v>
      </c>
      <c r="F180" s="31">
        <f t="shared" si="61"/>
        <v>0.26999999999999996</v>
      </c>
      <c r="G180" s="34" t="s">
        <v>14</v>
      </c>
      <c r="H180" s="31">
        <f>SQRT(J178/3)</f>
        <v>2.4510973249038146E-2</v>
      </c>
      <c r="O180" s="33">
        <v>6</v>
      </c>
      <c r="P180" s="42">
        <f t="shared" si="64"/>
        <v>0.38329266666666667</v>
      </c>
      <c r="Q180" s="49">
        <f t="shared" si="65"/>
        <v>1</v>
      </c>
      <c r="R180" s="52">
        <v>1</v>
      </c>
      <c r="S180" s="64"/>
      <c r="T180" s="64"/>
      <c r="U180" s="64"/>
    </row>
    <row r="181" spans="1:21" x14ac:dyDescent="0.25">
      <c r="A181" s="32" t="s">
        <v>96</v>
      </c>
      <c r="B181" s="55">
        <v>0.33999999999999997</v>
      </c>
      <c r="C181" s="55">
        <v>0.35</v>
      </c>
      <c r="D181" s="55">
        <v>0.33999999999999997</v>
      </c>
      <c r="E181" s="31">
        <f t="shared" si="60"/>
        <v>1.0299999999999998</v>
      </c>
      <c r="F181" s="31">
        <f t="shared" si="61"/>
        <v>0.34333333333333327</v>
      </c>
      <c r="G181" s="34" t="s">
        <v>16</v>
      </c>
      <c r="H181" s="31">
        <f>(SQRT((2*J178)/3))*L179</f>
        <v>7.0445217227028525E-2</v>
      </c>
      <c r="O181" s="33">
        <v>7</v>
      </c>
      <c r="P181" s="42">
        <f t="shared" si="64"/>
        <v>0.3614013333333333</v>
      </c>
      <c r="Q181" s="49">
        <f t="shared" si="65"/>
        <v>6</v>
      </c>
      <c r="R181" s="52">
        <v>6</v>
      </c>
      <c r="S181" s="64"/>
      <c r="T181" s="64"/>
      <c r="U181" s="64"/>
    </row>
    <row r="182" spans="1:21" x14ac:dyDescent="0.25">
      <c r="A182" s="32" t="s">
        <v>97</v>
      </c>
      <c r="B182" s="55">
        <v>0.4</v>
      </c>
      <c r="C182" s="55">
        <v>0.38</v>
      </c>
      <c r="D182" s="55">
        <v>0.42000000000000004</v>
      </c>
      <c r="E182" s="31">
        <f t="shared" si="60"/>
        <v>1.2000000000000002</v>
      </c>
      <c r="F182" s="31">
        <f t="shared" si="61"/>
        <v>0.40000000000000008</v>
      </c>
      <c r="G182" s="34" t="s">
        <v>29</v>
      </c>
      <c r="H182" s="31">
        <f>((SQRT(J178))/F189)*100</f>
        <v>11.87740681889567</v>
      </c>
      <c r="O182" s="33">
        <v>8</v>
      </c>
      <c r="P182" s="42">
        <f t="shared" si="64"/>
        <v>0.3666666666666667</v>
      </c>
      <c r="Q182" s="49">
        <f t="shared" si="65"/>
        <v>4</v>
      </c>
      <c r="R182" s="51">
        <v>4</v>
      </c>
      <c r="S182" s="64"/>
      <c r="T182" s="64"/>
      <c r="U182" s="64"/>
    </row>
    <row r="183" spans="1:21" x14ac:dyDescent="0.25">
      <c r="A183" s="32" t="s">
        <v>98</v>
      </c>
      <c r="B183" s="55">
        <v>0.38</v>
      </c>
      <c r="C183" s="55">
        <v>0.32999999999999996</v>
      </c>
      <c r="D183" s="55">
        <v>0.35</v>
      </c>
      <c r="E183" s="31">
        <f t="shared" si="60"/>
        <v>1.06</v>
      </c>
      <c r="F183" s="31">
        <f t="shared" si="61"/>
        <v>0.35333333333333333</v>
      </c>
      <c r="O183" s="33">
        <v>9</v>
      </c>
      <c r="P183" s="42">
        <f t="shared" si="64"/>
        <v>0.35000000000000003</v>
      </c>
      <c r="Q183" s="49">
        <f t="shared" si="65"/>
        <v>8</v>
      </c>
      <c r="R183" s="52">
        <v>8</v>
      </c>
      <c r="S183" s="64"/>
      <c r="T183" s="64"/>
      <c r="U183" s="64"/>
    </row>
    <row r="184" spans="1:21" x14ac:dyDescent="0.25">
      <c r="A184" s="32" t="s">
        <v>99</v>
      </c>
      <c r="B184" s="55">
        <v>0.36193599999999992</v>
      </c>
      <c r="C184" s="55">
        <v>0.33413199999999998</v>
      </c>
      <c r="D184" s="55">
        <v>0.35673199999999994</v>
      </c>
      <c r="E184" s="31">
        <f t="shared" si="60"/>
        <v>1.0528</v>
      </c>
      <c r="F184" s="31">
        <f t="shared" si="61"/>
        <v>0.35093333333333332</v>
      </c>
      <c r="O184" s="30" t="s">
        <v>14</v>
      </c>
      <c r="P184" s="42">
        <f>SQRT(J178/(3*2))</f>
        <v>1.7331875397876936E-2</v>
      </c>
      <c r="Q184" s="49"/>
      <c r="S184" s="64"/>
      <c r="T184" s="64"/>
      <c r="U184" s="64"/>
    </row>
    <row r="185" spans="1:21" x14ac:dyDescent="0.25">
      <c r="A185" s="32" t="s">
        <v>100</v>
      </c>
      <c r="B185" s="55">
        <v>0.37</v>
      </c>
      <c r="C185" s="55">
        <v>0.34975599999999996</v>
      </c>
      <c r="D185" s="55">
        <v>0.4</v>
      </c>
      <c r="E185" s="31">
        <f t="shared" si="60"/>
        <v>1.119756</v>
      </c>
      <c r="F185" s="31">
        <f t="shared" si="61"/>
        <v>0.37325199999999997</v>
      </c>
      <c r="G185" s="59"/>
      <c r="N185" s="30" t="s">
        <v>109</v>
      </c>
      <c r="O185" s="30" t="s">
        <v>16</v>
      </c>
      <c r="P185" s="42">
        <f>SQRT((2*J178)/(3*2))*L179</f>
        <v>4.9812290803391265E-2</v>
      </c>
      <c r="Q185" s="49"/>
      <c r="S185" s="64"/>
      <c r="T185" s="64"/>
      <c r="U185" s="64"/>
    </row>
    <row r="186" spans="1:21" x14ac:dyDescent="0.25">
      <c r="A186" s="32" t="s">
        <v>101</v>
      </c>
      <c r="B186" s="55">
        <v>0.33999999999999997</v>
      </c>
      <c r="C186" s="55">
        <v>0.32999999999999996</v>
      </c>
      <c r="D186" s="55">
        <v>0.39</v>
      </c>
      <c r="E186" s="31">
        <f t="shared" si="60"/>
        <v>1.06</v>
      </c>
      <c r="F186" s="31">
        <f>E186/3</f>
        <v>0.35333333333333333</v>
      </c>
      <c r="G186" s="59"/>
      <c r="Q186" s="49"/>
      <c r="S186" s="64"/>
      <c r="T186" s="64"/>
      <c r="U186" s="64"/>
    </row>
    <row r="187" spans="1:21" x14ac:dyDescent="0.25">
      <c r="A187" s="32" t="s">
        <v>102</v>
      </c>
      <c r="B187" s="55">
        <v>0.32999999999999996</v>
      </c>
      <c r="C187" s="55">
        <v>0.35</v>
      </c>
      <c r="D187" s="55">
        <v>0.33999999999999997</v>
      </c>
      <c r="E187" s="31">
        <f t="shared" si="60"/>
        <v>1.02</v>
      </c>
      <c r="F187" s="31">
        <f t="shared" ref="F187:F188" si="67">E187/3</f>
        <v>0.34</v>
      </c>
      <c r="G187" s="59"/>
      <c r="S187" s="64"/>
      <c r="T187" s="64"/>
      <c r="U187" s="64"/>
    </row>
    <row r="188" spans="1:21" x14ac:dyDescent="0.25">
      <c r="A188" s="32" t="s">
        <v>103</v>
      </c>
      <c r="B188" s="55">
        <v>0.32999999999999996</v>
      </c>
      <c r="C188" s="55">
        <v>0.31</v>
      </c>
      <c r="D188" s="55">
        <v>0.32</v>
      </c>
      <c r="E188" s="31">
        <f t="shared" si="60"/>
        <v>0.96</v>
      </c>
      <c r="F188" s="31">
        <f t="shared" si="67"/>
        <v>0.32</v>
      </c>
      <c r="G188" s="59"/>
    </row>
    <row r="189" spans="1:21" x14ac:dyDescent="0.25">
      <c r="A189" s="30" t="s">
        <v>4</v>
      </c>
      <c r="B189" s="31">
        <f>SUM(B171:B188)</f>
        <v>6.5347040000000005</v>
      </c>
      <c r="C189" s="31">
        <f>SUM(C171:C188)</f>
        <v>6.3445519999999993</v>
      </c>
      <c r="D189" s="31">
        <f>SUM(D171:D188)</f>
        <v>6.4223439999999998</v>
      </c>
      <c r="E189" s="31">
        <f>SUM(E171:E188)</f>
        <v>19.301599999999997</v>
      </c>
      <c r="F189" s="31">
        <f>AVERAGE(B171:D188)</f>
        <v>0.35743703703703694</v>
      </c>
      <c r="G189" s="59"/>
    </row>
    <row r="190" spans="1:21" x14ac:dyDescent="0.25">
      <c r="A190" s="30" t="s">
        <v>5</v>
      </c>
      <c r="B190" s="31">
        <f>B189/18</f>
        <v>0.36303911111111115</v>
      </c>
      <c r="C190" s="31">
        <f>C189/18</f>
        <v>0.35247511111111107</v>
      </c>
      <c r="D190" s="31">
        <f>D189/18</f>
        <v>0.35679688888888889</v>
      </c>
      <c r="G190" s="59"/>
    </row>
    <row r="191" spans="1:21" x14ac:dyDescent="0.25">
      <c r="A191" s="30" t="s">
        <v>26</v>
      </c>
      <c r="B191" s="31">
        <f>(E189*E189)/54</f>
        <v>6.8991067140740716</v>
      </c>
      <c r="C191" s="31"/>
      <c r="D191" s="31"/>
      <c r="G191" s="59"/>
    </row>
    <row r="192" spans="1:21" x14ac:dyDescent="0.25">
      <c r="A192" s="30" t="s">
        <v>27</v>
      </c>
      <c r="B192" s="31">
        <f>SUMSQ(B171:D188)-B191</f>
        <v>0.12772879606992671</v>
      </c>
      <c r="C192" s="30" t="s">
        <v>28</v>
      </c>
      <c r="D192" s="31">
        <f>(SUMSQ(B189:D189)/18)-B191</f>
        <v>1.0154471845948976E-3</v>
      </c>
      <c r="G192" s="59"/>
    </row>
    <row r="193" spans="1:18" x14ac:dyDescent="0.25">
      <c r="A193" s="30" t="s">
        <v>30</v>
      </c>
      <c r="B193" s="31">
        <f>(SUMSQ(E171:E188)/3)-B191</f>
        <v>6.5432992304595317E-2</v>
      </c>
      <c r="C193" s="30" t="s">
        <v>31</v>
      </c>
      <c r="D193" s="31">
        <f>B192-B193-D192</f>
        <v>6.1280356580736495E-2</v>
      </c>
      <c r="G193" s="59"/>
    </row>
    <row r="196" spans="1:18" ht="15.75" x14ac:dyDescent="0.25">
      <c r="C196" s="56" t="s">
        <v>121</v>
      </c>
    </row>
    <row r="197" spans="1:18" ht="15.75" x14ac:dyDescent="0.25">
      <c r="C197" s="65" t="s">
        <v>117</v>
      </c>
    </row>
    <row r="199" spans="1:18" x14ac:dyDescent="0.25">
      <c r="A199" s="36" t="s">
        <v>104</v>
      </c>
      <c r="B199" s="38">
        <v>2</v>
      </c>
      <c r="C199" s="39"/>
      <c r="D199" s="39"/>
      <c r="E199" s="39"/>
      <c r="F199" s="39"/>
      <c r="G199" s="39"/>
      <c r="H199" s="39"/>
      <c r="I199" s="39"/>
      <c r="M199" s="35"/>
      <c r="N199" s="35"/>
      <c r="O199" s="39"/>
      <c r="P199" s="39"/>
    </row>
    <row r="200" spans="1:18" x14ac:dyDescent="0.25">
      <c r="A200" s="36" t="s">
        <v>105</v>
      </c>
      <c r="B200" s="38">
        <v>9</v>
      </c>
      <c r="C200" s="39" t="s">
        <v>107</v>
      </c>
      <c r="D200" s="39">
        <v>18</v>
      </c>
      <c r="E200" s="39"/>
      <c r="F200" s="39"/>
      <c r="G200" s="39"/>
      <c r="H200" s="39"/>
      <c r="I200" s="39"/>
      <c r="M200" s="35"/>
      <c r="N200" s="35"/>
      <c r="O200" s="39"/>
      <c r="P200" s="39"/>
    </row>
    <row r="201" spans="1:18" x14ac:dyDescent="0.25">
      <c r="A201" s="37" t="s">
        <v>106</v>
      </c>
      <c r="B201" s="40">
        <v>3</v>
      </c>
    </row>
    <row r="202" spans="1:18" s="41" customFormat="1" x14ac:dyDescent="0.25">
      <c r="A202" s="46" t="s">
        <v>0</v>
      </c>
      <c r="B202" s="30" t="s">
        <v>1</v>
      </c>
      <c r="C202" s="30" t="s">
        <v>2</v>
      </c>
      <c r="D202" s="30" t="s">
        <v>3</v>
      </c>
      <c r="E202" s="30" t="s">
        <v>4</v>
      </c>
      <c r="F202" s="30" t="s">
        <v>5</v>
      </c>
      <c r="O202" s="41" t="s">
        <v>7</v>
      </c>
      <c r="Q202" s="37"/>
    </row>
    <row r="203" spans="1:18" s="41" customFormat="1" x14ac:dyDescent="0.25">
      <c r="A203" s="32" t="s">
        <v>86</v>
      </c>
      <c r="B203" s="72">
        <v>0.10200000000000001</v>
      </c>
      <c r="C203" s="72">
        <v>0.11700000000000001</v>
      </c>
      <c r="D203" s="72">
        <v>0.10700000000000001</v>
      </c>
      <c r="E203" s="99">
        <f>SUM(B203:D203)</f>
        <v>0.32600000000000007</v>
      </c>
      <c r="F203" s="99">
        <f>E203/3</f>
        <v>0.10866666666666669</v>
      </c>
      <c r="H203" s="47"/>
      <c r="I203" s="47"/>
      <c r="J203" s="47" t="s">
        <v>6</v>
      </c>
      <c r="K203" s="47"/>
      <c r="L203" s="47"/>
      <c r="M203" s="47"/>
      <c r="N203" s="47"/>
      <c r="O203" s="33">
        <v>1</v>
      </c>
      <c r="P203" s="99">
        <f>SUM(F203:F211)/9</f>
        <v>0.19504296296296297</v>
      </c>
      <c r="Q203" s="75">
        <f>RANK(P203,P$203:P$204,0)</f>
        <v>1</v>
      </c>
    </row>
    <row r="204" spans="1:18" s="41" customFormat="1" x14ac:dyDescent="0.25">
      <c r="A204" s="32" t="s">
        <v>87</v>
      </c>
      <c r="B204" s="72">
        <v>0.18899999999999997</v>
      </c>
      <c r="C204" s="72">
        <v>0.222</v>
      </c>
      <c r="D204" s="72">
        <v>0.20799999999999999</v>
      </c>
      <c r="E204" s="99">
        <f t="shared" ref="E204:E220" si="68">SUM(B204:D204)</f>
        <v>0.61899999999999999</v>
      </c>
      <c r="F204" s="99">
        <f t="shared" ref="F204:F217" si="69">E204/3</f>
        <v>0.20633333333333334</v>
      </c>
      <c r="G204" s="31"/>
      <c r="H204" s="30" t="s">
        <v>8</v>
      </c>
      <c r="I204" s="30" t="s">
        <v>9</v>
      </c>
      <c r="J204" s="30" t="s">
        <v>10</v>
      </c>
      <c r="K204" s="30" t="s">
        <v>11</v>
      </c>
      <c r="L204" s="30" t="s">
        <v>12</v>
      </c>
      <c r="M204" s="30" t="s">
        <v>112</v>
      </c>
      <c r="N204" s="50"/>
      <c r="O204" s="33">
        <v>2</v>
      </c>
      <c r="P204" s="99">
        <f>SUM(F212:F220)/9</f>
        <v>0.1723514074074074</v>
      </c>
      <c r="Q204" s="75">
        <f>RANK(P204,P$203:P$204,0)</f>
        <v>2</v>
      </c>
    </row>
    <row r="205" spans="1:18" s="41" customFormat="1" x14ac:dyDescent="0.25">
      <c r="A205" s="32" t="s">
        <v>88</v>
      </c>
      <c r="B205" s="72">
        <v>0.22199999999999998</v>
      </c>
      <c r="C205" s="72">
        <v>0.20199999999999999</v>
      </c>
      <c r="D205" s="72">
        <v>0.24199999999999999</v>
      </c>
      <c r="E205" s="99">
        <f t="shared" si="68"/>
        <v>0.66599999999999993</v>
      </c>
      <c r="F205" s="99">
        <f t="shared" si="69"/>
        <v>0.22199999999999998</v>
      </c>
      <c r="G205" s="31" t="s">
        <v>13</v>
      </c>
      <c r="H205" s="31">
        <f>B201-1</f>
        <v>2</v>
      </c>
      <c r="I205" s="31">
        <f>D224</f>
        <v>2.6857690885928598E-3</v>
      </c>
      <c r="J205" s="31">
        <f>I205/H205</f>
        <v>1.3428845442964299E-3</v>
      </c>
      <c r="K205" s="31">
        <f>J205/$J$16</f>
        <v>1.4769276324871949</v>
      </c>
      <c r="L205" s="31">
        <f>FINV(0.05,H205,$H$16)</f>
        <v>3.275897990672394</v>
      </c>
      <c r="M205" s="31" t="str">
        <f>IF(K205&gt;=L205, "S", "NS")</f>
        <v>NS</v>
      </c>
      <c r="N205" s="39"/>
      <c r="O205" s="30" t="s">
        <v>14</v>
      </c>
      <c r="P205" s="99">
        <f>SQRT(J210/(3*9))</f>
        <v>2.5493754496125377E-3</v>
      </c>
      <c r="Q205" s="37"/>
    </row>
    <row r="206" spans="1:18" s="41" customFormat="1" x14ac:dyDescent="0.25">
      <c r="A206" s="32" t="s">
        <v>89</v>
      </c>
      <c r="B206" s="72">
        <v>0.16199999999999995</v>
      </c>
      <c r="C206" s="72">
        <v>0.17199999999999996</v>
      </c>
      <c r="D206" s="72">
        <v>0.19199999999999998</v>
      </c>
      <c r="E206" s="99">
        <f t="shared" si="68"/>
        <v>0.52599999999999991</v>
      </c>
      <c r="F206" s="99">
        <f t="shared" si="69"/>
        <v>0.17533333333333331</v>
      </c>
      <c r="G206" s="31" t="s">
        <v>15</v>
      </c>
      <c r="H206" s="31">
        <f>D200-1</f>
        <v>17</v>
      </c>
      <c r="I206" s="31">
        <f>B225</f>
        <v>5.6583069481482395E-2</v>
      </c>
      <c r="J206" s="31">
        <f t="shared" ref="J206:J210" si="70">I206/H206</f>
        <v>3.3284158518519058E-3</v>
      </c>
      <c r="K206" s="31">
        <f>J206/$J$16</f>
        <v>3.6606492828346675</v>
      </c>
      <c r="L206" s="31">
        <f>FINV(0.05,H206,$H$16)</f>
        <v>1.9332068318040869</v>
      </c>
      <c r="M206" s="43" t="str">
        <f t="shared" ref="M206" si="71">IF(K206&gt;=L206, "S", "NS")</f>
        <v>S</v>
      </c>
      <c r="N206" s="30" t="s">
        <v>113</v>
      </c>
      <c r="O206" s="30" t="s">
        <v>16</v>
      </c>
      <c r="P206" s="99">
        <f>SQRT((2*J210)/(3*9))*L211</f>
        <v>7.3269757800521525E-3</v>
      </c>
      <c r="Q206" s="37"/>
    </row>
    <row r="207" spans="1:18" s="41" customFormat="1" x14ac:dyDescent="0.25">
      <c r="A207" s="32" t="s">
        <v>90</v>
      </c>
      <c r="B207" s="72">
        <v>0.20499999999999999</v>
      </c>
      <c r="C207" s="72">
        <v>0.22500000000000001</v>
      </c>
      <c r="D207" s="72">
        <v>0.23375199999999996</v>
      </c>
      <c r="E207" s="99">
        <f t="shared" si="68"/>
        <v>0.6637519999999999</v>
      </c>
      <c r="F207" s="99">
        <f t="shared" si="69"/>
        <v>0.22125066666666662</v>
      </c>
      <c r="G207" s="31" t="s">
        <v>108</v>
      </c>
      <c r="H207" s="31">
        <f>B199-1</f>
        <v>1</v>
      </c>
      <c r="I207" s="31">
        <f>(SUM(E203:E211)^2+SUM(E212:E220)^2)/27-B223</f>
        <v>6.9512403626676988E-3</v>
      </c>
      <c r="J207" s="31">
        <f t="shared" si="70"/>
        <v>6.9512403626676988E-3</v>
      </c>
      <c r="K207" s="31">
        <f>J207/$J$16</f>
        <v>7.6450942974126601</v>
      </c>
      <c r="L207" s="31">
        <f>FINV(0.05,H207,$H$16)</f>
        <v>4.1300177456520188</v>
      </c>
      <c r="M207" s="31" t="str">
        <f>IF(K207&gt;=L207, "S", "NS")</f>
        <v>S</v>
      </c>
      <c r="N207" s="39"/>
      <c r="O207" s="33">
        <v>1</v>
      </c>
      <c r="P207" s="99">
        <f>(F203+F212)/2</f>
        <v>0.10800000000000001</v>
      </c>
      <c r="Q207" s="75">
        <f>RANK(P207,P$207:P$215,0)</f>
        <v>9</v>
      </c>
      <c r="R207" s="51">
        <v>9</v>
      </c>
    </row>
    <row r="208" spans="1:18" s="41" customFormat="1" x14ac:dyDescent="0.25">
      <c r="A208" s="32" t="s">
        <v>91</v>
      </c>
      <c r="B208" s="72">
        <v>0.21199999999999999</v>
      </c>
      <c r="C208" s="72">
        <v>0.20199999999999999</v>
      </c>
      <c r="D208" s="72">
        <v>0.23199999999999998</v>
      </c>
      <c r="E208" s="99">
        <f t="shared" si="68"/>
        <v>0.64599999999999991</v>
      </c>
      <c r="F208" s="99">
        <f t="shared" si="69"/>
        <v>0.21533333333333329</v>
      </c>
      <c r="G208" s="31" t="s">
        <v>109</v>
      </c>
      <c r="H208" s="31">
        <f>B200-1</f>
        <v>8</v>
      </c>
      <c r="I208" s="31">
        <f>((E203+E212)^2+(E204+E213)^2+(E205+E214)^2+(E206+E215)^2+(E207+E216)^2+(E208+E217)^2+(E209+E218)^2+(E210+E219)^2+(E211+E220)^2/6)-B223</f>
        <v>8.4484940392948129</v>
      </c>
      <c r="J208" s="31">
        <f t="shared" si="70"/>
        <v>1.0560617549118516</v>
      </c>
      <c r="K208" s="31">
        <f>J208/$J$16</f>
        <v>1161.4749712227958</v>
      </c>
      <c r="L208" s="31">
        <f>FINV(0.05,H208,$H$16)</f>
        <v>2.2253399674380931</v>
      </c>
      <c r="M208" s="31" t="str">
        <f>IF(K208&gt;=L208, "S", "NS")</f>
        <v>S</v>
      </c>
      <c r="N208" s="39"/>
      <c r="O208" s="33">
        <v>2</v>
      </c>
      <c r="P208" s="99">
        <f t="shared" ref="P208:P215" si="72">(F204+F213)/2</f>
        <v>0.1925</v>
      </c>
      <c r="Q208" s="75">
        <f t="shared" ref="Q208:Q215" si="73">RANK(P208,P$207:P$215,0)</f>
        <v>5</v>
      </c>
      <c r="R208" s="52">
        <v>5</v>
      </c>
    </row>
    <row r="209" spans="1:18" s="41" customFormat="1" x14ac:dyDescent="0.25">
      <c r="A209" s="32" t="s">
        <v>92</v>
      </c>
      <c r="B209" s="72">
        <v>0.20014799999999991</v>
      </c>
      <c r="C209" s="72">
        <v>0.17410799999999996</v>
      </c>
      <c r="D209" s="72">
        <v>0.20015199999999991</v>
      </c>
      <c r="E209" s="99">
        <f t="shared" si="68"/>
        <v>0.57440799999999981</v>
      </c>
      <c r="F209" s="99">
        <f t="shared" si="69"/>
        <v>0.19146933333333327</v>
      </c>
      <c r="G209" s="26" t="s">
        <v>110</v>
      </c>
      <c r="H209" s="31">
        <f>H207*H208</f>
        <v>8</v>
      </c>
      <c r="I209" s="31">
        <f>I206-(I207+I208)</f>
        <v>-8.3988622101759987</v>
      </c>
      <c r="J209" s="31">
        <f t="shared" si="70"/>
        <v>-1.0498577762719998</v>
      </c>
      <c r="K209" s="44">
        <f>J209/$J$16</f>
        <v>-1154.6517282839488</v>
      </c>
      <c r="L209" s="31">
        <f>FINV(0.05,H209,$H$16)</f>
        <v>2.2253399674380931</v>
      </c>
      <c r="M209" s="31" t="str">
        <f t="shared" ref="M209" si="74">IF(K209&gt;=L209, "S", "NS")</f>
        <v>NS</v>
      </c>
      <c r="N209" s="39"/>
      <c r="O209" s="33">
        <v>3</v>
      </c>
      <c r="P209" s="99">
        <f t="shared" si="72"/>
        <v>0.20300000000000001</v>
      </c>
      <c r="Q209" s="75">
        <f t="shared" si="73"/>
        <v>2</v>
      </c>
      <c r="R209" s="52">
        <v>2</v>
      </c>
    </row>
    <row r="210" spans="1:18" s="41" customFormat="1" x14ac:dyDescent="0.25">
      <c r="A210" s="32" t="s">
        <v>93</v>
      </c>
      <c r="B210" s="72">
        <v>0.21199999999999999</v>
      </c>
      <c r="C210" s="72">
        <v>0.222</v>
      </c>
      <c r="D210" s="72">
        <v>0.21199999999999999</v>
      </c>
      <c r="E210" s="99">
        <f t="shared" si="68"/>
        <v>0.64600000000000002</v>
      </c>
      <c r="F210" s="99">
        <f t="shared" si="69"/>
        <v>0.21533333333333335</v>
      </c>
      <c r="G210" s="45" t="s">
        <v>23</v>
      </c>
      <c r="H210" s="31">
        <f>((B201-1)*(B199*B200-1))</f>
        <v>34</v>
      </c>
      <c r="I210" s="31">
        <f>D225</f>
        <v>5.9663713380739836E-3</v>
      </c>
      <c r="J210" s="31">
        <f t="shared" si="70"/>
        <v>1.7548150994335245E-4</v>
      </c>
      <c r="O210" s="33">
        <v>4</v>
      </c>
      <c r="P210" s="99">
        <f t="shared" si="72"/>
        <v>0.17699999999999999</v>
      </c>
      <c r="Q210" s="75">
        <f t="shared" si="73"/>
        <v>7</v>
      </c>
      <c r="R210" s="52">
        <v>7</v>
      </c>
    </row>
    <row r="211" spans="1:18" x14ac:dyDescent="0.25">
      <c r="A211" s="32" t="s">
        <v>94</v>
      </c>
      <c r="B211" s="72">
        <v>0.17499999999999999</v>
      </c>
      <c r="C211" s="72">
        <v>0.20199999999999999</v>
      </c>
      <c r="D211" s="72">
        <v>0.222</v>
      </c>
      <c r="E211" s="99">
        <f t="shared" si="68"/>
        <v>0.59899999999999998</v>
      </c>
      <c r="F211" s="99">
        <f t="shared" si="69"/>
        <v>0.19966666666666666</v>
      </c>
      <c r="G211" s="44" t="s">
        <v>4</v>
      </c>
      <c r="H211" s="31">
        <f>SUM(H205:H210)-H206</f>
        <v>53</v>
      </c>
      <c r="I211" s="31">
        <f>B224</f>
        <v>6.5235209908149239E-2</v>
      </c>
      <c r="K211" s="31" t="s">
        <v>111</v>
      </c>
      <c r="L211" s="41">
        <f>TINV(0.05,34)</f>
        <v>2.0322445093177191</v>
      </c>
      <c r="O211" s="33">
        <v>5</v>
      </c>
      <c r="P211" s="99">
        <f t="shared" si="72"/>
        <v>0.20258066666666663</v>
      </c>
      <c r="Q211" s="75">
        <f t="shared" si="73"/>
        <v>3</v>
      </c>
      <c r="R211" s="51">
        <v>3</v>
      </c>
    </row>
    <row r="212" spans="1:18" x14ac:dyDescent="0.25">
      <c r="A212" s="32" t="s">
        <v>95</v>
      </c>
      <c r="B212" s="72">
        <v>0.105</v>
      </c>
      <c r="C212" s="72">
        <v>0.105</v>
      </c>
      <c r="D212" s="72">
        <v>0.112</v>
      </c>
      <c r="E212" s="99">
        <f t="shared" si="68"/>
        <v>0.32200000000000001</v>
      </c>
      <c r="F212" s="99">
        <f t="shared" si="69"/>
        <v>0.10733333333333334</v>
      </c>
      <c r="G212" s="34" t="s">
        <v>14</v>
      </c>
      <c r="H212" s="31">
        <f>SQRT(J210/3)</f>
        <v>7.6481263488376123E-3</v>
      </c>
      <c r="O212" s="33">
        <v>6</v>
      </c>
      <c r="P212" s="99">
        <f t="shared" si="72"/>
        <v>0.21079266666666663</v>
      </c>
      <c r="Q212" s="75">
        <f t="shared" si="73"/>
        <v>1</v>
      </c>
      <c r="R212" s="52">
        <v>1</v>
      </c>
    </row>
    <row r="213" spans="1:18" x14ac:dyDescent="0.25">
      <c r="A213" s="32" t="s">
        <v>96</v>
      </c>
      <c r="B213" s="72">
        <v>0.17799999999999999</v>
      </c>
      <c r="C213" s="72">
        <v>0.18299999999999997</v>
      </c>
      <c r="D213" s="72">
        <v>0.17499999999999999</v>
      </c>
      <c r="E213" s="99">
        <f t="shared" si="68"/>
        <v>0.53600000000000003</v>
      </c>
      <c r="F213" s="99">
        <f t="shared" si="69"/>
        <v>0.17866666666666667</v>
      </c>
      <c r="G213" s="34" t="s">
        <v>16</v>
      </c>
      <c r="H213" s="31">
        <f>(SQRT((2*J210)/3))*L211</f>
        <v>2.1980927340156456E-2</v>
      </c>
      <c r="O213" s="33">
        <v>7</v>
      </c>
      <c r="P213" s="99">
        <f t="shared" si="72"/>
        <v>0.18890133333333331</v>
      </c>
      <c r="Q213" s="75">
        <f t="shared" si="73"/>
        <v>6</v>
      </c>
      <c r="R213" s="52">
        <v>6</v>
      </c>
    </row>
    <row r="214" spans="1:18" x14ac:dyDescent="0.25">
      <c r="A214" s="32" t="s">
        <v>97</v>
      </c>
      <c r="B214" s="72">
        <v>0.184</v>
      </c>
      <c r="C214" s="72">
        <v>0.17299999999999999</v>
      </c>
      <c r="D214" s="72">
        <v>0.19500000000000001</v>
      </c>
      <c r="E214" s="99">
        <f t="shared" si="68"/>
        <v>0.55200000000000005</v>
      </c>
      <c r="F214" s="99">
        <f t="shared" si="69"/>
        <v>0.18400000000000002</v>
      </c>
      <c r="G214" s="34" t="s">
        <v>29</v>
      </c>
      <c r="H214" s="31">
        <f>((SQRT(J210))/F221)*100</f>
        <v>7.2112936328004933</v>
      </c>
      <c r="O214" s="33">
        <v>8</v>
      </c>
      <c r="P214" s="99">
        <f t="shared" si="72"/>
        <v>0.19416666666666665</v>
      </c>
      <c r="Q214" s="75">
        <f t="shared" si="73"/>
        <v>4</v>
      </c>
      <c r="R214" s="51">
        <v>4</v>
      </c>
    </row>
    <row r="215" spans="1:18" x14ac:dyDescent="0.25">
      <c r="A215" s="32" t="s">
        <v>98</v>
      </c>
      <c r="B215" s="72">
        <v>0.17299999999999999</v>
      </c>
      <c r="C215" s="72">
        <v>0.18</v>
      </c>
      <c r="D215" s="72">
        <v>0.18299999999999997</v>
      </c>
      <c r="E215" s="99">
        <f t="shared" si="68"/>
        <v>0.53599999999999992</v>
      </c>
      <c r="F215" s="99">
        <f t="shared" si="69"/>
        <v>0.17866666666666664</v>
      </c>
      <c r="O215" s="33">
        <v>9</v>
      </c>
      <c r="P215" s="99">
        <f t="shared" si="72"/>
        <v>0.17633333333333334</v>
      </c>
      <c r="Q215" s="75">
        <f t="shared" si="73"/>
        <v>8</v>
      </c>
      <c r="R215" s="52">
        <v>8</v>
      </c>
    </row>
    <row r="216" spans="1:18" x14ac:dyDescent="0.25">
      <c r="A216" s="32" t="s">
        <v>99</v>
      </c>
      <c r="B216" s="72">
        <v>0.185</v>
      </c>
      <c r="C216" s="72">
        <v>0.17699999999999999</v>
      </c>
      <c r="D216" s="72">
        <v>0.18973199999999993</v>
      </c>
      <c r="E216" s="99">
        <f t="shared" si="68"/>
        <v>0.55173199999999989</v>
      </c>
      <c r="F216" s="99">
        <f t="shared" si="69"/>
        <v>0.18391066666666664</v>
      </c>
      <c r="O216" s="30" t="s">
        <v>14</v>
      </c>
      <c r="P216" s="99">
        <f>SQRT(J210/(3*2))</f>
        <v>5.4080420046345862E-3</v>
      </c>
      <c r="Q216" s="49"/>
    </row>
    <row r="217" spans="1:18" x14ac:dyDescent="0.25">
      <c r="A217" s="32" t="s">
        <v>100</v>
      </c>
      <c r="B217" s="72">
        <v>0.20299999999999999</v>
      </c>
      <c r="C217" s="72">
        <v>0.18275599999999995</v>
      </c>
      <c r="D217" s="72">
        <v>0.23300000000000001</v>
      </c>
      <c r="E217" s="99">
        <f t="shared" si="68"/>
        <v>0.61875599999999997</v>
      </c>
      <c r="F217" s="99">
        <f t="shared" si="69"/>
        <v>0.20625199999999999</v>
      </c>
      <c r="G217" s="59"/>
      <c r="H217" s="78"/>
      <c r="I217" s="78"/>
      <c r="J217" s="78"/>
      <c r="K217" s="78"/>
      <c r="N217" s="30" t="s">
        <v>109</v>
      </c>
      <c r="O217" s="30" t="s">
        <v>16</v>
      </c>
      <c r="P217" s="99">
        <f>SQRT((2*J210)/(3*2))*L211</f>
        <v>1.5542862778993412E-2</v>
      </c>
      <c r="Q217" s="49"/>
    </row>
    <row r="218" spans="1:18" x14ac:dyDescent="0.25">
      <c r="A218" s="32" t="s">
        <v>101</v>
      </c>
      <c r="B218" s="72">
        <v>0.17299999999999996</v>
      </c>
      <c r="C218" s="72">
        <v>0.16299999999999995</v>
      </c>
      <c r="D218" s="72">
        <v>0.223</v>
      </c>
      <c r="E218" s="99">
        <f t="shared" si="68"/>
        <v>0.55899999999999994</v>
      </c>
      <c r="F218" s="99">
        <f>E218/3</f>
        <v>0.18633333333333332</v>
      </c>
      <c r="G218" s="59"/>
      <c r="H218" s="78"/>
      <c r="I218" s="78"/>
      <c r="J218" s="78"/>
      <c r="K218" s="78"/>
      <c r="Q218" s="49"/>
    </row>
    <row r="219" spans="1:18" x14ac:dyDescent="0.25">
      <c r="A219" s="32" t="s">
        <v>102</v>
      </c>
      <c r="B219" s="72">
        <v>0.16299999999999995</v>
      </c>
      <c r="C219" s="72">
        <v>0.18299999999999997</v>
      </c>
      <c r="D219" s="72">
        <v>0.17299999999999996</v>
      </c>
      <c r="E219" s="99">
        <f t="shared" si="68"/>
        <v>0.51899999999999991</v>
      </c>
      <c r="F219" s="99">
        <f t="shared" ref="F219:F220" si="75">E219/3</f>
        <v>0.17299999999999996</v>
      </c>
      <c r="G219" s="59"/>
      <c r="H219" s="78"/>
      <c r="I219" s="78"/>
      <c r="J219" s="78"/>
      <c r="K219" s="78"/>
    </row>
    <row r="220" spans="1:18" x14ac:dyDescent="0.25">
      <c r="A220" s="32" t="s">
        <v>103</v>
      </c>
      <c r="B220" s="72">
        <v>0.16299999999999995</v>
      </c>
      <c r="C220" s="72">
        <v>0.14299999999999999</v>
      </c>
      <c r="D220" s="72">
        <v>0.153</v>
      </c>
      <c r="E220" s="99">
        <f t="shared" si="68"/>
        <v>0.45899999999999996</v>
      </c>
      <c r="F220" s="99">
        <f t="shared" si="75"/>
        <v>0.153</v>
      </c>
      <c r="G220" s="59"/>
      <c r="H220" s="78"/>
      <c r="I220" s="78"/>
      <c r="J220" s="78"/>
      <c r="K220" s="78"/>
    </row>
    <row r="221" spans="1:18" x14ac:dyDescent="0.25">
      <c r="A221" s="30" t="s">
        <v>4</v>
      </c>
      <c r="B221" s="31">
        <f>SUM(B203:B220)</f>
        <v>3.2061479999999993</v>
      </c>
      <c r="C221" s="31">
        <f t="shared" ref="C221:D221" si="76">SUM(C203:C220)</f>
        <v>3.2278639999999994</v>
      </c>
      <c r="D221" s="31">
        <f t="shared" si="76"/>
        <v>3.4856359999999991</v>
      </c>
      <c r="E221" s="31">
        <f>SUM(E203:E220)</f>
        <v>9.9196479999999969</v>
      </c>
      <c r="F221" s="31">
        <f>AVERAGE(B203:D220)</f>
        <v>0.18369718518518527</v>
      </c>
      <c r="G221" s="59"/>
      <c r="H221" s="78"/>
      <c r="I221" s="78"/>
      <c r="J221" s="78"/>
      <c r="K221" s="78"/>
    </row>
    <row r="222" spans="1:18" x14ac:dyDescent="0.25">
      <c r="A222" s="30" t="s">
        <v>5</v>
      </c>
      <c r="B222" s="31">
        <f>B221/18</f>
        <v>0.1781193333333333</v>
      </c>
      <c r="C222" s="31">
        <f>C221/18</f>
        <v>0.17932577777777775</v>
      </c>
      <c r="D222" s="31">
        <f>D221/18</f>
        <v>0.1936464444444444</v>
      </c>
      <c r="G222" s="59"/>
      <c r="H222" s="78"/>
      <c r="I222" s="78"/>
      <c r="J222" s="78"/>
      <c r="K222" s="78"/>
    </row>
    <row r="223" spans="1:18" x14ac:dyDescent="0.25">
      <c r="A223" s="30" t="s">
        <v>26</v>
      </c>
      <c r="B223" s="31">
        <f>(E221*E221)/54</f>
        <v>1.8222114156278508</v>
      </c>
      <c r="C223" s="31"/>
      <c r="D223" s="31"/>
      <c r="G223" s="59"/>
      <c r="H223" s="78"/>
      <c r="I223" s="78"/>
      <c r="J223" s="78"/>
      <c r="K223" s="78"/>
    </row>
    <row r="224" spans="1:18" x14ac:dyDescent="0.25">
      <c r="A224" s="30" t="s">
        <v>27</v>
      </c>
      <c r="B224" s="31">
        <f>SUMSQ(B203:D220)-B223</f>
        <v>6.5235209908149239E-2</v>
      </c>
      <c r="C224" s="30" t="s">
        <v>28</v>
      </c>
      <c r="D224" s="31">
        <f>(SUMSQ(B221:D221)/18)-B223</f>
        <v>2.6857690885928598E-3</v>
      </c>
      <c r="G224" s="59"/>
      <c r="H224" s="78"/>
      <c r="I224" s="78"/>
      <c r="J224" s="78"/>
      <c r="K224" s="78"/>
    </row>
    <row r="225" spans="1:19" x14ac:dyDescent="0.25">
      <c r="A225" s="30" t="s">
        <v>30</v>
      </c>
      <c r="B225" s="31">
        <f>(SUMSQ(E203:E220)/3)-B223</f>
        <v>5.6583069481482395E-2</v>
      </c>
      <c r="C225" s="30" t="s">
        <v>31</v>
      </c>
      <c r="D225" s="31">
        <f>B224-B225-D224</f>
        <v>5.9663713380739836E-3</v>
      </c>
      <c r="G225" s="59"/>
      <c r="H225" s="78"/>
      <c r="I225" s="78"/>
      <c r="J225" s="78"/>
      <c r="K225" s="78"/>
    </row>
    <row r="226" spans="1:19" x14ac:dyDescent="0.25">
      <c r="I226" s="78"/>
      <c r="J226" s="78"/>
      <c r="K226" s="78"/>
    </row>
    <row r="227" spans="1:19" x14ac:dyDescent="0.25">
      <c r="I227" s="78"/>
      <c r="J227" s="78"/>
      <c r="K227" s="78"/>
    </row>
    <row r="228" spans="1:19" x14ac:dyDescent="0.25">
      <c r="I228" s="78"/>
      <c r="J228" s="78"/>
      <c r="K228" s="78"/>
    </row>
    <row r="229" spans="1:19" ht="15.75" x14ac:dyDescent="0.25">
      <c r="C229" s="56" t="s">
        <v>122</v>
      </c>
      <c r="I229" s="78"/>
      <c r="J229" s="78"/>
      <c r="K229" s="78"/>
    </row>
    <row r="230" spans="1:19" x14ac:dyDescent="0.25">
      <c r="C230" s="48" t="s">
        <v>116</v>
      </c>
      <c r="I230" s="78"/>
      <c r="J230" s="78"/>
      <c r="K230" s="78"/>
    </row>
    <row r="231" spans="1:19" x14ac:dyDescent="0.25">
      <c r="A231" s="36" t="s">
        <v>104</v>
      </c>
      <c r="B231" s="38">
        <v>2</v>
      </c>
      <c r="C231" s="39"/>
      <c r="D231" s="39"/>
      <c r="E231" s="39"/>
      <c r="F231" s="39"/>
      <c r="G231" s="39"/>
      <c r="H231" s="39"/>
      <c r="I231" s="78"/>
      <c r="J231" s="78"/>
      <c r="K231" s="78"/>
      <c r="L231" s="39"/>
      <c r="M231" s="35"/>
      <c r="N231" s="35"/>
      <c r="O231" s="39"/>
      <c r="P231" s="39"/>
    </row>
    <row r="232" spans="1:19" x14ac:dyDescent="0.25">
      <c r="A232" s="36" t="s">
        <v>105</v>
      </c>
      <c r="B232" s="38">
        <v>9</v>
      </c>
      <c r="C232" s="39" t="s">
        <v>107</v>
      </c>
      <c r="D232" s="39">
        <v>18</v>
      </c>
      <c r="E232" s="39"/>
      <c r="F232" s="39"/>
      <c r="G232" s="39"/>
      <c r="H232" s="39"/>
      <c r="I232" s="78"/>
      <c r="J232" s="78"/>
      <c r="K232" s="78"/>
      <c r="L232" s="39"/>
      <c r="M232" s="35"/>
      <c r="N232" s="35"/>
      <c r="O232" s="39"/>
      <c r="P232" s="39"/>
    </row>
    <row r="233" spans="1:19" x14ac:dyDescent="0.25">
      <c r="A233" s="37" t="s">
        <v>106</v>
      </c>
      <c r="B233" s="40">
        <v>3</v>
      </c>
      <c r="I233" s="78"/>
      <c r="J233" s="78"/>
      <c r="K233" s="78"/>
    </row>
    <row r="234" spans="1:19" x14ac:dyDescent="0.25">
      <c r="A234" s="46" t="s">
        <v>0</v>
      </c>
      <c r="B234" s="30" t="s">
        <v>1</v>
      </c>
      <c r="C234" s="30" t="s">
        <v>2</v>
      </c>
      <c r="D234" s="30" t="s">
        <v>3</v>
      </c>
      <c r="E234" s="30" t="s">
        <v>4</v>
      </c>
      <c r="F234" s="30" t="s">
        <v>5</v>
      </c>
      <c r="I234" s="78"/>
      <c r="J234" s="78"/>
      <c r="K234" s="78"/>
      <c r="O234" s="41" t="s">
        <v>7</v>
      </c>
      <c r="R234" s="41"/>
      <c r="S234" s="41"/>
    </row>
    <row r="235" spans="1:19" x14ac:dyDescent="0.25">
      <c r="A235" s="32" t="s">
        <v>86</v>
      </c>
      <c r="B235" s="57">
        <f>DATA!AM56</f>
        <v>8.48</v>
      </c>
      <c r="C235" s="57">
        <f>DATA!AN56</f>
        <v>5.886000000000001</v>
      </c>
      <c r="D235" s="57">
        <f>DATA!AO56</f>
        <v>6.8324000000000007</v>
      </c>
      <c r="E235" s="31">
        <f>SUM(B235:D235)</f>
        <v>21.198400000000003</v>
      </c>
      <c r="F235" s="31">
        <f>E235/3</f>
        <v>7.066133333333334</v>
      </c>
      <c r="H235" s="47"/>
      <c r="I235" s="47"/>
      <c r="J235" s="47" t="s">
        <v>6</v>
      </c>
      <c r="K235" s="47"/>
      <c r="L235" s="47"/>
      <c r="M235" s="47"/>
      <c r="N235" s="47"/>
      <c r="O235" s="33">
        <v>1</v>
      </c>
      <c r="P235" s="42">
        <f>SUM(F235:F243)/9</f>
        <v>15.470957617777778</v>
      </c>
      <c r="Q235" s="49">
        <f>RANK(P235,P$235:P$236,0)</f>
        <v>1</v>
      </c>
      <c r="R235" s="41"/>
      <c r="S235" s="41"/>
    </row>
    <row r="236" spans="1:19" x14ac:dyDescent="0.25">
      <c r="A236" s="32" t="s">
        <v>87</v>
      </c>
      <c r="B236" s="57">
        <f>DATA!AM57</f>
        <v>14.128774879999996</v>
      </c>
      <c r="C236" s="57">
        <f>DATA!AN57</f>
        <v>17.440000000000001</v>
      </c>
      <c r="D236" s="57">
        <f>DATA!AO57</f>
        <v>17.609005999999994</v>
      </c>
      <c r="E236" s="31">
        <f t="shared" ref="E236:E252" si="77">SUM(B236:D236)</f>
        <v>49.177780879999993</v>
      </c>
      <c r="F236" s="31">
        <f t="shared" ref="F236:F249" si="78">E236/3</f>
        <v>16.392593626666663</v>
      </c>
      <c r="G236" s="31"/>
      <c r="H236" s="30" t="s">
        <v>8</v>
      </c>
      <c r="I236" s="30" t="s">
        <v>9</v>
      </c>
      <c r="J236" s="30" t="s">
        <v>10</v>
      </c>
      <c r="K236" s="30" t="s">
        <v>11</v>
      </c>
      <c r="L236" s="30" t="s">
        <v>12</v>
      </c>
      <c r="M236" s="30" t="s">
        <v>112</v>
      </c>
      <c r="N236" s="50"/>
      <c r="O236" s="33">
        <v>2</v>
      </c>
      <c r="P236" s="42">
        <f>SUM(F244:F252)/9</f>
        <v>13.866765111111109</v>
      </c>
      <c r="Q236" s="49">
        <f>RANK(P236,P$235:P$236,0)</f>
        <v>2</v>
      </c>
      <c r="R236" s="41"/>
      <c r="S236" s="41"/>
    </row>
    <row r="237" spans="1:19" x14ac:dyDescent="0.25">
      <c r="A237" s="32" t="s">
        <v>88</v>
      </c>
      <c r="B237" s="57">
        <f>DATA!AM58</f>
        <v>18.315000000000001</v>
      </c>
      <c r="C237" s="57">
        <f>DATA!AN58</f>
        <v>16.523999999999997</v>
      </c>
      <c r="D237" s="57">
        <f>DATA!AO58</f>
        <v>17.204999999999998</v>
      </c>
      <c r="E237" s="31">
        <f t="shared" si="77"/>
        <v>52.043999999999997</v>
      </c>
      <c r="F237" s="31">
        <f t="shared" si="78"/>
        <v>17.347999999999999</v>
      </c>
      <c r="G237" s="31" t="s">
        <v>13</v>
      </c>
      <c r="H237" s="31">
        <f>B233-1</f>
        <v>2</v>
      </c>
      <c r="I237" s="31">
        <f>D256</f>
        <v>0.26284795616993506</v>
      </c>
      <c r="J237" s="31">
        <f>I237/H237</f>
        <v>0.13142397808496753</v>
      </c>
      <c r="K237" s="31">
        <f>J237/$J$16</f>
        <v>144.54236265469549</v>
      </c>
      <c r="L237" s="31">
        <f>FINV(0.05,H237,$H$16)</f>
        <v>3.275897990672394</v>
      </c>
      <c r="M237" s="31" t="str">
        <f>IF(K237&gt;=L237, "S", "NS")</f>
        <v>S</v>
      </c>
      <c r="N237" s="39"/>
      <c r="O237" s="30" t="s">
        <v>14</v>
      </c>
      <c r="P237" s="42">
        <f>SQRT(J242/(3*9))</f>
        <v>0.24752465212838298</v>
      </c>
      <c r="R237" s="41"/>
      <c r="S237" s="41"/>
    </row>
    <row r="238" spans="1:19" x14ac:dyDescent="0.25">
      <c r="A238" s="32" t="s">
        <v>89</v>
      </c>
      <c r="B238" s="57">
        <f>DATA!AM59</f>
        <v>13.463999999999999</v>
      </c>
      <c r="C238" s="57">
        <f>DATA!AN59</f>
        <v>13.614999999999998</v>
      </c>
      <c r="D238" s="57">
        <f>DATA!AO59</f>
        <v>13.616</v>
      </c>
      <c r="E238" s="31">
        <f t="shared" si="77"/>
        <v>40.694999999999993</v>
      </c>
      <c r="F238" s="31">
        <f t="shared" si="78"/>
        <v>13.564999999999998</v>
      </c>
      <c r="G238" s="31" t="s">
        <v>15</v>
      </c>
      <c r="H238" s="31">
        <f>D232-1</f>
        <v>17</v>
      </c>
      <c r="I238" s="31">
        <f>B257</f>
        <v>742.49586561139949</v>
      </c>
      <c r="J238" s="31">
        <f t="shared" ref="J238:J242" si="79">I238/H238</f>
        <v>43.676227388905851</v>
      </c>
      <c r="K238" s="31">
        <f>J238/$J$16</f>
        <v>48035.869790478304</v>
      </c>
      <c r="L238" s="31">
        <f>FINV(0.05,H238,$H$16)</f>
        <v>1.9332068318040869</v>
      </c>
      <c r="M238" s="43" t="str">
        <f t="shared" ref="M238" si="80">IF(K238&gt;=L238, "S", "NS")</f>
        <v>S</v>
      </c>
      <c r="N238" s="30" t="s">
        <v>113</v>
      </c>
      <c r="O238" s="30" t="s">
        <v>16</v>
      </c>
      <c r="P238" s="42">
        <f>SQRT((2*J242)/(3*9))*L243</f>
        <v>0.71139271831700368</v>
      </c>
      <c r="R238" s="41"/>
      <c r="S238" s="41"/>
    </row>
    <row r="239" spans="1:19" x14ac:dyDescent="0.25">
      <c r="A239" s="32" t="s">
        <v>90</v>
      </c>
      <c r="B239" s="57">
        <f>DATA!AM60</f>
        <v>18.017447999999998</v>
      </c>
      <c r="C239" s="57">
        <f>DATA!AN60</f>
        <v>19.9783884</v>
      </c>
      <c r="D239" s="57">
        <f>DATA!AO60</f>
        <v>18.7758912</v>
      </c>
      <c r="E239" s="31">
        <f t="shared" si="77"/>
        <v>56.771727600000006</v>
      </c>
      <c r="F239" s="31">
        <f t="shared" si="78"/>
        <v>18.923909200000001</v>
      </c>
      <c r="G239" s="31" t="s">
        <v>108</v>
      </c>
      <c r="H239" s="31">
        <f>B231-1</f>
        <v>1</v>
      </c>
      <c r="I239" s="31">
        <f>(SUM(E235:E243)^2+SUM(E244:E252)^2)/27-B255</f>
        <v>34.741353579014685</v>
      </c>
      <c r="J239" s="31">
        <f t="shared" si="79"/>
        <v>34.741353579014685</v>
      </c>
      <c r="K239" s="31">
        <f>J239/$J$16</f>
        <v>38209.141142314285</v>
      </c>
      <c r="L239" s="31">
        <f>FINV(0.05,H239,$H$16)</f>
        <v>4.1300177456520188</v>
      </c>
      <c r="M239" s="31" t="str">
        <f>IF(K239&gt;=L239, "S", "NS")</f>
        <v>S</v>
      </c>
      <c r="N239" s="39"/>
      <c r="O239" s="33">
        <v>1</v>
      </c>
      <c r="P239" s="42">
        <f>(F235+F244)/2</f>
        <v>6.4800666666666675</v>
      </c>
      <c r="Q239" s="49">
        <f>RANK(P239,P$239:P$247,0)</f>
        <v>9</v>
      </c>
      <c r="R239" s="51">
        <v>9</v>
      </c>
      <c r="S239" s="41"/>
    </row>
    <row r="240" spans="1:19" x14ac:dyDescent="0.25">
      <c r="A240" s="32" t="s">
        <v>91</v>
      </c>
      <c r="B240" s="57">
        <f>DATA!AM61</f>
        <v>20.514000000000003</v>
      </c>
      <c r="C240" s="57">
        <f>DATA!AN61</f>
        <v>19.303999999999998</v>
      </c>
      <c r="D240" s="57">
        <f>DATA!AO61</f>
        <v>20.048999999999999</v>
      </c>
      <c r="E240" s="31">
        <f t="shared" si="77"/>
        <v>59.866999999999997</v>
      </c>
      <c r="F240" s="31">
        <f t="shared" si="78"/>
        <v>19.955666666666666</v>
      </c>
      <c r="G240" s="31" t="s">
        <v>109</v>
      </c>
      <c r="H240" s="31">
        <f>B232-1</f>
        <v>8</v>
      </c>
      <c r="I240" s="31">
        <f>((E235+E244)^2+(E236+E245)^2+(E237+E246)^2+(E238+E247)^2+(E239+E248)^2+(E240+E249)^2+(E241+E250)^2+(E242+E251)^2+(E243+E252)^2/6)-B255</f>
        <v>57228.503617218834</v>
      </c>
      <c r="J240" s="31">
        <f t="shared" si="79"/>
        <v>7153.5629521523542</v>
      </c>
      <c r="K240" s="31">
        <f>J240/$J$16</f>
        <v>7867612.1783097163</v>
      </c>
      <c r="L240" s="31">
        <f>FINV(0.05,H240,$H$16)</f>
        <v>2.2253399674380931</v>
      </c>
      <c r="M240" s="31" t="str">
        <f>IF(K240&gt;=L240, "S", "NS")</f>
        <v>S</v>
      </c>
      <c r="N240" s="39"/>
      <c r="O240" s="33">
        <v>2</v>
      </c>
      <c r="P240" s="42">
        <f t="shared" ref="P240:P247" si="81">(F236+F245)/2</f>
        <v>14.737463479999999</v>
      </c>
      <c r="Q240" s="49">
        <f t="shared" ref="Q240:Q247" si="82">RANK(P240,P$239:P$247,0)</f>
        <v>5</v>
      </c>
      <c r="R240" s="52">
        <v>5</v>
      </c>
      <c r="S240" s="41"/>
    </row>
    <row r="241" spans="1:19" x14ac:dyDescent="0.25">
      <c r="A241" s="32" t="s">
        <v>92</v>
      </c>
      <c r="B241" s="57">
        <f>DATA!AM62</f>
        <v>15.050290399999996</v>
      </c>
      <c r="C241" s="57">
        <f>DATA!AN62</f>
        <v>13.873055199999998</v>
      </c>
      <c r="D241" s="57">
        <f>DATA!AO62</f>
        <v>15.428601599999997</v>
      </c>
      <c r="E241" s="31">
        <f t="shared" si="77"/>
        <v>44.351947199999991</v>
      </c>
      <c r="F241" s="31">
        <f t="shared" si="78"/>
        <v>14.783982399999998</v>
      </c>
      <c r="G241" s="26" t="s">
        <v>110</v>
      </c>
      <c r="H241" s="31">
        <f>H239*H240</f>
        <v>8</v>
      </c>
      <c r="I241" s="31">
        <f>I238-(I239+I240)</f>
        <v>-56520.749105186449</v>
      </c>
      <c r="J241" s="31">
        <f t="shared" si="79"/>
        <v>-7065.0936381483061</v>
      </c>
      <c r="K241" s="44">
        <f>J241/$J$16</f>
        <v>-7770312.0976477386</v>
      </c>
      <c r="L241" s="31">
        <f>FINV(0.05,H241,$H$16)</f>
        <v>2.2253399674380931</v>
      </c>
      <c r="M241" s="31" t="str">
        <f t="shared" ref="M241" si="83">IF(K241&gt;=L241, "S", "NS")</f>
        <v>NS</v>
      </c>
      <c r="N241" s="39"/>
      <c r="O241" s="33">
        <v>3</v>
      </c>
      <c r="P241" s="42">
        <f t="shared" si="81"/>
        <v>18.187333333333335</v>
      </c>
      <c r="Q241" s="49">
        <f t="shared" si="82"/>
        <v>2</v>
      </c>
      <c r="R241" s="52">
        <v>2</v>
      </c>
      <c r="S241" s="41"/>
    </row>
    <row r="242" spans="1:19" x14ac:dyDescent="0.25">
      <c r="A242" s="32" t="s">
        <v>93</v>
      </c>
      <c r="B242" s="57">
        <f>DATA!AM63</f>
        <v>17.394000000000002</v>
      </c>
      <c r="C242" s="57">
        <f>DATA!AN63</f>
        <v>17.52</v>
      </c>
      <c r="D242" s="57">
        <f>DATA!AO63</f>
        <v>16.692</v>
      </c>
      <c r="E242" s="31">
        <f t="shared" si="77"/>
        <v>51.606000000000002</v>
      </c>
      <c r="F242" s="31">
        <f t="shared" si="78"/>
        <v>17.202000000000002</v>
      </c>
      <c r="G242" s="45" t="s">
        <v>23</v>
      </c>
      <c r="H242" s="31">
        <f>((B233-1)*(B231*B232-1))</f>
        <v>34</v>
      </c>
      <c r="I242" s="31">
        <f>D257</f>
        <v>56.244440231552289</v>
      </c>
      <c r="J242" s="31">
        <f t="shared" si="79"/>
        <v>1.6542482421044791</v>
      </c>
      <c r="O242" s="33">
        <v>4</v>
      </c>
      <c r="P242" s="42">
        <f t="shared" si="81"/>
        <v>13.358499999999999</v>
      </c>
      <c r="Q242" s="49">
        <f t="shared" si="82"/>
        <v>7</v>
      </c>
      <c r="R242" s="52">
        <v>7</v>
      </c>
      <c r="S242" s="41"/>
    </row>
    <row r="243" spans="1:19" x14ac:dyDescent="0.25">
      <c r="A243" s="32" t="s">
        <v>94</v>
      </c>
      <c r="B243" s="57">
        <f>DATA!AM64</f>
        <v>14.219999999999999</v>
      </c>
      <c r="C243" s="57">
        <f>DATA!AN64</f>
        <v>13.983999999999998</v>
      </c>
      <c r="D243" s="57">
        <f>DATA!AO64</f>
        <v>13.8</v>
      </c>
      <c r="E243" s="31">
        <f t="shared" si="77"/>
        <v>42.003999999999998</v>
      </c>
      <c r="F243" s="31">
        <f t="shared" si="78"/>
        <v>14.001333333333333</v>
      </c>
      <c r="G243" s="44" t="s">
        <v>4</v>
      </c>
      <c r="H243" s="31">
        <f>SUM(H237:H242)-H238</f>
        <v>53</v>
      </c>
      <c r="I243" s="31">
        <f>B256</f>
        <v>799.00315379912172</v>
      </c>
      <c r="K243" s="31" t="s">
        <v>111</v>
      </c>
      <c r="L243" s="41">
        <f>TINV(0.05,34)</f>
        <v>2.0322445093177191</v>
      </c>
      <c r="O243" s="33">
        <v>5</v>
      </c>
      <c r="P243" s="42">
        <f t="shared" si="81"/>
        <v>16.955573266666665</v>
      </c>
      <c r="Q243" s="49">
        <f t="shared" si="82"/>
        <v>3</v>
      </c>
      <c r="R243" s="51">
        <v>3</v>
      </c>
    </row>
    <row r="244" spans="1:19" x14ac:dyDescent="0.25">
      <c r="A244" s="32" t="s">
        <v>95</v>
      </c>
      <c r="B244" s="57">
        <f>DATA!AM65</f>
        <v>7.8390000000000004</v>
      </c>
      <c r="C244" s="57">
        <f>DATA!AN65</f>
        <v>7.4579999999999993</v>
      </c>
      <c r="D244" s="57">
        <f>DATA!AO65</f>
        <v>2.3849999999999998</v>
      </c>
      <c r="E244" s="31">
        <f t="shared" si="77"/>
        <v>17.682000000000002</v>
      </c>
      <c r="F244" s="31">
        <f t="shared" si="78"/>
        <v>5.894000000000001</v>
      </c>
      <c r="G244" s="34" t="s">
        <v>14</v>
      </c>
      <c r="H244" s="31">
        <f>SQRT(J242/3)</f>
        <v>0.74257395638514889</v>
      </c>
      <c r="O244" s="33">
        <v>6</v>
      </c>
      <c r="P244" s="42">
        <f t="shared" si="81"/>
        <v>19.212324333333335</v>
      </c>
      <c r="Q244" s="49">
        <f t="shared" si="82"/>
        <v>1</v>
      </c>
      <c r="R244" s="52">
        <v>1</v>
      </c>
    </row>
    <row r="245" spans="1:19" x14ac:dyDescent="0.25">
      <c r="A245" s="32" t="s">
        <v>96</v>
      </c>
      <c r="B245" s="57">
        <f>DATA!AM66</f>
        <v>13.531999999999998</v>
      </c>
      <c r="C245" s="57">
        <f>DATA!AN66</f>
        <v>12.285</v>
      </c>
      <c r="D245" s="57">
        <f>DATA!AO66</f>
        <v>13.429999999999998</v>
      </c>
      <c r="E245" s="31">
        <f t="shared" si="77"/>
        <v>39.247</v>
      </c>
      <c r="F245" s="31">
        <f t="shared" si="78"/>
        <v>13.082333333333333</v>
      </c>
      <c r="G245" s="34" t="s">
        <v>16</v>
      </c>
      <c r="H245" s="31">
        <f>(SQRT((2*J242)/3))*L243</f>
        <v>2.134178154951011</v>
      </c>
      <c r="O245" s="33">
        <v>7</v>
      </c>
      <c r="P245" s="42">
        <f t="shared" si="81"/>
        <v>14.359991199999998</v>
      </c>
      <c r="Q245" s="49">
        <f t="shared" si="82"/>
        <v>6</v>
      </c>
      <c r="R245" s="52">
        <v>6</v>
      </c>
    </row>
    <row r="246" spans="1:19" x14ac:dyDescent="0.25">
      <c r="A246" s="32" t="s">
        <v>97</v>
      </c>
      <c r="B246" s="57">
        <f>DATA!AM67</f>
        <v>19.580000000000002</v>
      </c>
      <c r="C246" s="57">
        <f>DATA!AN67</f>
        <v>18.809999999999999</v>
      </c>
      <c r="D246" s="57">
        <f>DATA!AO67</f>
        <v>18.690000000000001</v>
      </c>
      <c r="E246" s="31">
        <f t="shared" si="77"/>
        <v>57.08</v>
      </c>
      <c r="F246" s="31">
        <f t="shared" si="78"/>
        <v>19.026666666666667</v>
      </c>
      <c r="G246" s="34" t="s">
        <v>29</v>
      </c>
      <c r="H246" s="31">
        <f>((SQRT(J242))/F253)*100</f>
        <v>8.7680685561188074</v>
      </c>
      <c r="O246" s="33">
        <v>8</v>
      </c>
      <c r="P246" s="42">
        <f t="shared" si="81"/>
        <v>15.935499999999999</v>
      </c>
      <c r="Q246" s="49">
        <f t="shared" si="82"/>
        <v>4</v>
      </c>
      <c r="R246" s="51">
        <v>4</v>
      </c>
    </row>
    <row r="247" spans="1:19" x14ac:dyDescent="0.25">
      <c r="A247" s="32" t="s">
        <v>98</v>
      </c>
      <c r="B247" s="57">
        <f>DATA!AM68</f>
        <v>14.591999999999999</v>
      </c>
      <c r="C247" s="57">
        <f>DATA!AN68</f>
        <v>12.473999999999998</v>
      </c>
      <c r="D247" s="57">
        <f>DATA!AO68</f>
        <v>12.389999999999999</v>
      </c>
      <c r="E247" s="31">
        <f t="shared" si="77"/>
        <v>39.455999999999996</v>
      </c>
      <c r="F247" s="31">
        <f t="shared" si="78"/>
        <v>13.151999999999999</v>
      </c>
      <c r="O247" s="33">
        <v>9</v>
      </c>
      <c r="P247" s="42">
        <f t="shared" si="81"/>
        <v>12.792999999999999</v>
      </c>
      <c r="Q247" s="49">
        <f t="shared" si="82"/>
        <v>8</v>
      </c>
      <c r="R247" s="52">
        <v>8</v>
      </c>
    </row>
    <row r="248" spans="1:19" x14ac:dyDescent="0.25">
      <c r="A248" s="32" t="s">
        <v>99</v>
      </c>
      <c r="B248" s="57">
        <f>DATA!AM69</f>
        <v>13.572599999999998</v>
      </c>
      <c r="C248" s="57">
        <f>DATA!AN69</f>
        <v>15.871269999999999</v>
      </c>
      <c r="D248" s="57">
        <f>DATA!AO69</f>
        <v>15.517841999999998</v>
      </c>
      <c r="E248" s="31">
        <f t="shared" si="77"/>
        <v>44.961711999999991</v>
      </c>
      <c r="F248" s="31">
        <f t="shared" si="78"/>
        <v>14.987237333333331</v>
      </c>
      <c r="O248" s="30" t="s">
        <v>14</v>
      </c>
      <c r="P248" s="42">
        <f>SQRT(J242/(3*2))</f>
        <v>0.5250790800924624</v>
      </c>
      <c r="Q248" s="49"/>
    </row>
    <row r="249" spans="1:19" x14ac:dyDescent="0.25">
      <c r="A249" s="32" t="s">
        <v>100</v>
      </c>
      <c r="B249" s="57">
        <f>DATA!AM70</f>
        <v>17.574999999999999</v>
      </c>
      <c r="C249" s="57">
        <f>DATA!AN70</f>
        <v>18.711945999999998</v>
      </c>
      <c r="D249" s="57">
        <f>DATA!AO70</f>
        <v>19.12</v>
      </c>
      <c r="E249" s="31">
        <f t="shared" si="77"/>
        <v>55.406946000000005</v>
      </c>
      <c r="F249" s="31">
        <f t="shared" si="78"/>
        <v>18.468982</v>
      </c>
      <c r="N249" s="30" t="s">
        <v>109</v>
      </c>
      <c r="O249" s="30" t="s">
        <v>16</v>
      </c>
      <c r="P249" s="42">
        <f>SQRT((2*J242)/(3*2))*L243</f>
        <v>1.5090918456260543</v>
      </c>
      <c r="Q249" s="49"/>
    </row>
    <row r="250" spans="1:19" x14ac:dyDescent="0.25">
      <c r="A250" s="32" t="s">
        <v>101</v>
      </c>
      <c r="B250" s="57">
        <f>DATA!AM71</f>
        <v>13.77</v>
      </c>
      <c r="C250" s="57">
        <f>DATA!AN71</f>
        <v>11.813999999999998</v>
      </c>
      <c r="D250" s="57">
        <f>DATA!AO71</f>
        <v>16.224</v>
      </c>
      <c r="E250" s="31">
        <f t="shared" si="77"/>
        <v>41.807999999999993</v>
      </c>
      <c r="F250" s="31">
        <f>E250/3</f>
        <v>13.935999999999998</v>
      </c>
      <c r="Q250" s="49"/>
    </row>
    <row r="251" spans="1:19" x14ac:dyDescent="0.25">
      <c r="A251" s="32" t="s">
        <v>102</v>
      </c>
      <c r="B251" s="57">
        <f>DATA!AM72</f>
        <v>13.694999999999999</v>
      </c>
      <c r="C251" s="57">
        <f>DATA!AN72</f>
        <v>14.91</v>
      </c>
      <c r="D251" s="57">
        <f>DATA!AO72</f>
        <v>15.401999999999997</v>
      </c>
      <c r="E251" s="31">
        <f t="shared" si="77"/>
        <v>44.006999999999991</v>
      </c>
      <c r="F251" s="31">
        <f t="shared" ref="F251:F252" si="84">E251/3</f>
        <v>14.668999999999997</v>
      </c>
    </row>
    <row r="252" spans="1:19" x14ac:dyDescent="0.25">
      <c r="A252" s="32" t="s">
        <v>103</v>
      </c>
      <c r="B252" s="57">
        <f>DATA!AM73</f>
        <v>11.747999999999999</v>
      </c>
      <c r="C252" s="57">
        <f>DATA!AN73</f>
        <v>11.966000000000001</v>
      </c>
      <c r="D252" s="57">
        <f>DATA!AO73</f>
        <v>11.040000000000001</v>
      </c>
      <c r="E252" s="31">
        <f t="shared" si="77"/>
        <v>34.753999999999998</v>
      </c>
      <c r="F252" s="31">
        <f t="shared" si="84"/>
        <v>11.584666666666665</v>
      </c>
    </row>
    <row r="253" spans="1:19" x14ac:dyDescent="0.25">
      <c r="A253" s="30" t="s">
        <v>4</v>
      </c>
      <c r="B253" s="31">
        <f>SUM(B235:B252)</f>
        <v>265.48711328000002</v>
      </c>
      <c r="C253" s="31">
        <f t="shared" ref="C253:D253" si="85">SUM(C235:C252)</f>
        <v>262.42465959999998</v>
      </c>
      <c r="D253" s="31">
        <f t="shared" si="85"/>
        <v>264.20674079999998</v>
      </c>
      <c r="E253" s="31">
        <f>SUM(E235:E252)</f>
        <v>792.11851367999998</v>
      </c>
      <c r="F253" s="31">
        <f>AVERAGE(B235:D252)</f>
        <v>14.668861364444444</v>
      </c>
    </row>
    <row r="254" spans="1:19" x14ac:dyDescent="0.25">
      <c r="A254" s="30" t="s">
        <v>5</v>
      </c>
      <c r="B254" s="31">
        <f>B253/18</f>
        <v>14.749284071111113</v>
      </c>
      <c r="C254" s="31">
        <f>C253/18</f>
        <v>14.579147755555555</v>
      </c>
      <c r="D254" s="31">
        <f>D253/18</f>
        <v>14.678152266666665</v>
      </c>
    </row>
    <row r="255" spans="1:19" x14ac:dyDescent="0.25">
      <c r="A255" s="30" t="s">
        <v>26</v>
      </c>
      <c r="B255" s="31">
        <f>(E253*E253)/54</f>
        <v>11619.47666138171</v>
      </c>
      <c r="C255" s="31"/>
      <c r="D255" s="31"/>
    </row>
    <row r="256" spans="1:19" x14ac:dyDescent="0.25">
      <c r="A256" s="30" t="s">
        <v>27</v>
      </c>
      <c r="B256" s="31">
        <f>SUMSQ(B235:D252)-B255</f>
        <v>799.00315379912172</v>
      </c>
      <c r="C256" s="30" t="s">
        <v>28</v>
      </c>
      <c r="D256" s="31">
        <f>(SUMSQ(B253:D253)/18)-B255</f>
        <v>0.26284795616993506</v>
      </c>
    </row>
    <row r="257" spans="1:18" x14ac:dyDescent="0.25">
      <c r="A257" s="30" t="s">
        <v>30</v>
      </c>
      <c r="B257" s="31">
        <f>(SUMSQ(E235:E252)/3)-B255</f>
        <v>742.49586561139949</v>
      </c>
      <c r="C257" s="30" t="s">
        <v>31</v>
      </c>
      <c r="D257" s="31">
        <f>B256-B257-D256</f>
        <v>56.244440231552289</v>
      </c>
    </row>
    <row r="261" spans="1:18" ht="15.75" x14ac:dyDescent="0.25">
      <c r="C261" s="56" t="s">
        <v>122</v>
      </c>
    </row>
    <row r="262" spans="1:18" ht="15.75" x14ac:dyDescent="0.25">
      <c r="C262" s="65" t="s">
        <v>117</v>
      </c>
    </row>
    <row r="263" spans="1:18" x14ac:dyDescent="0.25">
      <c r="A263" s="36" t="s">
        <v>104</v>
      </c>
      <c r="B263" s="38">
        <v>2</v>
      </c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5"/>
      <c r="N263" s="35"/>
      <c r="O263" s="39"/>
      <c r="P263" s="39"/>
    </row>
    <row r="264" spans="1:18" x14ac:dyDescent="0.25">
      <c r="A264" s="36" t="s">
        <v>105</v>
      </c>
      <c r="B264" s="38">
        <v>9</v>
      </c>
      <c r="C264" s="39" t="s">
        <v>107</v>
      </c>
      <c r="D264" s="39">
        <v>18</v>
      </c>
      <c r="E264" s="39"/>
      <c r="F264" s="39"/>
      <c r="G264" s="39"/>
      <c r="H264" s="39"/>
      <c r="I264" s="39"/>
      <c r="J264" s="39"/>
      <c r="K264" s="39"/>
      <c r="L264" s="39"/>
      <c r="M264" s="35"/>
      <c r="N264" s="35"/>
      <c r="O264" s="39"/>
      <c r="P264" s="39"/>
    </row>
    <row r="265" spans="1:18" x14ac:dyDescent="0.25">
      <c r="A265" s="37" t="s">
        <v>106</v>
      </c>
      <c r="B265" s="40">
        <v>3</v>
      </c>
    </row>
    <row r="266" spans="1:18" x14ac:dyDescent="0.25">
      <c r="A266" s="46" t="s">
        <v>0</v>
      </c>
      <c r="B266" s="30" t="s">
        <v>1</v>
      </c>
      <c r="C266" s="30" t="s">
        <v>2</v>
      </c>
      <c r="D266" s="30" t="s">
        <v>3</v>
      </c>
      <c r="E266" s="30" t="s">
        <v>4</v>
      </c>
      <c r="F266" s="30" t="s">
        <v>5</v>
      </c>
      <c r="O266" s="41" t="s">
        <v>7</v>
      </c>
      <c r="R266" s="41"/>
    </row>
    <row r="267" spans="1:18" x14ac:dyDescent="0.25">
      <c r="A267" s="32" t="s">
        <v>86</v>
      </c>
      <c r="B267" s="57">
        <f>DATA!AM80</f>
        <v>3.9984000000000006</v>
      </c>
      <c r="C267" s="57">
        <f>DATA!AN80</f>
        <v>4.5045000000000002</v>
      </c>
      <c r="D267" s="57">
        <f>DATA!AO80</f>
        <v>4.5154000000000005</v>
      </c>
      <c r="E267" s="31">
        <f>SUM(B267:D267)</f>
        <v>13.0183</v>
      </c>
      <c r="F267" s="31">
        <f>E267/3</f>
        <v>4.339433333333333</v>
      </c>
      <c r="H267" s="47"/>
      <c r="I267" s="47"/>
      <c r="J267" s="47" t="s">
        <v>6</v>
      </c>
      <c r="K267" s="47"/>
      <c r="L267" s="47"/>
      <c r="M267" s="47"/>
      <c r="N267" s="47"/>
      <c r="O267" s="33">
        <v>1</v>
      </c>
      <c r="P267" s="42">
        <f>SUM(F267:F275)/9</f>
        <v>12.73891465185185</v>
      </c>
      <c r="Q267" s="49">
        <f>RANK(P267,P$267:P$268,0)</f>
        <v>1</v>
      </c>
      <c r="R267" s="41"/>
    </row>
    <row r="268" spans="1:18" x14ac:dyDescent="0.25">
      <c r="A268" s="32" t="s">
        <v>87</v>
      </c>
      <c r="B268" s="57">
        <f>DATA!AM81</f>
        <v>12.379499999999998</v>
      </c>
      <c r="C268" s="57">
        <f>DATA!AN81</f>
        <v>14.230199999999998</v>
      </c>
      <c r="D268" s="57">
        <f>DATA!AO81</f>
        <v>13.831999999999999</v>
      </c>
      <c r="E268" s="31">
        <f t="shared" ref="E268:E284" si="86">SUM(B268:D268)</f>
        <v>40.441699999999997</v>
      </c>
      <c r="F268" s="31">
        <f t="shared" ref="F268:F281" si="87">E268/3</f>
        <v>13.480566666666666</v>
      </c>
      <c r="G268" s="31"/>
      <c r="H268" s="30" t="s">
        <v>8</v>
      </c>
      <c r="I268" s="30" t="s">
        <v>9</v>
      </c>
      <c r="J268" s="30" t="s">
        <v>10</v>
      </c>
      <c r="K268" s="30" t="s">
        <v>11</v>
      </c>
      <c r="L268" s="30" t="s">
        <v>12</v>
      </c>
      <c r="M268" s="30" t="s">
        <v>112</v>
      </c>
      <c r="N268" s="50"/>
      <c r="O268" s="33">
        <v>2</v>
      </c>
      <c r="P268" s="42">
        <f>SUM(F276:F284)/9</f>
        <v>10.938139037037036</v>
      </c>
      <c r="Q268" s="49">
        <f>RANK(P268,P$267:P$268,0)</f>
        <v>2</v>
      </c>
      <c r="R268" s="41"/>
    </row>
    <row r="269" spans="1:18" x14ac:dyDescent="0.25">
      <c r="A269" s="32" t="s">
        <v>88</v>
      </c>
      <c r="B269" s="57">
        <f>DATA!AM82</f>
        <v>15.362399999999999</v>
      </c>
      <c r="C269" s="57">
        <f>DATA!AN82</f>
        <v>14.503599999999999</v>
      </c>
      <c r="D269" s="57">
        <f>DATA!AO82</f>
        <v>17.8596</v>
      </c>
      <c r="E269" s="31">
        <f t="shared" si="86"/>
        <v>47.7256</v>
      </c>
      <c r="F269" s="31">
        <f t="shared" si="87"/>
        <v>15.908533333333333</v>
      </c>
      <c r="G269" s="31" t="s">
        <v>13</v>
      </c>
      <c r="H269" s="31">
        <f>B265-1</f>
        <v>2</v>
      </c>
      <c r="I269" s="31">
        <f>D288</f>
        <v>9.5432261497871878</v>
      </c>
      <c r="J269" s="31">
        <f>I269/H269</f>
        <v>4.7716130748935939</v>
      </c>
      <c r="K269" s="31">
        <f>J269/$J$16</f>
        <v>5247.902533229174</v>
      </c>
      <c r="L269" s="31">
        <f>FINV(0.05,H269,$H$16)</f>
        <v>3.275897990672394</v>
      </c>
      <c r="M269" s="31" t="str">
        <f>IF(K269&gt;=L269, "S", "NS")</f>
        <v>S</v>
      </c>
      <c r="N269" s="39"/>
      <c r="O269" s="30" t="s">
        <v>14</v>
      </c>
      <c r="P269" s="42">
        <f>SQRT(J274/(3*9))</f>
        <v>0.19191619264606039</v>
      </c>
      <c r="R269" s="41"/>
    </row>
    <row r="270" spans="1:18" x14ac:dyDescent="0.25">
      <c r="A270" s="32" t="s">
        <v>89</v>
      </c>
      <c r="B270" s="57">
        <f>DATA!AM83</f>
        <v>10.027799999999997</v>
      </c>
      <c r="C270" s="57">
        <f>DATA!AN83</f>
        <v>10.474799999999998</v>
      </c>
      <c r="D270" s="57">
        <f>DATA!AO83</f>
        <v>12.268799999999999</v>
      </c>
      <c r="E270" s="31">
        <f t="shared" si="86"/>
        <v>32.771399999999993</v>
      </c>
      <c r="F270" s="31">
        <f t="shared" si="87"/>
        <v>10.923799999999998</v>
      </c>
      <c r="G270" s="31" t="s">
        <v>15</v>
      </c>
      <c r="H270" s="31">
        <f>D264-1</f>
        <v>17</v>
      </c>
      <c r="I270" s="31">
        <f>B289</f>
        <v>569.46373692190446</v>
      </c>
      <c r="J270" s="31">
        <f t="shared" ref="J270:J274" si="88">I270/H270</f>
        <v>33.497866877759087</v>
      </c>
      <c r="K270" s="31">
        <f>J270/$J$16</f>
        <v>36841.532975614486</v>
      </c>
      <c r="L270" s="31">
        <f>FINV(0.05,H270,$H$16)</f>
        <v>1.9332068318040869</v>
      </c>
      <c r="M270" s="43" t="str">
        <f t="shared" ref="M270" si="89">IF(K270&gt;=L270, "S", "NS")</f>
        <v>S</v>
      </c>
      <c r="N270" s="30" t="s">
        <v>113</v>
      </c>
      <c r="O270" s="30" t="s">
        <v>16</v>
      </c>
      <c r="P270" s="42">
        <f>SQRT((2*J274)/(3*9))*L275</f>
        <v>0.55157246278935534</v>
      </c>
      <c r="R270" s="41"/>
    </row>
    <row r="271" spans="1:18" x14ac:dyDescent="0.25">
      <c r="A271" s="32" t="s">
        <v>90</v>
      </c>
      <c r="B271" s="57">
        <f>DATA!AM84</f>
        <v>14.391</v>
      </c>
      <c r="C271" s="57">
        <f>DATA!AN84</f>
        <v>15.502500000000001</v>
      </c>
      <c r="D271" s="57">
        <f>DATA!AO84</f>
        <v>15.848385599999997</v>
      </c>
      <c r="E271" s="31">
        <f t="shared" si="86"/>
        <v>45.741885600000003</v>
      </c>
      <c r="F271" s="31">
        <f t="shared" si="87"/>
        <v>15.247295200000002</v>
      </c>
      <c r="G271" s="31" t="s">
        <v>108</v>
      </c>
      <c r="H271" s="31">
        <f>B263-1</f>
        <v>1</v>
      </c>
      <c r="I271" s="31">
        <f>(SUM(E267:E275)^2+SUM(E276:E284)^2)/27-B287</f>
        <v>43.777703001304872</v>
      </c>
      <c r="J271" s="31">
        <f t="shared" si="88"/>
        <v>43.777703001304872</v>
      </c>
      <c r="K271" s="31">
        <f>J271/$J$16</f>
        <v>48147.474422918385</v>
      </c>
      <c r="L271" s="31">
        <f>FINV(0.05,H271,$H$16)</f>
        <v>4.1300177456520188</v>
      </c>
      <c r="M271" s="31" t="str">
        <f>IF(K271&gt;=L271, "S", "NS")</f>
        <v>S</v>
      </c>
      <c r="N271" s="39"/>
      <c r="O271" s="33">
        <v>1</v>
      </c>
      <c r="P271" s="42">
        <f>(F267+F276)/2</f>
        <v>4.1838499999999996</v>
      </c>
      <c r="Q271" s="49">
        <f>RANK(P271,P$271:P$279,0)</f>
        <v>9</v>
      </c>
      <c r="R271" s="51">
        <v>9</v>
      </c>
    </row>
    <row r="272" spans="1:18" x14ac:dyDescent="0.25">
      <c r="A272" s="32" t="s">
        <v>91</v>
      </c>
      <c r="B272" s="57">
        <f>DATA!AM85</f>
        <v>15.37</v>
      </c>
      <c r="C272" s="57">
        <f>DATA!AN85</f>
        <v>15.452999999999999</v>
      </c>
      <c r="D272" s="57">
        <f>DATA!AO85</f>
        <v>16.1936</v>
      </c>
      <c r="E272" s="31">
        <f t="shared" si="86"/>
        <v>47.016599999999997</v>
      </c>
      <c r="F272" s="31">
        <f t="shared" si="87"/>
        <v>15.672199999999998</v>
      </c>
      <c r="G272" s="31" t="s">
        <v>109</v>
      </c>
      <c r="H272" s="31">
        <f>B264-1</f>
        <v>8</v>
      </c>
      <c r="I272" s="31">
        <f>((E267+E276)^2+(E268+E277)^2+(E269+E278)^2+(E270+E279)^2+(E271+E280)^2+(E272+E281)^2+(E273+E282)^2+(E274+E283)^2+(E275+E284)^2/6)-B287</f>
        <v>37458.185406355638</v>
      </c>
      <c r="J272" s="31">
        <f t="shared" si="88"/>
        <v>4682.2731757944548</v>
      </c>
      <c r="K272" s="31">
        <f>J272/$J$16</f>
        <v>5149644.9680322586</v>
      </c>
      <c r="L272" s="31">
        <f>FINV(0.05,H272,$H$16)</f>
        <v>2.2253399674380931</v>
      </c>
      <c r="M272" s="31" t="str">
        <f>IF(K272&gt;=L272, "S", "NS")</f>
        <v>S</v>
      </c>
      <c r="N272" s="39"/>
      <c r="O272" s="33">
        <v>2</v>
      </c>
      <c r="P272" s="42">
        <f t="shared" ref="P272:P279" si="90">(F268+F277)/2</f>
        <v>12.405049999999999</v>
      </c>
      <c r="Q272" s="49">
        <f t="shared" ref="Q272:Q279" si="91">RANK(P272,P$271:P$279,0)</f>
        <v>5</v>
      </c>
      <c r="R272" s="52">
        <v>5</v>
      </c>
    </row>
    <row r="273" spans="1:18" x14ac:dyDescent="0.25">
      <c r="A273" s="32" t="s">
        <v>92</v>
      </c>
      <c r="B273" s="57">
        <f>DATA!AM86</f>
        <v>13.049649599999995</v>
      </c>
      <c r="C273" s="57">
        <f>DATA!AN86</f>
        <v>10.881749999999997</v>
      </c>
      <c r="D273" s="57">
        <f>DATA!AO86</f>
        <v>13.049910399999995</v>
      </c>
      <c r="E273" s="31">
        <f t="shared" si="86"/>
        <v>36.981309999999986</v>
      </c>
      <c r="F273" s="31">
        <f t="shared" si="87"/>
        <v>12.327103333333328</v>
      </c>
      <c r="G273" s="26" t="s">
        <v>110</v>
      </c>
      <c r="H273" s="31">
        <f>H271*H272</f>
        <v>8</v>
      </c>
      <c r="I273" s="31">
        <f>I270-(I271+I272)</f>
        <v>-36932.499372435035</v>
      </c>
      <c r="J273" s="31">
        <f t="shared" si="88"/>
        <v>-4616.5624215543794</v>
      </c>
      <c r="K273" s="44">
        <f>J273/$J$16</f>
        <v>-5077375.1447619423</v>
      </c>
      <c r="L273" s="31">
        <f>FINV(0.05,H273,$H$16)</f>
        <v>2.2253399674380931</v>
      </c>
      <c r="M273" s="31" t="str">
        <f t="shared" ref="M273" si="92">IF(K273&gt;=L273, "S", "NS")</f>
        <v>NS</v>
      </c>
      <c r="N273" s="39"/>
      <c r="O273" s="33">
        <v>3</v>
      </c>
      <c r="P273" s="42">
        <f t="shared" si="90"/>
        <v>14.217516666666665</v>
      </c>
      <c r="Q273" s="49">
        <f t="shared" si="91"/>
        <v>2</v>
      </c>
      <c r="R273" s="52">
        <v>2</v>
      </c>
    </row>
    <row r="274" spans="1:18" x14ac:dyDescent="0.25">
      <c r="A274" s="32" t="s">
        <v>93</v>
      </c>
      <c r="B274" s="57">
        <f>DATA!AM87</f>
        <v>15.009599999999999</v>
      </c>
      <c r="C274" s="57">
        <f>DATA!AN87</f>
        <v>13.963799999999999</v>
      </c>
      <c r="D274" s="57">
        <f>DATA!AO87</f>
        <v>14.585599999999999</v>
      </c>
      <c r="E274" s="31">
        <f t="shared" si="86"/>
        <v>43.558999999999997</v>
      </c>
      <c r="F274" s="31">
        <f t="shared" si="87"/>
        <v>14.519666666666666</v>
      </c>
      <c r="G274" s="45" t="s">
        <v>23</v>
      </c>
      <c r="H274" s="31">
        <f>((B265-1)*(B263*B264-1))</f>
        <v>34</v>
      </c>
      <c r="I274" s="31">
        <f>D289</f>
        <v>33.811615349779458</v>
      </c>
      <c r="J274" s="31">
        <f t="shared" si="88"/>
        <v>0.9944592749935135</v>
      </c>
      <c r="O274" s="33">
        <v>4</v>
      </c>
      <c r="P274" s="42">
        <f t="shared" si="90"/>
        <v>10.8964</v>
      </c>
      <c r="Q274" s="49">
        <f t="shared" si="91"/>
        <v>7</v>
      </c>
      <c r="R274" s="52">
        <v>7</v>
      </c>
    </row>
    <row r="275" spans="1:18" x14ac:dyDescent="0.25">
      <c r="A275" s="32" t="s">
        <v>94</v>
      </c>
      <c r="B275" s="57">
        <f>DATA!AM88</f>
        <v>10.5175</v>
      </c>
      <c r="C275" s="57">
        <f>DATA!AN88</f>
        <v>12.968399999999999</v>
      </c>
      <c r="D275" s="57">
        <f>DATA!AO88</f>
        <v>13.209</v>
      </c>
      <c r="E275" s="31">
        <f t="shared" si="86"/>
        <v>36.694900000000004</v>
      </c>
      <c r="F275" s="31">
        <f t="shared" si="87"/>
        <v>12.231633333333335</v>
      </c>
      <c r="G275" s="44" t="s">
        <v>4</v>
      </c>
      <c r="H275" s="31">
        <f>SUM(H269:H274)-H270</f>
        <v>53</v>
      </c>
      <c r="I275" s="31">
        <f>B288</f>
        <v>612.8185784214711</v>
      </c>
      <c r="K275" s="31" t="s">
        <v>111</v>
      </c>
      <c r="L275" s="41">
        <f>TINV(0.05,34)</f>
        <v>2.0322445093177191</v>
      </c>
      <c r="O275" s="33">
        <v>5</v>
      </c>
      <c r="P275" s="42">
        <f t="shared" si="90"/>
        <v>13.846931400000001</v>
      </c>
      <c r="Q275" s="49">
        <f t="shared" si="91"/>
        <v>3</v>
      </c>
      <c r="R275" s="51">
        <v>3</v>
      </c>
    </row>
    <row r="276" spans="1:18" x14ac:dyDescent="0.25">
      <c r="A276" s="32" t="s">
        <v>95</v>
      </c>
      <c r="B276" s="57">
        <f>DATA!AM89</f>
        <v>3.8325</v>
      </c>
      <c r="C276" s="57">
        <f>DATA!AN89</f>
        <v>3.7275</v>
      </c>
      <c r="D276" s="57">
        <f>DATA!AO89</f>
        <v>4.5247999999999999</v>
      </c>
      <c r="E276" s="31">
        <f t="shared" si="86"/>
        <v>12.084800000000001</v>
      </c>
      <c r="F276" s="31">
        <f t="shared" si="87"/>
        <v>4.0282666666666671</v>
      </c>
      <c r="G276" s="34" t="s">
        <v>14</v>
      </c>
      <c r="H276" s="31">
        <f>SQRT(J274/3)</f>
        <v>0.57574857793818113</v>
      </c>
      <c r="O276" s="33">
        <v>6</v>
      </c>
      <c r="P276" s="42">
        <f t="shared" si="90"/>
        <v>15.246908533333333</v>
      </c>
      <c r="Q276" s="49">
        <f t="shared" si="91"/>
        <v>1</v>
      </c>
      <c r="R276" s="52">
        <v>1</v>
      </c>
    </row>
    <row r="277" spans="1:18" x14ac:dyDescent="0.25">
      <c r="A277" s="32" t="s">
        <v>96</v>
      </c>
      <c r="B277" s="57">
        <f>DATA!AM90</f>
        <v>11.3208</v>
      </c>
      <c r="C277" s="57">
        <f>DATA!AN90</f>
        <v>11.730299999999996</v>
      </c>
      <c r="D277" s="57">
        <f>DATA!AO90</f>
        <v>10.9375</v>
      </c>
      <c r="E277" s="31">
        <f t="shared" si="86"/>
        <v>33.988599999999998</v>
      </c>
      <c r="F277" s="31">
        <f t="shared" si="87"/>
        <v>11.329533333333332</v>
      </c>
      <c r="G277" s="34" t="s">
        <v>16</v>
      </c>
      <c r="H277" s="31">
        <f>(SQRT((2*J274)/3))*L275</f>
        <v>1.6547173883680659</v>
      </c>
      <c r="O277" s="33">
        <v>7</v>
      </c>
      <c r="P277" s="42">
        <f t="shared" si="90"/>
        <v>12.028684999999996</v>
      </c>
      <c r="Q277" s="49">
        <f t="shared" si="91"/>
        <v>6</v>
      </c>
      <c r="R277" s="52">
        <v>6</v>
      </c>
    </row>
    <row r="278" spans="1:18" x14ac:dyDescent="0.25">
      <c r="A278" s="32" t="s">
        <v>97</v>
      </c>
      <c r="B278" s="57">
        <f>DATA!AM91</f>
        <v>13.156000000000001</v>
      </c>
      <c r="C278" s="57">
        <f>DATA!AN91</f>
        <v>10.8125</v>
      </c>
      <c r="D278" s="57">
        <f>DATA!AO91</f>
        <v>13.611000000000001</v>
      </c>
      <c r="E278" s="31">
        <f t="shared" si="86"/>
        <v>37.579499999999996</v>
      </c>
      <c r="F278" s="31">
        <f t="shared" si="87"/>
        <v>12.526499999999999</v>
      </c>
      <c r="G278" s="34" t="s">
        <v>29</v>
      </c>
      <c r="H278" s="31">
        <f>((SQRT(J274))/F285)*100</f>
        <v>8.4235631888813529</v>
      </c>
      <c r="O278" s="33">
        <v>8</v>
      </c>
      <c r="P278" s="42">
        <f t="shared" si="90"/>
        <v>13.063066666666664</v>
      </c>
      <c r="Q278" s="49">
        <f t="shared" si="91"/>
        <v>4</v>
      </c>
      <c r="R278" s="51">
        <v>4</v>
      </c>
    </row>
    <row r="279" spans="1:18" x14ac:dyDescent="0.25">
      <c r="A279" s="32" t="s">
        <v>98</v>
      </c>
      <c r="B279" s="57">
        <f>DATA!AM92</f>
        <v>10.6395</v>
      </c>
      <c r="C279" s="57">
        <f>DATA!AN92</f>
        <v>10.53</v>
      </c>
      <c r="D279" s="57">
        <f>DATA!AO92</f>
        <v>11.437499999999998</v>
      </c>
      <c r="E279" s="31">
        <f t="shared" si="86"/>
        <v>32.606999999999999</v>
      </c>
      <c r="F279" s="31">
        <f t="shared" si="87"/>
        <v>10.869</v>
      </c>
      <c r="O279" s="33">
        <v>9</v>
      </c>
      <c r="P279" s="42">
        <f t="shared" si="90"/>
        <v>10.658333333333333</v>
      </c>
      <c r="Q279" s="49">
        <f t="shared" si="91"/>
        <v>8</v>
      </c>
      <c r="R279" s="52">
        <v>8</v>
      </c>
    </row>
    <row r="280" spans="1:18" x14ac:dyDescent="0.25">
      <c r="A280" s="32" t="s">
        <v>99</v>
      </c>
      <c r="B280" s="57">
        <f>DATA!AM93</f>
        <v>11.766</v>
      </c>
      <c r="C280" s="57">
        <f>DATA!AN93</f>
        <v>12.690899999999999</v>
      </c>
      <c r="D280" s="57">
        <f>DATA!AO93</f>
        <v>12.882802799999997</v>
      </c>
      <c r="E280" s="31">
        <f t="shared" si="86"/>
        <v>37.339702799999998</v>
      </c>
      <c r="F280" s="31">
        <f t="shared" si="87"/>
        <v>12.4465676</v>
      </c>
      <c r="O280" s="30" t="s">
        <v>14</v>
      </c>
      <c r="P280" s="42">
        <f>SQRT(J274/(3*2))</f>
        <v>0.40711572371859933</v>
      </c>
      <c r="Q280" s="49"/>
    </row>
    <row r="281" spans="1:18" x14ac:dyDescent="0.25">
      <c r="A281" s="32" t="s">
        <v>100</v>
      </c>
      <c r="B281" s="57">
        <f>DATA!AM94</f>
        <v>14.737799999999998</v>
      </c>
      <c r="C281" s="57">
        <f>DATA!AN94</f>
        <v>13.743251199999996</v>
      </c>
      <c r="D281" s="57">
        <f>DATA!AO94</f>
        <v>15.983799999999999</v>
      </c>
      <c r="E281" s="31">
        <f t="shared" si="86"/>
        <v>44.464851199999998</v>
      </c>
      <c r="F281" s="31">
        <f t="shared" si="87"/>
        <v>14.821617066666667</v>
      </c>
      <c r="N281" s="30" t="s">
        <v>109</v>
      </c>
      <c r="O281" s="30" t="s">
        <v>16</v>
      </c>
      <c r="P281" s="42">
        <f>SQRT((2*J274)/(3*2))*L275</f>
        <v>1.1700618862623535</v>
      </c>
      <c r="Q281" s="49"/>
    </row>
    <row r="282" spans="1:18" x14ac:dyDescent="0.25">
      <c r="A282" s="32" t="s">
        <v>101</v>
      </c>
      <c r="B282" s="57">
        <f>DATA!AM95</f>
        <v>10.933599999999998</v>
      </c>
      <c r="C282" s="57">
        <f>DATA!AN95</f>
        <v>10.676499999999997</v>
      </c>
      <c r="D282" s="57">
        <f>DATA!AO95</f>
        <v>13.580700000000002</v>
      </c>
      <c r="E282" s="31">
        <f t="shared" si="86"/>
        <v>35.190799999999996</v>
      </c>
      <c r="F282" s="31">
        <f>E282/3</f>
        <v>11.730266666666665</v>
      </c>
      <c r="Q282" s="49"/>
    </row>
    <row r="283" spans="1:18" x14ac:dyDescent="0.25">
      <c r="A283" s="32" t="s">
        <v>102</v>
      </c>
      <c r="B283" s="57">
        <f>DATA!AM96</f>
        <v>10.236399999999996</v>
      </c>
      <c r="C283" s="57">
        <f>DATA!AN96</f>
        <v>12.974699999999999</v>
      </c>
      <c r="D283" s="57">
        <f>DATA!AO96</f>
        <v>11.608299999999996</v>
      </c>
      <c r="E283" s="31">
        <f t="shared" si="86"/>
        <v>34.819399999999987</v>
      </c>
      <c r="F283" s="31">
        <f t="shared" ref="F283:F284" si="93">E283/3</f>
        <v>11.606466666666662</v>
      </c>
    </row>
    <row r="284" spans="1:18" x14ac:dyDescent="0.25">
      <c r="A284" s="32" t="s">
        <v>103</v>
      </c>
      <c r="B284" s="57">
        <f>DATA!AM97</f>
        <v>10.839499999999997</v>
      </c>
      <c r="C284" s="57">
        <f>DATA!AN97</f>
        <v>8.5513999999999992</v>
      </c>
      <c r="D284" s="57">
        <f>DATA!AO97</f>
        <v>7.8641999999999994</v>
      </c>
      <c r="E284" s="31">
        <f t="shared" si="86"/>
        <v>27.255099999999995</v>
      </c>
      <c r="F284" s="31">
        <f t="shared" si="93"/>
        <v>9.0850333333333317</v>
      </c>
    </row>
    <row r="285" spans="1:18" x14ac:dyDescent="0.25">
      <c r="A285" s="30" t="s">
        <v>4</v>
      </c>
      <c r="B285" s="31">
        <f>SUM(B267:B284)</f>
        <v>207.56794959999996</v>
      </c>
      <c r="C285" s="31">
        <f t="shared" ref="C285:D285" si="94">SUM(C267:C284)</f>
        <v>207.91960120000005</v>
      </c>
      <c r="D285" s="31">
        <f t="shared" si="94"/>
        <v>223.79289879999999</v>
      </c>
      <c r="E285" s="31">
        <f>SUM(E267:E284)</f>
        <v>639.2804496</v>
      </c>
      <c r="F285" s="31">
        <f>AVERAGE(B267:D284)</f>
        <v>11.838526844444443</v>
      </c>
    </row>
    <row r="286" spans="1:18" x14ac:dyDescent="0.25">
      <c r="A286" s="30" t="s">
        <v>5</v>
      </c>
      <c r="B286" s="31">
        <f>B285/18</f>
        <v>11.531552755555554</v>
      </c>
      <c r="C286" s="31">
        <f>C285/18</f>
        <v>11.551088955555558</v>
      </c>
      <c r="D286" s="31">
        <f>D285/18</f>
        <v>12.432938822222221</v>
      </c>
    </row>
    <row r="287" spans="1:18" x14ac:dyDescent="0.25">
      <c r="A287" s="30" t="s">
        <v>26</v>
      </c>
      <c r="B287" s="31">
        <f>(E285*E285)/54</f>
        <v>7568.1387637181142</v>
      </c>
      <c r="C287" s="31"/>
      <c r="D287" s="31"/>
    </row>
    <row r="288" spans="1:18" x14ac:dyDescent="0.25">
      <c r="A288" s="30" t="s">
        <v>27</v>
      </c>
      <c r="B288" s="31">
        <f>SUMSQ(B267:D284)-B287</f>
        <v>612.8185784214711</v>
      </c>
      <c r="C288" s="30" t="s">
        <v>28</v>
      </c>
      <c r="D288" s="31">
        <f>(SUMSQ(B285:D285)/18)-B287</f>
        <v>9.5432261497871878</v>
      </c>
    </row>
    <row r="289" spans="1:18" x14ac:dyDescent="0.25">
      <c r="A289" s="30" t="s">
        <v>30</v>
      </c>
      <c r="B289" s="31">
        <f>(SUMSQ(E267:E284)/3)-B287</f>
        <v>569.46373692190446</v>
      </c>
      <c r="C289" s="30" t="s">
        <v>31</v>
      </c>
      <c r="D289" s="31">
        <f>B288-B289-D288</f>
        <v>33.811615349779458</v>
      </c>
    </row>
    <row r="290" spans="1:18" x14ac:dyDescent="0.25">
      <c r="A290" s="50"/>
      <c r="B290" s="39"/>
      <c r="C290" s="50"/>
      <c r="D290" s="39"/>
    </row>
    <row r="291" spans="1:18" x14ac:dyDescent="0.25">
      <c r="A291" s="50"/>
      <c r="B291" s="39"/>
      <c r="C291" s="50"/>
      <c r="D291" s="39"/>
    </row>
    <row r="292" spans="1:18" x14ac:dyDescent="0.25">
      <c r="A292" s="50"/>
      <c r="B292" s="39"/>
      <c r="C292" s="50"/>
      <c r="D292" s="39"/>
    </row>
    <row r="293" spans="1:18" ht="15.75" x14ac:dyDescent="0.25">
      <c r="C293" s="56" t="s">
        <v>122</v>
      </c>
    </row>
    <row r="294" spans="1:18" ht="15.75" x14ac:dyDescent="0.25">
      <c r="C294" s="65" t="s">
        <v>119</v>
      </c>
    </row>
    <row r="295" spans="1:18" x14ac:dyDescent="0.25">
      <c r="A295" s="36" t="s">
        <v>104</v>
      </c>
      <c r="B295" s="38">
        <v>2</v>
      </c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5"/>
      <c r="N295" s="35"/>
      <c r="O295" s="39"/>
      <c r="P295" s="39"/>
    </row>
    <row r="296" spans="1:18" x14ac:dyDescent="0.25">
      <c r="A296" s="36" t="s">
        <v>105</v>
      </c>
      <c r="B296" s="38">
        <v>9</v>
      </c>
      <c r="C296" s="39" t="s">
        <v>107</v>
      </c>
      <c r="D296" s="39">
        <v>18</v>
      </c>
      <c r="E296" s="39"/>
      <c r="F296" s="39"/>
      <c r="G296" s="39"/>
      <c r="H296" s="39"/>
      <c r="I296" s="39"/>
      <c r="J296" s="39"/>
      <c r="K296" s="39"/>
      <c r="L296" s="39"/>
      <c r="M296" s="35"/>
      <c r="N296" s="35"/>
      <c r="O296" s="39"/>
      <c r="P296" s="39"/>
    </row>
    <row r="297" spans="1:18" x14ac:dyDescent="0.25">
      <c r="A297" s="37" t="s">
        <v>106</v>
      </c>
      <c r="B297" s="40">
        <v>3</v>
      </c>
    </row>
    <row r="298" spans="1:18" x14ac:dyDescent="0.25">
      <c r="A298" s="46" t="s">
        <v>0</v>
      </c>
      <c r="B298" s="30" t="s">
        <v>1</v>
      </c>
      <c r="C298" s="30" t="s">
        <v>2</v>
      </c>
      <c r="D298" s="30" t="s">
        <v>3</v>
      </c>
      <c r="E298" s="30" t="s">
        <v>4</v>
      </c>
      <c r="F298" s="30" t="s">
        <v>5</v>
      </c>
      <c r="O298" s="41" t="s">
        <v>7</v>
      </c>
      <c r="R298" s="41"/>
    </row>
    <row r="299" spans="1:18" x14ac:dyDescent="0.25">
      <c r="A299" s="32" t="s">
        <v>86</v>
      </c>
      <c r="B299" s="57">
        <f>B235+B267</f>
        <v>12.478400000000001</v>
      </c>
      <c r="C299" s="57">
        <f t="shared" ref="C299:D299" si="95">C235+C267</f>
        <v>10.390500000000001</v>
      </c>
      <c r="D299" s="57">
        <f t="shared" si="95"/>
        <v>11.347800000000001</v>
      </c>
      <c r="E299" s="31">
        <f>SUM(B299:D299)</f>
        <v>34.216700000000003</v>
      </c>
      <c r="F299" s="31">
        <f>E299/3</f>
        <v>11.405566666666667</v>
      </c>
      <c r="H299" s="47"/>
      <c r="I299" s="47"/>
      <c r="J299" s="47" t="s">
        <v>6</v>
      </c>
      <c r="K299" s="47"/>
      <c r="L299" s="47"/>
      <c r="M299" s="47"/>
      <c r="N299" s="47"/>
      <c r="O299" s="33">
        <v>1</v>
      </c>
      <c r="P299" s="42">
        <f>SUM(F299:F307)/9</f>
        <v>28.209872269629628</v>
      </c>
      <c r="Q299" s="49">
        <f>RANK(P299,P$299:P$300,0)</f>
        <v>1</v>
      </c>
      <c r="R299" s="41"/>
    </row>
    <row r="300" spans="1:18" x14ac:dyDescent="0.25">
      <c r="A300" s="32" t="s">
        <v>87</v>
      </c>
      <c r="B300" s="57">
        <f t="shared" ref="B300:D300" si="96">B236+B268</f>
        <v>26.508274879999995</v>
      </c>
      <c r="C300" s="57">
        <f t="shared" si="96"/>
        <v>31.670200000000001</v>
      </c>
      <c r="D300" s="57">
        <f t="shared" si="96"/>
        <v>31.441005999999994</v>
      </c>
      <c r="E300" s="31">
        <f t="shared" ref="E300:E316" si="97">SUM(B300:D300)</f>
        <v>89.619480879999998</v>
      </c>
      <c r="F300" s="31">
        <f t="shared" ref="F300:F313" si="98">E300/3</f>
        <v>29.873160293333331</v>
      </c>
      <c r="G300" s="31"/>
      <c r="H300" s="30" t="s">
        <v>8</v>
      </c>
      <c r="I300" s="30" t="s">
        <v>9</v>
      </c>
      <c r="J300" s="30" t="s">
        <v>10</v>
      </c>
      <c r="K300" s="30" t="s">
        <v>11</v>
      </c>
      <c r="L300" s="30" t="s">
        <v>12</v>
      </c>
      <c r="M300" s="30" t="s">
        <v>112</v>
      </c>
      <c r="N300" s="50"/>
      <c r="O300" s="33">
        <v>2</v>
      </c>
      <c r="P300" s="42">
        <f>SUM(F308:F316)/9</f>
        <v>24.80490414814815</v>
      </c>
      <c r="Q300" s="49">
        <f>RANK(P300,P$299:P$300,0)</f>
        <v>2</v>
      </c>
      <c r="R300" s="41"/>
    </row>
    <row r="301" spans="1:18" x14ac:dyDescent="0.25">
      <c r="A301" s="32" t="s">
        <v>88</v>
      </c>
      <c r="B301" s="57">
        <f t="shared" ref="B301:D301" si="99">B237+B269</f>
        <v>33.677399999999999</v>
      </c>
      <c r="C301" s="57">
        <f t="shared" si="99"/>
        <v>31.027599999999996</v>
      </c>
      <c r="D301" s="57">
        <f t="shared" si="99"/>
        <v>35.064599999999999</v>
      </c>
      <c r="E301" s="31">
        <f t="shared" si="97"/>
        <v>99.769599999999997</v>
      </c>
      <c r="F301" s="31">
        <f t="shared" si="98"/>
        <v>33.25653333333333</v>
      </c>
      <c r="G301" s="31" t="s">
        <v>13</v>
      </c>
      <c r="H301" s="31">
        <f>B297-1</f>
        <v>2</v>
      </c>
      <c r="I301" s="31">
        <f>D320</f>
        <v>10.04446707090392</v>
      </c>
      <c r="J301" s="31">
        <f>I301/H301</f>
        <v>5.0222335354519601</v>
      </c>
      <c r="K301" s="31">
        <f>J301/$J$16</f>
        <v>5523.539247522619</v>
      </c>
      <c r="L301" s="31">
        <f>FINV(0.05,H301,$H$16)</f>
        <v>3.275897990672394</v>
      </c>
      <c r="M301" s="31" t="str">
        <f>IF(K301&gt;=L301, "S", "NS")</f>
        <v>S</v>
      </c>
      <c r="N301" s="39"/>
      <c r="O301" s="30" t="s">
        <v>14</v>
      </c>
      <c r="P301" s="42">
        <f>SQRT(J306/(3*9))</f>
        <v>0.35669593408523159</v>
      </c>
      <c r="R301" s="41"/>
    </row>
    <row r="302" spans="1:18" x14ac:dyDescent="0.25">
      <c r="A302" s="32" t="s">
        <v>89</v>
      </c>
      <c r="B302" s="57">
        <f t="shared" ref="B302:D302" si="100">B238+B270</f>
        <v>23.491799999999998</v>
      </c>
      <c r="C302" s="57">
        <f t="shared" si="100"/>
        <v>24.089799999999997</v>
      </c>
      <c r="D302" s="57">
        <f t="shared" si="100"/>
        <v>25.884799999999998</v>
      </c>
      <c r="E302" s="31">
        <f t="shared" si="97"/>
        <v>73.466399999999993</v>
      </c>
      <c r="F302" s="31">
        <f t="shared" si="98"/>
        <v>24.488799999999998</v>
      </c>
      <c r="G302" s="31" t="s">
        <v>15</v>
      </c>
      <c r="H302" s="31">
        <f>D296-1</f>
        <v>17</v>
      </c>
      <c r="I302" s="31">
        <f>B321</f>
        <v>2554.1229160562361</v>
      </c>
      <c r="J302" s="31">
        <f t="shared" ref="J302:J306" si="101">I302/H302</f>
        <v>150.24252447389625</v>
      </c>
      <c r="K302" s="31">
        <f>J302/$J$16</f>
        <v>165239.32523654777</v>
      </c>
      <c r="L302" s="31">
        <f>FINV(0.05,H302,$H$16)</f>
        <v>1.9332068318040869</v>
      </c>
      <c r="M302" s="43" t="str">
        <f t="shared" ref="M302" si="102">IF(K302&gt;=L302, "S", "NS")</f>
        <v>S</v>
      </c>
      <c r="N302" s="30" t="s">
        <v>113</v>
      </c>
      <c r="O302" s="30" t="s">
        <v>16</v>
      </c>
      <c r="P302" s="42">
        <f>SQRT((2*J306)/(3*9))*L307</f>
        <v>1.025154011851326</v>
      </c>
      <c r="R302" s="41"/>
    </row>
    <row r="303" spans="1:18" x14ac:dyDescent="0.25">
      <c r="A303" s="32" t="s">
        <v>90</v>
      </c>
      <c r="B303" s="57">
        <f t="shared" ref="B303:D303" si="103">B239+B271</f>
        <v>32.408448</v>
      </c>
      <c r="C303" s="57">
        <f t="shared" si="103"/>
        <v>35.480888399999998</v>
      </c>
      <c r="D303" s="57">
        <f t="shared" si="103"/>
        <v>34.624276799999997</v>
      </c>
      <c r="E303" s="31">
        <f t="shared" si="97"/>
        <v>102.51361319999998</v>
      </c>
      <c r="F303" s="31">
        <f t="shared" si="98"/>
        <v>34.171204399999993</v>
      </c>
      <c r="G303" s="31" t="s">
        <v>108</v>
      </c>
      <c r="H303" s="31">
        <f>B295-1</f>
        <v>1</v>
      </c>
      <c r="I303" s="31">
        <f>(SUM(E299:E307)^2+SUM(E308:E316)^2)/27-B319</f>
        <v>156.51640676212992</v>
      </c>
      <c r="J303" s="31">
        <f t="shared" si="101"/>
        <v>156.51640676212992</v>
      </c>
      <c r="K303" s="31">
        <f>J303/$J$16</f>
        <v>172139.44941611306</v>
      </c>
      <c r="L303" s="31">
        <f>FINV(0.05,H303,$H$16)</f>
        <v>4.1300177456520188</v>
      </c>
      <c r="M303" s="31" t="str">
        <f>IF(K303&gt;=L303, "S", "NS")</f>
        <v>S</v>
      </c>
      <c r="N303" s="39"/>
      <c r="O303" s="33">
        <v>1</v>
      </c>
      <c r="P303" s="42">
        <f>(F299+F308)/2</f>
        <v>10.663916666666667</v>
      </c>
      <c r="Q303" s="49">
        <f>RANK(P303,P$303:P$311,0)</f>
        <v>9</v>
      </c>
      <c r="R303" s="51">
        <v>9</v>
      </c>
    </row>
    <row r="304" spans="1:18" x14ac:dyDescent="0.25">
      <c r="A304" s="32" t="s">
        <v>91</v>
      </c>
      <c r="B304" s="57">
        <f t="shared" ref="B304:D304" si="104">B240+B272</f>
        <v>35.884</v>
      </c>
      <c r="C304" s="57">
        <f t="shared" si="104"/>
        <v>34.756999999999998</v>
      </c>
      <c r="D304" s="57">
        <f t="shared" si="104"/>
        <v>36.242599999999996</v>
      </c>
      <c r="E304" s="31">
        <f t="shared" si="97"/>
        <v>106.88359999999999</v>
      </c>
      <c r="F304" s="31">
        <f t="shared" si="98"/>
        <v>35.627866666666662</v>
      </c>
      <c r="G304" s="31" t="s">
        <v>109</v>
      </c>
      <c r="H304" s="31">
        <f>B296-1</f>
        <v>8</v>
      </c>
      <c r="I304" s="31">
        <f>((E299+E308)^2+(E300+E309)^2+(E301+E310)^2+(E302+E311)^2+(E303+E312)^2+(E304+E313)^2+(E305+E314)^2+(E306+E315)^2+(E307+E316)^2/6)-B319</f>
        <v>187200.72549816858</v>
      </c>
      <c r="J304" s="31">
        <f t="shared" si="101"/>
        <v>23400.090687271073</v>
      </c>
      <c r="K304" s="31">
        <f>J304/$J$16</f>
        <v>25735824.189445771</v>
      </c>
      <c r="L304" s="31">
        <f>FINV(0.05,H304,$H$16)</f>
        <v>2.2253399674380931</v>
      </c>
      <c r="M304" s="31" t="str">
        <f>IF(K304&gt;=L304, "S", "NS")</f>
        <v>S</v>
      </c>
      <c r="N304" s="39"/>
      <c r="O304" s="33">
        <v>2</v>
      </c>
      <c r="P304" s="42">
        <f t="shared" ref="P304:P311" si="105">(F300+F309)/2</f>
        <v>27.142513479999998</v>
      </c>
      <c r="Q304" s="49">
        <f t="shared" ref="Q304:Q311" si="106">RANK(P304,P$303:P$311,0)</f>
        <v>5</v>
      </c>
      <c r="R304" s="52">
        <v>5</v>
      </c>
    </row>
    <row r="305" spans="1:18" x14ac:dyDescent="0.25">
      <c r="A305" s="32" t="s">
        <v>92</v>
      </c>
      <c r="B305" s="57">
        <f t="shared" ref="B305:D305" si="107">B241+B273</f>
        <v>28.099939999999989</v>
      </c>
      <c r="C305" s="57">
        <f t="shared" si="107"/>
        <v>24.754805199999993</v>
      </c>
      <c r="D305" s="57">
        <f t="shared" si="107"/>
        <v>28.478511999999991</v>
      </c>
      <c r="E305" s="31">
        <f t="shared" si="97"/>
        <v>81.333257199999977</v>
      </c>
      <c r="F305" s="31">
        <f t="shared" si="98"/>
        <v>27.111085733333326</v>
      </c>
      <c r="G305" s="26" t="s">
        <v>110</v>
      </c>
      <c r="H305" s="31">
        <f>H303*H304</f>
        <v>8</v>
      </c>
      <c r="I305" s="31">
        <f>I302-(I303+I304)</f>
        <v>-184803.11898887448</v>
      </c>
      <c r="J305" s="31">
        <f t="shared" si="101"/>
        <v>-23100.389873609311</v>
      </c>
      <c r="K305" s="44">
        <f>J305/$J$16</f>
        <v>-25406208.054495122</v>
      </c>
      <c r="L305" s="31">
        <f>FINV(0.05,H305,$H$16)</f>
        <v>2.2253399674380931</v>
      </c>
      <c r="M305" s="31" t="str">
        <f t="shared" ref="M305" si="108">IF(K305&gt;=L305, "S", "NS")</f>
        <v>NS</v>
      </c>
      <c r="N305" s="39"/>
      <c r="O305" s="33">
        <v>3</v>
      </c>
      <c r="P305" s="42">
        <f t="shared" si="105"/>
        <v>32.404849999999996</v>
      </c>
      <c r="Q305" s="49">
        <f t="shared" si="106"/>
        <v>2</v>
      </c>
      <c r="R305" s="52">
        <v>2</v>
      </c>
    </row>
    <row r="306" spans="1:18" x14ac:dyDescent="0.25">
      <c r="A306" s="32" t="s">
        <v>93</v>
      </c>
      <c r="B306" s="57">
        <f t="shared" ref="B306:D306" si="109">B242+B274</f>
        <v>32.403599999999997</v>
      </c>
      <c r="C306" s="57">
        <f t="shared" si="109"/>
        <v>31.483799999999999</v>
      </c>
      <c r="D306" s="57">
        <f t="shared" si="109"/>
        <v>31.2776</v>
      </c>
      <c r="E306" s="31">
        <f t="shared" si="97"/>
        <v>95.164999999999992</v>
      </c>
      <c r="F306" s="31">
        <f t="shared" si="98"/>
        <v>31.721666666666664</v>
      </c>
      <c r="G306" s="45" t="s">
        <v>23</v>
      </c>
      <c r="H306" s="31">
        <f>((B297-1)*(B295*B296-1))</f>
        <v>34</v>
      </c>
      <c r="I306" s="31">
        <f>D321</f>
        <v>116.79896626271511</v>
      </c>
      <c r="J306" s="31">
        <f t="shared" si="101"/>
        <v>3.4352637136092681</v>
      </c>
      <c r="O306" s="33">
        <v>4</v>
      </c>
      <c r="P306" s="42">
        <f t="shared" si="105"/>
        <v>24.254899999999999</v>
      </c>
      <c r="Q306" s="49">
        <f t="shared" si="106"/>
        <v>7</v>
      </c>
      <c r="R306" s="52">
        <v>7</v>
      </c>
    </row>
    <row r="307" spans="1:18" x14ac:dyDescent="0.25">
      <c r="A307" s="32" t="s">
        <v>94</v>
      </c>
      <c r="B307" s="57">
        <f t="shared" ref="B307:D307" si="110">B243+B275</f>
        <v>24.737499999999997</v>
      </c>
      <c r="C307" s="57">
        <f t="shared" si="110"/>
        <v>26.952399999999997</v>
      </c>
      <c r="D307" s="57">
        <f t="shared" si="110"/>
        <v>27.009</v>
      </c>
      <c r="E307" s="31">
        <f t="shared" si="97"/>
        <v>78.698899999999995</v>
      </c>
      <c r="F307" s="31">
        <f t="shared" si="98"/>
        <v>26.232966666666666</v>
      </c>
      <c r="G307" s="44" t="s">
        <v>4</v>
      </c>
      <c r="H307" s="31">
        <f>SUM(H301:H306)-H302</f>
        <v>53</v>
      </c>
      <c r="I307" s="31">
        <f>B320</f>
        <v>2680.9663493898552</v>
      </c>
      <c r="K307" s="31" t="s">
        <v>111</v>
      </c>
      <c r="L307" s="41">
        <f>TINV(0.05,34)</f>
        <v>2.0322445093177191</v>
      </c>
      <c r="O307" s="33">
        <v>5</v>
      </c>
      <c r="P307" s="42">
        <f t="shared" si="105"/>
        <v>30.802504666666664</v>
      </c>
      <c r="Q307" s="49">
        <f t="shared" si="106"/>
        <v>3</v>
      </c>
      <c r="R307" s="51">
        <v>3</v>
      </c>
    </row>
    <row r="308" spans="1:18" x14ac:dyDescent="0.25">
      <c r="A308" s="32" t="s">
        <v>95</v>
      </c>
      <c r="B308" s="57">
        <f t="shared" ref="B308:D308" si="111">B244+B276</f>
        <v>11.6715</v>
      </c>
      <c r="C308" s="57">
        <f t="shared" si="111"/>
        <v>11.185499999999999</v>
      </c>
      <c r="D308" s="57">
        <f t="shared" si="111"/>
        <v>6.9097999999999997</v>
      </c>
      <c r="E308" s="31">
        <f t="shared" si="97"/>
        <v>29.7668</v>
      </c>
      <c r="F308" s="31">
        <f t="shared" si="98"/>
        <v>9.9222666666666672</v>
      </c>
      <c r="G308" s="34" t="s">
        <v>14</v>
      </c>
      <c r="H308" s="31">
        <f>SQRT(J306/3)</f>
        <v>1.0700878022556946</v>
      </c>
      <c r="O308" s="33">
        <v>6</v>
      </c>
      <c r="P308" s="42">
        <f t="shared" si="105"/>
        <v>34.459232866666667</v>
      </c>
      <c r="Q308" s="49">
        <f t="shared" si="106"/>
        <v>1</v>
      </c>
      <c r="R308" s="52">
        <v>1</v>
      </c>
    </row>
    <row r="309" spans="1:18" x14ac:dyDescent="0.25">
      <c r="A309" s="32" t="s">
        <v>96</v>
      </c>
      <c r="B309" s="57">
        <f t="shared" ref="B309:D309" si="112">B245+B277</f>
        <v>24.852799999999998</v>
      </c>
      <c r="C309" s="57">
        <f t="shared" si="112"/>
        <v>24.015299999999996</v>
      </c>
      <c r="D309" s="57">
        <f t="shared" si="112"/>
        <v>24.3675</v>
      </c>
      <c r="E309" s="31">
        <f t="shared" si="97"/>
        <v>73.235600000000005</v>
      </c>
      <c r="F309" s="31">
        <f t="shared" si="98"/>
        <v>24.411866666666668</v>
      </c>
      <c r="G309" s="34" t="s">
        <v>16</v>
      </c>
      <c r="H309" s="31">
        <f>(SQRT((2*J306)/3))*L307</f>
        <v>3.0754620355539775</v>
      </c>
      <c r="O309" s="33">
        <v>7</v>
      </c>
      <c r="P309" s="42">
        <f t="shared" si="105"/>
        <v>26.388676199999992</v>
      </c>
      <c r="Q309" s="49">
        <f t="shared" si="106"/>
        <v>6</v>
      </c>
      <c r="R309" s="52">
        <v>6</v>
      </c>
    </row>
    <row r="310" spans="1:18" x14ac:dyDescent="0.25">
      <c r="A310" s="32" t="s">
        <v>97</v>
      </c>
      <c r="B310" s="57">
        <f t="shared" ref="B310:D310" si="113">B246+B278</f>
        <v>32.736000000000004</v>
      </c>
      <c r="C310" s="57">
        <f t="shared" si="113"/>
        <v>29.622499999999999</v>
      </c>
      <c r="D310" s="57">
        <f t="shared" si="113"/>
        <v>32.301000000000002</v>
      </c>
      <c r="E310" s="31">
        <f t="shared" si="97"/>
        <v>94.659500000000008</v>
      </c>
      <c r="F310" s="31">
        <f t="shared" si="98"/>
        <v>31.553166666666669</v>
      </c>
      <c r="G310" s="34" t="s">
        <v>29</v>
      </c>
      <c r="H310" s="31">
        <f>((SQRT(J306))/F317)*100</f>
        <v>6.9921880928467086</v>
      </c>
      <c r="O310" s="33">
        <v>8</v>
      </c>
      <c r="P310" s="42">
        <f t="shared" si="105"/>
        <v>28.998566666666662</v>
      </c>
      <c r="Q310" s="49">
        <f t="shared" si="106"/>
        <v>4</v>
      </c>
      <c r="R310" s="51">
        <v>4</v>
      </c>
    </row>
    <row r="311" spans="1:18" x14ac:dyDescent="0.25">
      <c r="A311" s="32" t="s">
        <v>98</v>
      </c>
      <c r="B311" s="57">
        <f t="shared" ref="B311:D311" si="114">B247+B279</f>
        <v>25.231499999999997</v>
      </c>
      <c r="C311" s="57">
        <f t="shared" si="114"/>
        <v>23.003999999999998</v>
      </c>
      <c r="D311" s="57">
        <f t="shared" si="114"/>
        <v>23.827499999999997</v>
      </c>
      <c r="E311" s="31">
        <f t="shared" si="97"/>
        <v>72.062999999999988</v>
      </c>
      <c r="F311" s="31">
        <f t="shared" si="98"/>
        <v>24.020999999999997</v>
      </c>
      <c r="O311" s="33">
        <v>9</v>
      </c>
      <c r="P311" s="42">
        <f t="shared" si="105"/>
        <v>23.451333333333334</v>
      </c>
      <c r="Q311" s="49">
        <f t="shared" si="106"/>
        <v>8</v>
      </c>
      <c r="R311" s="52">
        <v>8</v>
      </c>
    </row>
    <row r="312" spans="1:18" x14ac:dyDescent="0.25">
      <c r="A312" s="32" t="s">
        <v>99</v>
      </c>
      <c r="B312" s="57">
        <f t="shared" ref="B312:D312" si="115">B248+B280</f>
        <v>25.3386</v>
      </c>
      <c r="C312" s="57">
        <f t="shared" si="115"/>
        <v>28.562169999999998</v>
      </c>
      <c r="D312" s="57">
        <f t="shared" si="115"/>
        <v>28.400644799999995</v>
      </c>
      <c r="E312" s="31">
        <f t="shared" si="97"/>
        <v>82.301414799999989</v>
      </c>
      <c r="F312" s="31">
        <f t="shared" si="98"/>
        <v>27.433804933333331</v>
      </c>
      <c r="O312" s="30" t="s">
        <v>14</v>
      </c>
      <c r="P312" s="42">
        <f>SQRT(J306/(3*2))</f>
        <v>0.75666634144001099</v>
      </c>
      <c r="Q312" s="49"/>
    </row>
    <row r="313" spans="1:18" x14ac:dyDescent="0.25">
      <c r="A313" s="32" t="s">
        <v>100</v>
      </c>
      <c r="B313" s="57">
        <f t="shared" ref="B313:D313" si="116">B249+B281</f>
        <v>32.312799999999996</v>
      </c>
      <c r="C313" s="57">
        <f t="shared" si="116"/>
        <v>32.455197199999994</v>
      </c>
      <c r="D313" s="57">
        <f t="shared" si="116"/>
        <v>35.1038</v>
      </c>
      <c r="E313" s="31">
        <f t="shared" si="97"/>
        <v>99.871797200000003</v>
      </c>
      <c r="F313" s="31">
        <f t="shared" si="98"/>
        <v>33.290599066666665</v>
      </c>
      <c r="N313" s="30" t="s">
        <v>109</v>
      </c>
      <c r="O313" s="30" t="s">
        <v>16</v>
      </c>
      <c r="P313" s="42">
        <f>SQRT((2*J306)/(3*2))*L307</f>
        <v>2.1746800606220003</v>
      </c>
      <c r="Q313" s="49"/>
    </row>
    <row r="314" spans="1:18" x14ac:dyDescent="0.25">
      <c r="A314" s="32" t="s">
        <v>101</v>
      </c>
      <c r="B314" s="57">
        <f t="shared" ref="B314:D314" si="117">B250+B282</f>
        <v>24.703599999999998</v>
      </c>
      <c r="C314" s="57">
        <f t="shared" si="117"/>
        <v>22.490499999999997</v>
      </c>
      <c r="D314" s="57">
        <f t="shared" si="117"/>
        <v>29.804700000000004</v>
      </c>
      <c r="E314" s="31">
        <f t="shared" si="97"/>
        <v>76.998799999999989</v>
      </c>
      <c r="F314" s="31">
        <f>E314/3</f>
        <v>25.666266666666662</v>
      </c>
      <c r="Q314" s="49"/>
    </row>
    <row r="315" spans="1:18" x14ac:dyDescent="0.25">
      <c r="A315" s="32" t="s">
        <v>102</v>
      </c>
      <c r="B315" s="57">
        <f t="shared" ref="B315:D315" si="118">B251+B283</f>
        <v>23.931399999999996</v>
      </c>
      <c r="C315" s="57">
        <f t="shared" si="118"/>
        <v>27.884699999999999</v>
      </c>
      <c r="D315" s="57">
        <f t="shared" si="118"/>
        <v>27.010299999999994</v>
      </c>
      <c r="E315" s="31">
        <f t="shared" si="97"/>
        <v>78.826399999999978</v>
      </c>
      <c r="F315" s="31">
        <f t="shared" ref="F315:F316" si="119">E315/3</f>
        <v>26.275466666666659</v>
      </c>
    </row>
    <row r="316" spans="1:18" x14ac:dyDescent="0.25">
      <c r="A316" s="32" t="s">
        <v>103</v>
      </c>
      <c r="B316" s="57">
        <f t="shared" ref="B316:D316" si="120">B252+B284</f>
        <v>22.587499999999999</v>
      </c>
      <c r="C316" s="57">
        <f t="shared" si="120"/>
        <v>20.517400000000002</v>
      </c>
      <c r="D316" s="57">
        <f t="shared" si="120"/>
        <v>18.904199999999999</v>
      </c>
      <c r="E316" s="31">
        <f t="shared" si="97"/>
        <v>62.009100000000004</v>
      </c>
      <c r="F316" s="31">
        <f t="shared" si="119"/>
        <v>20.669700000000002</v>
      </c>
    </row>
    <row r="317" spans="1:18" x14ac:dyDescent="0.25">
      <c r="A317" s="30" t="s">
        <v>4</v>
      </c>
      <c r="B317" s="31">
        <f>SUM(B299:B316)</f>
        <v>473.05506287999987</v>
      </c>
      <c r="C317" s="31">
        <f t="shared" ref="C317:D317" si="121">SUM(C299:C316)</f>
        <v>470.34426079999997</v>
      </c>
      <c r="D317" s="31">
        <f t="shared" si="121"/>
        <v>487.99963959999997</v>
      </c>
      <c r="E317" s="31">
        <f>SUM(E299:E316)</f>
        <v>1431.3989632799996</v>
      </c>
      <c r="F317" s="31">
        <f>AVERAGE(B299:D316)</f>
        <v>26.507388208888887</v>
      </c>
    </row>
    <row r="318" spans="1:18" x14ac:dyDescent="0.25">
      <c r="A318" s="30" t="s">
        <v>5</v>
      </c>
      <c r="B318" s="31">
        <f>B317/18</f>
        <v>26.280836826666658</v>
      </c>
      <c r="C318" s="31">
        <f>C317/18</f>
        <v>26.13023671111111</v>
      </c>
      <c r="D318" s="31">
        <f>D317/18</f>
        <v>27.111091088888887</v>
      </c>
    </row>
    <row r="319" spans="1:18" x14ac:dyDescent="0.25">
      <c r="A319" s="30" t="s">
        <v>26</v>
      </c>
      <c r="B319" s="31">
        <f>(E317*E317)/54</f>
        <v>37942.648001464033</v>
      </c>
      <c r="C319" s="31"/>
      <c r="D319" s="31"/>
    </row>
    <row r="320" spans="1:18" x14ac:dyDescent="0.25">
      <c r="A320" s="30" t="s">
        <v>27</v>
      </c>
      <c r="B320" s="31">
        <f>SUMSQ(B299:D316)-B319</f>
        <v>2680.9663493898552</v>
      </c>
      <c r="C320" s="30" t="s">
        <v>28</v>
      </c>
      <c r="D320" s="31">
        <f>(SUMSQ(B317:D317)/18)-B319</f>
        <v>10.04446707090392</v>
      </c>
    </row>
    <row r="321" spans="1:4" x14ac:dyDescent="0.25">
      <c r="A321" s="30" t="s">
        <v>30</v>
      </c>
      <c r="B321" s="31">
        <f>(SUMSQ(E299:E316)/3)-B319</f>
        <v>2554.1229160562361</v>
      </c>
      <c r="C321" s="30" t="s">
        <v>31</v>
      </c>
      <c r="D321" s="31">
        <f>B320-B321-D320</f>
        <v>116.79896626271511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21"/>
  <sheetViews>
    <sheetView topLeftCell="A298" workbookViewId="0">
      <selection activeCell="M226" sqref="M226"/>
    </sheetView>
  </sheetViews>
  <sheetFormatPr defaultColWidth="8.85546875" defaultRowHeight="15" x14ac:dyDescent="0.25"/>
  <cols>
    <col min="1" max="1" width="17.7109375" style="37" bestFit="1" customWidth="1"/>
    <col min="2" max="2" width="11.28515625" style="41" bestFit="1" customWidth="1"/>
    <col min="3" max="3" width="11.42578125" style="41" customWidth="1"/>
    <col min="4" max="4" width="9.5703125" style="41" bestFit="1" customWidth="1"/>
    <col min="5" max="6" width="9.140625" style="41" bestFit="1" customWidth="1"/>
    <col min="7" max="7" width="10.7109375" style="41" bestFit="1" customWidth="1"/>
    <col min="8" max="8" width="9.140625" style="41" bestFit="1" customWidth="1"/>
    <col min="9" max="9" width="13.42578125" style="41" customWidth="1"/>
    <col min="10" max="10" width="11.28515625" style="41" bestFit="1" customWidth="1"/>
    <col min="11" max="11" width="12.28515625" style="41" bestFit="1" customWidth="1"/>
    <col min="12" max="12" width="9.140625" style="41" bestFit="1" customWidth="1"/>
    <col min="13" max="13" width="9.5703125" style="41" bestFit="1" customWidth="1"/>
    <col min="14" max="14" width="9.5703125" style="41" customWidth="1"/>
    <col min="15" max="15" width="9.140625" style="41" bestFit="1" customWidth="1"/>
    <col min="16" max="16" width="12.28515625" style="41" bestFit="1" customWidth="1"/>
    <col min="17" max="17" width="9.85546875" style="37" customWidth="1"/>
    <col min="18" max="16384" width="8.85546875" style="37"/>
  </cols>
  <sheetData>
    <row r="2" spans="1:21" x14ac:dyDescent="0.25">
      <c r="C2" s="66">
        <v>2019</v>
      </c>
    </row>
    <row r="3" spans="1:21" ht="15.75" x14ac:dyDescent="0.25">
      <c r="C3" s="56" t="s">
        <v>123</v>
      </c>
    </row>
    <row r="4" spans="1:21" x14ac:dyDescent="0.25">
      <c r="C4" s="48" t="s">
        <v>116</v>
      </c>
    </row>
    <row r="5" spans="1:21" x14ac:dyDescent="0.25">
      <c r="A5" s="36" t="s">
        <v>104</v>
      </c>
      <c r="B5" s="38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9"/>
      <c r="P5" s="39"/>
    </row>
    <row r="6" spans="1:21" x14ac:dyDescent="0.25">
      <c r="A6" s="36" t="s">
        <v>105</v>
      </c>
      <c r="B6" s="38">
        <v>9</v>
      </c>
      <c r="C6" s="39" t="s">
        <v>107</v>
      </c>
      <c r="D6" s="39">
        <v>18</v>
      </c>
      <c r="E6" s="39"/>
      <c r="F6" s="39"/>
      <c r="G6" s="39"/>
      <c r="H6" s="39"/>
      <c r="I6" s="39"/>
      <c r="J6" s="39"/>
      <c r="K6" s="39"/>
      <c r="L6" s="39"/>
      <c r="M6" s="35"/>
      <c r="N6" s="35"/>
      <c r="O6" s="39"/>
      <c r="P6" s="39"/>
    </row>
    <row r="7" spans="1:21" x14ac:dyDescent="0.25">
      <c r="A7" s="37" t="s">
        <v>106</v>
      </c>
      <c r="B7" s="40">
        <v>3</v>
      </c>
    </row>
    <row r="8" spans="1:21" x14ac:dyDescent="0.25">
      <c r="A8" s="46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30" t="s">
        <v>5</v>
      </c>
      <c r="O8" s="41" t="s">
        <v>7</v>
      </c>
      <c r="S8" s="53"/>
      <c r="T8" s="53"/>
      <c r="U8" s="53"/>
    </row>
    <row r="9" spans="1:21" x14ac:dyDescent="0.25">
      <c r="A9" s="32" t="s">
        <v>86</v>
      </c>
      <c r="B9" s="55">
        <v>0.36</v>
      </c>
      <c r="C9" s="55">
        <v>0.38</v>
      </c>
      <c r="D9" s="55">
        <v>0.34</v>
      </c>
      <c r="E9" s="42">
        <f t="shared" ref="E9:E26" si="0">SUM(B9:D9)</f>
        <v>1.08</v>
      </c>
      <c r="F9" s="42">
        <f>E9/3</f>
        <v>0.36000000000000004</v>
      </c>
      <c r="H9" s="47"/>
      <c r="I9" s="47"/>
      <c r="J9" s="47" t="s">
        <v>6</v>
      </c>
      <c r="K9" s="47"/>
      <c r="L9" s="47"/>
      <c r="M9" s="47"/>
      <c r="N9" s="47"/>
      <c r="O9" s="33">
        <v>1</v>
      </c>
      <c r="P9" s="42">
        <f>SUM(F9:F17)/9</f>
        <v>0.43387481481481482</v>
      </c>
      <c r="Q9" s="49">
        <f>RANK(P9,P$9:P$10,0)</f>
        <v>1</v>
      </c>
      <c r="S9" s="53"/>
      <c r="T9" s="53"/>
      <c r="U9" s="53"/>
    </row>
    <row r="10" spans="1:21" x14ac:dyDescent="0.25">
      <c r="A10" s="32" t="s">
        <v>87</v>
      </c>
      <c r="B10" s="55">
        <v>0.44714799999999988</v>
      </c>
      <c r="C10" s="55">
        <v>0.45999999999999996</v>
      </c>
      <c r="D10" s="55">
        <v>0.47</v>
      </c>
      <c r="E10" s="42">
        <f t="shared" si="0"/>
        <v>1.3771479999999998</v>
      </c>
      <c r="F10" s="42">
        <f t="shared" ref="F10:F26" si="1">E10/3</f>
        <v>0.45904933333333325</v>
      </c>
      <c r="G10" s="31"/>
      <c r="H10" s="30" t="s">
        <v>8</v>
      </c>
      <c r="I10" s="30" t="s">
        <v>9</v>
      </c>
      <c r="J10" s="30" t="s">
        <v>10</v>
      </c>
      <c r="K10" s="30" t="s">
        <v>11</v>
      </c>
      <c r="L10" s="30" t="s">
        <v>12</v>
      </c>
      <c r="M10" s="30" t="s">
        <v>112</v>
      </c>
      <c r="N10" s="50"/>
      <c r="O10" s="33">
        <v>2</v>
      </c>
      <c r="P10" s="42">
        <f>SUM(F18:F26)/9</f>
        <v>0.40111111111111114</v>
      </c>
      <c r="Q10" s="49">
        <f>RANK(P10,P$9:P$10,0)</f>
        <v>2</v>
      </c>
      <c r="S10" s="53"/>
      <c r="T10" s="53"/>
      <c r="U10" s="53"/>
    </row>
    <row r="11" spans="1:21" x14ac:dyDescent="0.25">
      <c r="A11" s="32" t="s">
        <v>88</v>
      </c>
      <c r="B11" s="55">
        <v>0.44999999999999996</v>
      </c>
      <c r="C11" s="55">
        <v>0.42000000000000004</v>
      </c>
      <c r="D11" s="55">
        <v>0.47</v>
      </c>
      <c r="E11" s="42">
        <f t="shared" si="0"/>
        <v>1.3399999999999999</v>
      </c>
      <c r="F11" s="42">
        <f t="shared" si="1"/>
        <v>0.4466666666666666</v>
      </c>
      <c r="G11" s="31" t="s">
        <v>13</v>
      </c>
      <c r="H11" s="31">
        <f>B7-1</f>
        <v>2</v>
      </c>
      <c r="I11" s="31">
        <f>D30</f>
        <v>2.252427570368809E-3</v>
      </c>
      <c r="J11" s="31">
        <f>I11/H11</f>
        <v>1.1262137851844045E-3</v>
      </c>
      <c r="K11" s="31">
        <f>J11/$J$16</f>
        <v>1.6342557133276874</v>
      </c>
      <c r="L11" s="31">
        <f>FINV(0.05,H11,$H$16)</f>
        <v>3.275897990672394</v>
      </c>
      <c r="M11" s="31" t="str">
        <f>IF(K11&gt;=L11, "S", "NS")</f>
        <v>NS</v>
      </c>
      <c r="N11" s="39"/>
      <c r="O11" s="30" t="s">
        <v>14</v>
      </c>
      <c r="P11" s="99">
        <f>SQRT(J16/(3*9))</f>
        <v>5.05206036849528E-3</v>
      </c>
      <c r="S11" s="53"/>
      <c r="T11" s="53"/>
      <c r="U11" s="53"/>
    </row>
    <row r="12" spans="1:21" x14ac:dyDescent="0.25">
      <c r="A12" s="32" t="s">
        <v>89</v>
      </c>
      <c r="B12" s="55">
        <v>0.42000000000000004</v>
      </c>
      <c r="C12" s="55">
        <v>0.41000000000000003</v>
      </c>
      <c r="D12" s="55">
        <v>0.41</v>
      </c>
      <c r="E12" s="42">
        <f t="shared" si="0"/>
        <v>1.24</v>
      </c>
      <c r="F12" s="42">
        <f t="shared" si="1"/>
        <v>0.41333333333333333</v>
      </c>
      <c r="G12" s="31" t="s">
        <v>15</v>
      </c>
      <c r="H12" s="31">
        <f>D6-1</f>
        <v>17</v>
      </c>
      <c r="I12" s="31">
        <f>B31</f>
        <v>8.7617812221925107E-2</v>
      </c>
      <c r="J12" s="31">
        <f t="shared" ref="J12:J16" si="2">I12/H12</f>
        <v>5.1539889542308887E-3</v>
      </c>
      <c r="K12" s="31">
        <f>J12/$J$16</f>
        <v>7.4789849011664016</v>
      </c>
      <c r="L12" s="31">
        <f>FINV(0.05,H12,$H$16)</f>
        <v>1.9332068318040869</v>
      </c>
      <c r="M12" s="43" t="str">
        <f t="shared" ref="M12:M15" si="3">IF(K12&gt;=L12, "S", "NS")</f>
        <v>S</v>
      </c>
      <c r="N12" s="30" t="s">
        <v>113</v>
      </c>
      <c r="O12" s="30" t="s">
        <v>16</v>
      </c>
      <c r="P12" s="42">
        <f>SQRT((2*J16)/(3*9))*L17</f>
        <v>1.4519761679258397E-2</v>
      </c>
      <c r="S12" s="53"/>
      <c r="T12" s="53"/>
      <c r="U12" s="53"/>
    </row>
    <row r="13" spans="1:21" x14ac:dyDescent="0.25">
      <c r="A13" s="32" t="s">
        <v>90</v>
      </c>
      <c r="B13" s="55">
        <v>0.4774719999999999</v>
      </c>
      <c r="C13" s="55">
        <v>0.47</v>
      </c>
      <c r="D13" s="55">
        <v>0.45999999999999996</v>
      </c>
      <c r="E13" s="42">
        <f t="shared" si="0"/>
        <v>1.4074719999999998</v>
      </c>
      <c r="F13" s="42">
        <f t="shared" si="1"/>
        <v>0.46915733333333326</v>
      </c>
      <c r="G13" s="31" t="s">
        <v>108</v>
      </c>
      <c r="H13" s="31">
        <f>B5-1</f>
        <v>1</v>
      </c>
      <c r="I13" s="31">
        <f>(SUM(E9:E17)^2+SUM(E18:E26)^2)/27-B29</f>
        <v>1.4491713785185212E-2</v>
      </c>
      <c r="J13" s="31">
        <f t="shared" si="2"/>
        <v>1.4491713785185212E-2</v>
      </c>
      <c r="K13" s="31">
        <f>J13/$J$16</f>
        <v>21.029014527175846</v>
      </c>
      <c r="L13" s="31">
        <f>FINV(0.05,H13,$H$16)</f>
        <v>4.1300177456520188</v>
      </c>
      <c r="M13" s="31" t="str">
        <f>IF(K13&gt;=L13, "S", "NS")</f>
        <v>S</v>
      </c>
      <c r="N13" s="39"/>
      <c r="O13" s="33">
        <v>1</v>
      </c>
      <c r="P13" s="42">
        <f>(F9+F18)/2</f>
        <v>0.33500000000000002</v>
      </c>
      <c r="Q13" s="49">
        <f>RANK(P13,P$13:P$21,0)</f>
        <v>9</v>
      </c>
      <c r="R13" s="51">
        <v>9</v>
      </c>
      <c r="S13" s="54"/>
      <c r="T13" s="54"/>
      <c r="U13" s="54"/>
    </row>
    <row r="14" spans="1:21" x14ac:dyDescent="0.25">
      <c r="A14" s="32" t="s">
        <v>91</v>
      </c>
      <c r="B14" s="55">
        <v>0.51</v>
      </c>
      <c r="C14" s="55">
        <v>0.43000000000000005</v>
      </c>
      <c r="D14" s="55">
        <v>0.47</v>
      </c>
      <c r="E14" s="42">
        <f t="shared" si="0"/>
        <v>1.4100000000000001</v>
      </c>
      <c r="F14" s="42">
        <f t="shared" si="1"/>
        <v>0.47000000000000003</v>
      </c>
      <c r="G14" s="31" t="s">
        <v>109</v>
      </c>
      <c r="H14" s="31">
        <f>B6-1</f>
        <v>8</v>
      </c>
      <c r="I14" s="31">
        <f>((E9+E18)^2+(E10+E19)^2+(E11+E20)^2+(E12+E21)^2+(E13+E22)^2+(E14+E23)^2+(E15+E24)^2+(E16+E25)^2+(E17+E26)^2/6)-B29</f>
        <v>42.897080722013925</v>
      </c>
      <c r="J14" s="31">
        <f t="shared" si="2"/>
        <v>5.3621350902517406</v>
      </c>
      <c r="K14" s="31">
        <f>J14/$J$16</f>
        <v>7781.0270324864878</v>
      </c>
      <c r="L14" s="31">
        <f>FINV(0.05,H14,$H$16)</f>
        <v>2.2253399674380931</v>
      </c>
      <c r="M14" s="31" t="str">
        <f>IF(K14&gt;=L14, "S", "NS")</f>
        <v>S</v>
      </c>
      <c r="N14" s="39"/>
      <c r="O14" s="33">
        <v>2</v>
      </c>
      <c r="P14" s="42">
        <f t="shared" ref="P14:P21" si="4">(F10+F19)/2</f>
        <v>0.42952466666666667</v>
      </c>
      <c r="Q14" s="49">
        <f t="shared" ref="Q14:Q21" si="5">RANK(P14,P$13:P$21,0)</f>
        <v>5</v>
      </c>
      <c r="R14" s="52">
        <v>5</v>
      </c>
      <c r="S14" s="53"/>
      <c r="T14" s="53"/>
      <c r="U14" s="53"/>
    </row>
    <row r="15" spans="1:21" x14ac:dyDescent="0.25">
      <c r="A15" s="32" t="s">
        <v>92</v>
      </c>
      <c r="B15" s="55">
        <v>0.44999999999999996</v>
      </c>
      <c r="C15" s="55">
        <v>0.42000000000000004</v>
      </c>
      <c r="D15" s="55">
        <v>0.41</v>
      </c>
      <c r="E15" s="42">
        <f t="shared" si="0"/>
        <v>1.28</v>
      </c>
      <c r="F15" s="42">
        <f t="shared" si="1"/>
        <v>0.42666666666666669</v>
      </c>
      <c r="G15" s="26" t="s">
        <v>110</v>
      </c>
      <c r="H15" s="31">
        <f>H13*H14</f>
        <v>8</v>
      </c>
      <c r="I15" s="31">
        <f>I12-(I13+I14)</f>
        <v>-42.82395462357718</v>
      </c>
      <c r="J15" s="31">
        <f t="shared" si="2"/>
        <v>-5.3529943279471475</v>
      </c>
      <c r="K15" s="44">
        <f>J15/$J$16</f>
        <v>-7767.7628163874051</v>
      </c>
      <c r="L15" s="31">
        <f>FINV(0.05,H15,$H$16)</f>
        <v>2.2253399674380931</v>
      </c>
      <c r="M15" s="31" t="str">
        <f t="shared" si="3"/>
        <v>NS</v>
      </c>
      <c r="N15" s="39"/>
      <c r="O15" s="33">
        <v>3</v>
      </c>
      <c r="P15" s="42">
        <f t="shared" si="4"/>
        <v>0.43999999999999995</v>
      </c>
      <c r="Q15" s="49">
        <f t="shared" si="5"/>
        <v>2</v>
      </c>
      <c r="R15" s="52">
        <v>2</v>
      </c>
      <c r="S15" s="53"/>
      <c r="T15" s="53"/>
      <c r="U15" s="53"/>
    </row>
    <row r="16" spans="1:21" x14ac:dyDescent="0.25">
      <c r="A16" s="32" t="s">
        <v>93</v>
      </c>
      <c r="B16" s="55">
        <v>0.44999999999999996</v>
      </c>
      <c r="C16" s="55">
        <v>0.47</v>
      </c>
      <c r="D16" s="55">
        <v>0.45999999999999996</v>
      </c>
      <c r="E16" s="42">
        <f t="shared" si="0"/>
        <v>1.38</v>
      </c>
      <c r="F16" s="42">
        <f t="shared" si="1"/>
        <v>0.45999999999999996</v>
      </c>
      <c r="G16" s="45" t="s">
        <v>23</v>
      </c>
      <c r="H16" s="31">
        <f>((B7-1)*(B5*B6-1))</f>
        <v>34</v>
      </c>
      <c r="I16" s="31">
        <f>D31</f>
        <v>2.3430402221633173E-2</v>
      </c>
      <c r="J16" s="31">
        <f t="shared" si="2"/>
        <v>6.8912947710685806E-4</v>
      </c>
      <c r="O16" s="33">
        <v>4</v>
      </c>
      <c r="P16" s="42">
        <f t="shared" si="4"/>
        <v>0.40666666666666673</v>
      </c>
      <c r="Q16" s="49">
        <f t="shared" si="5"/>
        <v>7</v>
      </c>
      <c r="R16" s="52">
        <v>7</v>
      </c>
      <c r="S16" s="53"/>
      <c r="T16" s="53"/>
      <c r="U16" s="53"/>
    </row>
    <row r="17" spans="1:21" x14ac:dyDescent="0.25">
      <c r="A17" s="32" t="s">
        <v>94</v>
      </c>
      <c r="B17" s="55">
        <v>0.39</v>
      </c>
      <c r="C17" s="55">
        <v>0.4</v>
      </c>
      <c r="D17" s="55">
        <v>0.41</v>
      </c>
      <c r="E17" s="42">
        <f t="shared" si="0"/>
        <v>1.2</v>
      </c>
      <c r="F17" s="42">
        <f t="shared" si="1"/>
        <v>0.39999999999999997</v>
      </c>
      <c r="G17" s="44" t="s">
        <v>4</v>
      </c>
      <c r="H17" s="31">
        <f>SUM(H11:H16)-H12</f>
        <v>53</v>
      </c>
      <c r="I17" s="31">
        <f>B30</f>
        <v>0.11330064201392709</v>
      </c>
      <c r="K17" s="31" t="s">
        <v>111</v>
      </c>
      <c r="L17" s="41">
        <f>TINV(0.05,34)</f>
        <v>2.0322445093177191</v>
      </c>
      <c r="O17" s="33">
        <v>5</v>
      </c>
      <c r="P17" s="42">
        <f t="shared" si="4"/>
        <v>0.43791199999999997</v>
      </c>
      <c r="Q17" s="49">
        <f t="shared" si="5"/>
        <v>3</v>
      </c>
      <c r="R17" s="51">
        <v>3</v>
      </c>
      <c r="S17" s="64"/>
      <c r="T17" s="64"/>
      <c r="U17" s="64"/>
    </row>
    <row r="18" spans="1:21" x14ac:dyDescent="0.25">
      <c r="A18" s="32" t="s">
        <v>95</v>
      </c>
      <c r="B18" s="55">
        <v>0.39</v>
      </c>
      <c r="C18" s="55">
        <v>0.3</v>
      </c>
      <c r="D18" s="55">
        <v>0.24</v>
      </c>
      <c r="E18" s="42">
        <f t="shared" si="0"/>
        <v>0.92999999999999994</v>
      </c>
      <c r="F18" s="42">
        <f t="shared" si="1"/>
        <v>0.31</v>
      </c>
      <c r="G18" s="34" t="s">
        <v>14</v>
      </c>
      <c r="H18" s="31">
        <f>SQRT(J16/3)</f>
        <v>1.5156181105485842E-2</v>
      </c>
      <c r="O18" s="33">
        <v>6</v>
      </c>
      <c r="P18" s="42">
        <f t="shared" si="4"/>
        <v>0.46333333333333337</v>
      </c>
      <c r="Q18" s="49">
        <f t="shared" si="5"/>
        <v>1</v>
      </c>
      <c r="R18" s="52">
        <v>1</v>
      </c>
      <c r="S18" s="64"/>
      <c r="T18" s="64"/>
      <c r="U18" s="64"/>
    </row>
    <row r="19" spans="1:21" x14ac:dyDescent="0.25">
      <c r="A19" s="32" t="s">
        <v>96</v>
      </c>
      <c r="B19" s="55">
        <v>0.4</v>
      </c>
      <c r="C19" s="55">
        <v>0.39</v>
      </c>
      <c r="D19" s="55">
        <v>0.41000000000000003</v>
      </c>
      <c r="E19" s="42">
        <f t="shared" si="0"/>
        <v>1.2000000000000002</v>
      </c>
      <c r="F19" s="42">
        <f t="shared" si="1"/>
        <v>0.40000000000000008</v>
      </c>
      <c r="G19" s="34" t="s">
        <v>16</v>
      </c>
      <c r="H19" s="31">
        <f>(SQRT((2*J16)/3))*L17</f>
        <v>4.3559285037775196E-2</v>
      </c>
      <c r="O19" s="33">
        <v>7</v>
      </c>
      <c r="P19" s="42">
        <f t="shared" si="4"/>
        <v>0.42333333333333334</v>
      </c>
      <c r="Q19" s="49">
        <f t="shared" si="5"/>
        <v>6</v>
      </c>
      <c r="R19" s="52">
        <v>6</v>
      </c>
      <c r="S19" s="64"/>
      <c r="T19" s="64"/>
      <c r="U19" s="64"/>
    </row>
    <row r="20" spans="1:21" x14ac:dyDescent="0.25">
      <c r="A20" s="32" t="s">
        <v>97</v>
      </c>
      <c r="B20" s="55">
        <v>0.42000000000000004</v>
      </c>
      <c r="C20" s="55">
        <v>0.43000000000000005</v>
      </c>
      <c r="D20" s="55">
        <v>0.44999999999999996</v>
      </c>
      <c r="E20" s="42">
        <f t="shared" si="0"/>
        <v>1.3</v>
      </c>
      <c r="F20" s="42">
        <f t="shared" si="1"/>
        <v>0.43333333333333335</v>
      </c>
      <c r="G20" s="34" t="s">
        <v>29</v>
      </c>
      <c r="H20" s="31">
        <f>((SQRT(J16))/F27)*100</f>
        <v>6.287836694805736</v>
      </c>
      <c r="O20" s="33">
        <v>8</v>
      </c>
      <c r="P20" s="42">
        <f t="shared" si="4"/>
        <v>0.43166666666666664</v>
      </c>
      <c r="Q20" s="49">
        <f t="shared" si="5"/>
        <v>4</v>
      </c>
      <c r="R20" s="51">
        <v>4</v>
      </c>
      <c r="S20" s="64"/>
      <c r="T20" s="64"/>
      <c r="U20" s="64"/>
    </row>
    <row r="21" spans="1:21" x14ac:dyDescent="0.25">
      <c r="A21" s="32" t="s">
        <v>98</v>
      </c>
      <c r="B21" s="55">
        <v>0.42</v>
      </c>
      <c r="C21" s="55">
        <v>0.38</v>
      </c>
      <c r="D21" s="55">
        <v>0.4</v>
      </c>
      <c r="E21" s="42">
        <f t="shared" si="0"/>
        <v>1.2000000000000002</v>
      </c>
      <c r="F21" s="42">
        <f t="shared" si="1"/>
        <v>0.40000000000000008</v>
      </c>
      <c r="O21" s="33">
        <v>9</v>
      </c>
      <c r="P21" s="42">
        <f t="shared" si="4"/>
        <v>0.39</v>
      </c>
      <c r="Q21" s="49">
        <f t="shared" si="5"/>
        <v>8</v>
      </c>
      <c r="R21" s="52">
        <v>8</v>
      </c>
      <c r="S21" s="64"/>
      <c r="T21" s="64"/>
      <c r="U21" s="64"/>
    </row>
    <row r="22" spans="1:21" x14ac:dyDescent="0.25">
      <c r="A22" s="32" t="s">
        <v>99</v>
      </c>
      <c r="B22" s="55">
        <v>0.41000000000000003</v>
      </c>
      <c r="C22" s="55">
        <v>0.41000000000000003</v>
      </c>
      <c r="D22" s="55">
        <v>0.4</v>
      </c>
      <c r="E22" s="42">
        <f t="shared" si="0"/>
        <v>1.2200000000000002</v>
      </c>
      <c r="F22" s="42">
        <f t="shared" si="1"/>
        <v>0.40666666666666673</v>
      </c>
      <c r="O22" s="30" t="s">
        <v>14</v>
      </c>
      <c r="P22" s="99">
        <f>SQRT(J16/(3*2))</f>
        <v>1.0717038436580463E-2</v>
      </c>
      <c r="Q22" s="49"/>
      <c r="S22" s="64"/>
      <c r="T22" s="64"/>
      <c r="U22" s="64"/>
    </row>
    <row r="23" spans="1:21" x14ac:dyDescent="0.25">
      <c r="A23" s="32" t="s">
        <v>100</v>
      </c>
      <c r="B23" s="55">
        <v>0.48</v>
      </c>
      <c r="C23" s="55">
        <v>0.42000000000000004</v>
      </c>
      <c r="D23" s="55">
        <v>0.47</v>
      </c>
      <c r="E23" s="42">
        <f t="shared" si="0"/>
        <v>1.37</v>
      </c>
      <c r="F23" s="42">
        <f t="shared" si="1"/>
        <v>0.45666666666666672</v>
      </c>
      <c r="G23" s="59"/>
      <c r="H23" s="80"/>
      <c r="I23" s="80"/>
      <c r="J23" s="80"/>
      <c r="K23" s="80"/>
      <c r="N23" s="30" t="s">
        <v>109</v>
      </c>
      <c r="O23" s="30" t="s">
        <v>16</v>
      </c>
      <c r="P23" s="42">
        <f>SQRT((2*J16)/(3*2))*L17</f>
        <v>3.0801065833848559E-2</v>
      </c>
      <c r="Q23" s="49"/>
      <c r="S23" s="64"/>
      <c r="T23" s="64"/>
      <c r="U23" s="64"/>
    </row>
    <row r="24" spans="1:21" x14ac:dyDescent="0.25">
      <c r="A24" s="32" t="s">
        <v>101</v>
      </c>
      <c r="B24" s="55">
        <v>0.41000000000000003</v>
      </c>
      <c r="C24" s="55">
        <v>0.39</v>
      </c>
      <c r="D24" s="55">
        <v>0.45999999999999996</v>
      </c>
      <c r="E24" s="42">
        <f t="shared" si="0"/>
        <v>1.26</v>
      </c>
      <c r="F24" s="42">
        <f>E24/3</f>
        <v>0.42</v>
      </c>
      <c r="G24" s="59"/>
      <c r="H24" s="80"/>
      <c r="I24" s="80"/>
      <c r="J24" s="80"/>
      <c r="K24" s="80"/>
      <c r="Q24" s="49"/>
      <c r="S24" s="64"/>
      <c r="T24" s="64"/>
      <c r="U24" s="64"/>
    </row>
    <row r="25" spans="1:21" x14ac:dyDescent="0.25">
      <c r="A25" s="32" t="s">
        <v>102</v>
      </c>
      <c r="B25" s="55">
        <v>0.4</v>
      </c>
      <c r="C25" s="55">
        <v>0.42000000000000004</v>
      </c>
      <c r="D25" s="55">
        <v>0.39</v>
      </c>
      <c r="E25" s="42">
        <f t="shared" si="0"/>
        <v>1.21</v>
      </c>
      <c r="F25" s="42">
        <f t="shared" si="1"/>
        <v>0.40333333333333332</v>
      </c>
      <c r="G25" s="59"/>
      <c r="H25" s="80"/>
      <c r="I25" s="80"/>
      <c r="J25" s="80"/>
      <c r="K25" s="80"/>
      <c r="S25" s="64"/>
      <c r="T25" s="64"/>
      <c r="U25" s="64"/>
    </row>
    <row r="26" spans="1:21" x14ac:dyDescent="0.25">
      <c r="A26" s="32" t="s">
        <v>103</v>
      </c>
      <c r="B26" s="55">
        <v>0.37</v>
      </c>
      <c r="C26" s="55">
        <v>0.37</v>
      </c>
      <c r="D26" s="55">
        <v>0.4</v>
      </c>
      <c r="E26" s="42">
        <f t="shared" si="0"/>
        <v>1.1400000000000001</v>
      </c>
      <c r="F26" s="42">
        <f t="shared" si="1"/>
        <v>0.38000000000000006</v>
      </c>
      <c r="G26" s="59"/>
      <c r="H26" s="80"/>
      <c r="I26" s="80"/>
      <c r="J26" s="80"/>
      <c r="K26" s="80"/>
    </row>
    <row r="27" spans="1:21" x14ac:dyDescent="0.25">
      <c r="A27" s="30" t="s">
        <v>4</v>
      </c>
      <c r="B27" s="31">
        <f>SUM(B9:B26)</f>
        <v>7.6546200000000004</v>
      </c>
      <c r="C27" s="31">
        <f>SUM(C9:C26)</f>
        <v>7.3699999999999992</v>
      </c>
      <c r="D27" s="31">
        <f>SUM(D9:D26)</f>
        <v>7.5200000000000014</v>
      </c>
      <c r="E27" s="42">
        <f>SUM(E9:E26)</f>
        <v>22.544620000000002</v>
      </c>
      <c r="F27" s="42">
        <f>AVERAGE(B9:D26)</f>
        <v>0.41749296296296301</v>
      </c>
      <c r="G27" s="59"/>
      <c r="H27" s="80"/>
      <c r="I27" s="80"/>
      <c r="J27" s="80"/>
      <c r="K27" s="80"/>
    </row>
    <row r="28" spans="1:21" x14ac:dyDescent="0.25">
      <c r="A28" s="30" t="s">
        <v>5</v>
      </c>
      <c r="B28" s="31">
        <f>B27/18</f>
        <v>0.42525666666666667</v>
      </c>
      <c r="C28" s="31">
        <f>C27/18</f>
        <v>0.40944444444444439</v>
      </c>
      <c r="D28" s="31">
        <f>D27/18</f>
        <v>0.41777777777777786</v>
      </c>
      <c r="G28" s="59"/>
      <c r="H28" s="80"/>
      <c r="I28" s="80"/>
      <c r="J28" s="80"/>
      <c r="K28" s="80"/>
    </row>
    <row r="29" spans="1:21" x14ac:dyDescent="0.25">
      <c r="A29" s="30" t="s">
        <v>26</v>
      </c>
      <c r="B29" s="31">
        <f>(E27*E27)/54</f>
        <v>9.4122202026740762</v>
      </c>
      <c r="C29" s="31"/>
      <c r="D29" s="31"/>
      <c r="G29" s="59"/>
      <c r="H29" s="80"/>
      <c r="I29" s="80"/>
      <c r="J29" s="80"/>
      <c r="K29" s="80"/>
    </row>
    <row r="30" spans="1:21" x14ac:dyDescent="0.25">
      <c r="A30" s="30" t="s">
        <v>27</v>
      </c>
      <c r="B30" s="31">
        <f>SUMSQ(B9:D26)-B29</f>
        <v>0.11330064201392709</v>
      </c>
      <c r="C30" s="30" t="s">
        <v>28</v>
      </c>
      <c r="D30" s="31">
        <f>(SUMSQ(B27:D27)/18)-B29</f>
        <v>2.252427570368809E-3</v>
      </c>
      <c r="G30" s="59"/>
      <c r="H30" s="80"/>
      <c r="I30" s="80"/>
      <c r="J30" s="80"/>
      <c r="K30" s="80"/>
    </row>
    <row r="31" spans="1:21" x14ac:dyDescent="0.25">
      <c r="A31" s="30" t="s">
        <v>30</v>
      </c>
      <c r="B31" s="31">
        <f>(SUMSQ(E9:E26)/3)-B29</f>
        <v>8.7617812221925107E-2</v>
      </c>
      <c r="C31" s="30" t="s">
        <v>31</v>
      </c>
      <c r="D31" s="31">
        <f>B30-B31-D30</f>
        <v>2.3430402221633173E-2</v>
      </c>
      <c r="G31" s="59"/>
      <c r="H31" s="80"/>
      <c r="I31" s="80"/>
      <c r="J31" s="80"/>
      <c r="K31" s="80"/>
    </row>
    <row r="32" spans="1:21" x14ac:dyDescent="0.25">
      <c r="I32" s="80"/>
      <c r="J32" s="80"/>
      <c r="K32" s="80"/>
    </row>
    <row r="33" spans="1:18" x14ac:dyDescent="0.25">
      <c r="I33" s="80"/>
      <c r="J33" s="80"/>
      <c r="K33" s="80"/>
    </row>
    <row r="34" spans="1:18" ht="15.75" x14ac:dyDescent="0.25">
      <c r="C34" s="56" t="s">
        <v>123</v>
      </c>
      <c r="I34" s="80"/>
      <c r="J34" s="80"/>
      <c r="K34" s="80"/>
    </row>
    <row r="35" spans="1:18" ht="15.75" x14ac:dyDescent="0.25">
      <c r="C35" s="65" t="s">
        <v>117</v>
      </c>
      <c r="I35" s="80"/>
      <c r="J35" s="80"/>
      <c r="K35" s="80"/>
    </row>
    <row r="36" spans="1:18" x14ac:dyDescent="0.25">
      <c r="I36" s="80"/>
      <c r="J36" s="80"/>
      <c r="K36" s="80"/>
    </row>
    <row r="37" spans="1:18" x14ac:dyDescent="0.25">
      <c r="A37" s="36" t="s">
        <v>104</v>
      </c>
      <c r="B37" s="38">
        <v>2</v>
      </c>
      <c r="C37" s="39"/>
      <c r="D37" s="39"/>
      <c r="E37" s="39"/>
      <c r="F37" s="39"/>
      <c r="G37" s="39"/>
      <c r="H37" s="39"/>
      <c r="I37" s="80"/>
      <c r="J37" s="80"/>
      <c r="K37" s="80"/>
      <c r="M37" s="35"/>
      <c r="N37" s="35"/>
      <c r="O37" s="39"/>
      <c r="P37" s="39"/>
    </row>
    <row r="38" spans="1:18" x14ac:dyDescent="0.25">
      <c r="A38" s="36" t="s">
        <v>105</v>
      </c>
      <c r="B38" s="38">
        <v>9</v>
      </c>
      <c r="C38" s="39" t="s">
        <v>107</v>
      </c>
      <c r="D38" s="39">
        <v>18</v>
      </c>
      <c r="E38" s="39"/>
      <c r="F38" s="39"/>
      <c r="G38" s="39"/>
      <c r="H38" s="39"/>
      <c r="I38" s="80"/>
      <c r="J38" s="80"/>
      <c r="K38" s="80"/>
      <c r="M38" s="35"/>
      <c r="N38" s="35"/>
      <c r="O38" s="39"/>
      <c r="P38" s="39"/>
    </row>
    <row r="39" spans="1:18" x14ac:dyDescent="0.25">
      <c r="A39" s="37" t="s">
        <v>106</v>
      </c>
      <c r="B39" s="40">
        <v>3</v>
      </c>
      <c r="I39" s="80"/>
      <c r="J39" s="80"/>
      <c r="K39" s="80"/>
    </row>
    <row r="40" spans="1:18" s="41" customFormat="1" x14ac:dyDescent="0.25">
      <c r="A40" s="46" t="s">
        <v>0</v>
      </c>
      <c r="B40" s="30" t="s">
        <v>1</v>
      </c>
      <c r="C40" s="30" t="s">
        <v>2</v>
      </c>
      <c r="D40" s="30" t="s">
        <v>3</v>
      </c>
      <c r="E40" s="30" t="s">
        <v>4</v>
      </c>
      <c r="F40" s="30" t="s">
        <v>5</v>
      </c>
      <c r="I40" s="80"/>
      <c r="J40" s="80"/>
      <c r="K40" s="80"/>
      <c r="O40" s="41" t="s">
        <v>7</v>
      </c>
      <c r="Q40" s="37"/>
    </row>
    <row r="41" spans="1:18" s="41" customFormat="1" x14ac:dyDescent="0.25">
      <c r="A41" s="32" t="s">
        <v>86</v>
      </c>
      <c r="B41" s="55">
        <v>1.32</v>
      </c>
      <c r="C41" s="55">
        <v>1.36</v>
      </c>
      <c r="D41" s="55">
        <v>1.51</v>
      </c>
      <c r="E41" s="42">
        <f>SUM(B41:D41)</f>
        <v>4.1900000000000004</v>
      </c>
      <c r="F41" s="42">
        <f>E41/3</f>
        <v>1.3966666666666667</v>
      </c>
      <c r="H41" s="47"/>
      <c r="I41" s="47"/>
      <c r="J41" s="47" t="s">
        <v>6</v>
      </c>
      <c r="K41" s="47"/>
      <c r="L41" s="47"/>
      <c r="M41" s="47"/>
      <c r="N41" s="47"/>
      <c r="O41" s="33">
        <v>1</v>
      </c>
      <c r="P41" s="42">
        <f>SUM(F41:F49)/9</f>
        <v>1.5937037037037038</v>
      </c>
      <c r="Q41" s="49">
        <f>RANK(P41,P$41:P$42,0)</f>
        <v>1</v>
      </c>
    </row>
    <row r="42" spans="1:18" s="41" customFormat="1" x14ac:dyDescent="0.25">
      <c r="A42" s="32" t="s">
        <v>87</v>
      </c>
      <c r="B42" s="55">
        <v>1.61</v>
      </c>
      <c r="C42" s="55">
        <v>1.61</v>
      </c>
      <c r="D42" s="55">
        <v>1.6</v>
      </c>
      <c r="E42" s="42">
        <f t="shared" ref="E42:E58" si="6">SUM(B42:D42)</f>
        <v>4.82</v>
      </c>
      <c r="F42" s="42">
        <f t="shared" ref="F42:F55" si="7">E42/3</f>
        <v>1.6066666666666667</v>
      </c>
      <c r="G42" s="31"/>
      <c r="H42" s="30" t="s">
        <v>8</v>
      </c>
      <c r="I42" s="30" t="s">
        <v>9</v>
      </c>
      <c r="J42" s="30" t="s">
        <v>10</v>
      </c>
      <c r="K42" s="30" t="s">
        <v>11</v>
      </c>
      <c r="L42" s="30" t="s">
        <v>12</v>
      </c>
      <c r="M42" s="30" t="s">
        <v>112</v>
      </c>
      <c r="N42" s="50"/>
      <c r="O42" s="33">
        <v>2</v>
      </c>
      <c r="P42" s="42">
        <f>SUM(F50:F58)/9</f>
        <v>1.5474074074074076</v>
      </c>
      <c r="Q42" s="49">
        <f>RANK(P42,P$41:P$42,0)</f>
        <v>2</v>
      </c>
    </row>
    <row r="43" spans="1:18" s="41" customFormat="1" x14ac:dyDescent="0.25">
      <c r="A43" s="32" t="s">
        <v>88</v>
      </c>
      <c r="B43" s="55">
        <v>1.6700000000000002</v>
      </c>
      <c r="C43" s="55">
        <v>1.79</v>
      </c>
      <c r="D43" s="55">
        <v>1.52</v>
      </c>
      <c r="E43" s="42">
        <f t="shared" si="6"/>
        <v>4.9800000000000004</v>
      </c>
      <c r="F43" s="42">
        <f t="shared" si="7"/>
        <v>1.6600000000000001</v>
      </c>
      <c r="G43" s="31" t="s">
        <v>13</v>
      </c>
      <c r="H43" s="31">
        <f>B39-1</f>
        <v>2</v>
      </c>
      <c r="I43" s="31">
        <f>D62</f>
        <v>3.8777777777454503E-3</v>
      </c>
      <c r="J43" s="31">
        <f>I43/H43</f>
        <v>1.9388888888727251E-3</v>
      </c>
      <c r="K43" s="31">
        <f>J43/$J$16</f>
        <v>2.8135335278541227</v>
      </c>
      <c r="L43" s="31">
        <f>FINV(0.05,H43,$H$16)</f>
        <v>3.275897990672394</v>
      </c>
      <c r="M43" s="31" t="str">
        <f>IF(K43&gt;=L43, "S", "NS")</f>
        <v>NS</v>
      </c>
      <c r="N43" s="39"/>
      <c r="O43" s="30" t="s">
        <v>14</v>
      </c>
      <c r="P43" s="42">
        <f>SQRT(J48/(3*9))</f>
        <v>1.2688186436302528E-2</v>
      </c>
      <c r="Q43" s="37"/>
    </row>
    <row r="44" spans="1:18" s="41" customFormat="1" x14ac:dyDescent="0.25">
      <c r="A44" s="32" t="s">
        <v>89</v>
      </c>
      <c r="B44" s="55">
        <v>1.6</v>
      </c>
      <c r="C44" s="55">
        <v>1.48</v>
      </c>
      <c r="D44" s="55">
        <v>1.6300000000000001</v>
      </c>
      <c r="E44" s="42">
        <f t="shared" si="6"/>
        <v>4.71</v>
      </c>
      <c r="F44" s="42">
        <f t="shared" si="7"/>
        <v>1.57</v>
      </c>
      <c r="G44" s="31" t="s">
        <v>15</v>
      </c>
      <c r="H44" s="31">
        <f>D38-1</f>
        <v>17</v>
      </c>
      <c r="I44" s="31">
        <f>B63</f>
        <v>0.46861666666663382</v>
      </c>
      <c r="J44" s="31">
        <f t="shared" ref="J44:J48" si="8">I44/H44</f>
        <v>2.756568627450787E-2</v>
      </c>
      <c r="K44" s="31">
        <f>J44/$J$16</f>
        <v>40.00073598685065</v>
      </c>
      <c r="L44" s="31">
        <f>FINV(0.05,H44,$H$16)</f>
        <v>1.9332068318040869</v>
      </c>
      <c r="M44" s="43" t="str">
        <f t="shared" ref="M44" si="9">IF(K44&gt;=L44, "S", "NS")</f>
        <v>S</v>
      </c>
      <c r="N44" s="30" t="s">
        <v>113</v>
      </c>
      <c r="O44" s="30" t="s">
        <v>16</v>
      </c>
      <c r="P44" s="42">
        <f>SQRT((2*J48)/(3*9))*L49</f>
        <v>3.6466199878760167E-2</v>
      </c>
      <c r="Q44" s="37"/>
    </row>
    <row r="45" spans="1:18" s="41" customFormat="1" x14ac:dyDescent="0.25">
      <c r="A45" s="32" t="s">
        <v>90</v>
      </c>
      <c r="B45" s="55">
        <v>1.6</v>
      </c>
      <c r="C45" s="55">
        <v>1.67</v>
      </c>
      <c r="D45" s="55">
        <v>1.69</v>
      </c>
      <c r="E45" s="42">
        <f t="shared" si="6"/>
        <v>4.96</v>
      </c>
      <c r="F45" s="42">
        <f t="shared" si="7"/>
        <v>1.6533333333333333</v>
      </c>
      <c r="G45" s="31" t="s">
        <v>108</v>
      </c>
      <c r="H45" s="31">
        <f>B37-1</f>
        <v>1</v>
      </c>
      <c r="I45" s="31">
        <f>(SUM(E41:E49)^2+SUM(E50:E58)^2)/27-B61</f>
        <v>2.8935185185133605E-2</v>
      </c>
      <c r="J45" s="31">
        <f t="shared" si="8"/>
        <v>2.8935185185133605E-2</v>
      </c>
      <c r="K45" s="31">
        <f>J45/$J$16</f>
        <v>41.988024234010304</v>
      </c>
      <c r="L45" s="31">
        <f>FINV(0.05,H45,$H$16)</f>
        <v>4.1300177456520188</v>
      </c>
      <c r="M45" s="31" t="str">
        <f>IF(K45&gt;=L45, "S", "NS")</f>
        <v>S</v>
      </c>
      <c r="N45" s="39"/>
      <c r="O45" s="33">
        <v>1</v>
      </c>
      <c r="P45" s="42">
        <f>(F41+F50)/2</f>
        <v>1.395</v>
      </c>
      <c r="Q45" s="49">
        <f>RANK(P45,P$45:P$53,0)</f>
        <v>9</v>
      </c>
      <c r="R45" s="51">
        <v>9</v>
      </c>
    </row>
    <row r="46" spans="1:18" s="41" customFormat="1" x14ac:dyDescent="0.25">
      <c r="A46" s="32" t="s">
        <v>91</v>
      </c>
      <c r="B46" s="55">
        <v>1.69</v>
      </c>
      <c r="C46" s="55">
        <v>1.77</v>
      </c>
      <c r="D46" s="55">
        <v>1.71</v>
      </c>
      <c r="E46" s="42">
        <f t="shared" si="6"/>
        <v>5.17</v>
      </c>
      <c r="F46" s="42">
        <f t="shared" si="7"/>
        <v>1.7233333333333334</v>
      </c>
      <c r="G46" s="31" t="s">
        <v>109</v>
      </c>
      <c r="H46" s="31">
        <f>B38-1</f>
        <v>8</v>
      </c>
      <c r="I46" s="31">
        <f>((E41+E50)^2+(E42+E51)^2+(E43+E52)^2+(E44+E53)^2+(E45+E54)^2+(E46+E55)^2+(E47+E56)^2+(E48+E57)^2+(E49+E58)^2/6)-B61</f>
        <v>603.63008333333335</v>
      </c>
      <c r="J46" s="31">
        <f t="shared" si="8"/>
        <v>75.453760416666668</v>
      </c>
      <c r="K46" s="31">
        <f>J46/$J$16</f>
        <v>109491.41333126667</v>
      </c>
      <c r="L46" s="31">
        <f>FINV(0.05,H46,$H$16)</f>
        <v>2.2253399674380931</v>
      </c>
      <c r="M46" s="31" t="str">
        <f>IF(K46&gt;=L46, "S", "NS")</f>
        <v>S</v>
      </c>
      <c r="N46" s="39"/>
      <c r="O46" s="33">
        <v>2</v>
      </c>
      <c r="P46" s="42">
        <f t="shared" ref="P46:P53" si="10">(F42+F51)/2</f>
        <v>1.5899999999999999</v>
      </c>
      <c r="Q46" s="49">
        <f t="shared" ref="Q46:Q53" si="11">RANK(P46,P$45:P$53,0)</f>
        <v>5</v>
      </c>
      <c r="R46" s="52">
        <v>5</v>
      </c>
    </row>
    <row r="47" spans="1:18" s="41" customFormat="1" x14ac:dyDescent="0.25">
      <c r="A47" s="32" t="s">
        <v>92</v>
      </c>
      <c r="B47" s="55">
        <v>1.67</v>
      </c>
      <c r="C47" s="55">
        <v>1.6</v>
      </c>
      <c r="D47" s="55">
        <v>1.56</v>
      </c>
      <c r="E47" s="42">
        <f t="shared" si="6"/>
        <v>4.83</v>
      </c>
      <c r="F47" s="42">
        <f t="shared" si="7"/>
        <v>1.61</v>
      </c>
      <c r="G47" s="26" t="s">
        <v>110</v>
      </c>
      <c r="H47" s="31">
        <f>H45*H46</f>
        <v>8</v>
      </c>
      <c r="I47" s="31">
        <f>I44-(I45+I46)</f>
        <v>-603.19040185185179</v>
      </c>
      <c r="J47" s="31">
        <f t="shared" si="8"/>
        <v>-75.398800231481474</v>
      </c>
      <c r="K47" s="44">
        <f>J47/$J$16</f>
        <v>-109411.66027032386</v>
      </c>
      <c r="L47" s="31">
        <f>FINV(0.05,H47,$H$16)</f>
        <v>2.2253399674380931</v>
      </c>
      <c r="M47" s="31" t="str">
        <f t="shared" ref="M47" si="12">IF(K47&gt;=L47, "S", "NS")</f>
        <v>NS</v>
      </c>
      <c r="N47" s="39"/>
      <c r="O47" s="33">
        <v>3</v>
      </c>
      <c r="P47" s="42">
        <f t="shared" si="10"/>
        <v>1.6433333333333335</v>
      </c>
      <c r="Q47" s="49">
        <f t="shared" si="11"/>
        <v>2</v>
      </c>
      <c r="R47" s="52">
        <v>2</v>
      </c>
    </row>
    <row r="48" spans="1:18" s="41" customFormat="1" x14ac:dyDescent="0.25">
      <c r="A48" s="32" t="s">
        <v>93</v>
      </c>
      <c r="B48" s="55">
        <v>1.73</v>
      </c>
      <c r="C48" s="55">
        <v>1.64</v>
      </c>
      <c r="D48" s="55">
        <v>1.65</v>
      </c>
      <c r="E48" s="42">
        <f t="shared" si="6"/>
        <v>5.0199999999999996</v>
      </c>
      <c r="F48" s="42">
        <f t="shared" si="7"/>
        <v>1.6733333333333331</v>
      </c>
      <c r="G48" s="45" t="s">
        <v>23</v>
      </c>
      <c r="H48" s="31">
        <f>((B39-1)*(B37*B38-1))</f>
        <v>34</v>
      </c>
      <c r="I48" s="31">
        <f>D63</f>
        <v>0.14778888888889696</v>
      </c>
      <c r="J48" s="31">
        <f t="shared" si="8"/>
        <v>4.3467320261440286E-3</v>
      </c>
      <c r="O48" s="33">
        <v>4</v>
      </c>
      <c r="P48" s="42">
        <f t="shared" si="10"/>
        <v>1.5383333333333333</v>
      </c>
      <c r="Q48" s="49">
        <f t="shared" si="11"/>
        <v>7</v>
      </c>
      <c r="R48" s="52">
        <v>7</v>
      </c>
    </row>
    <row r="49" spans="1:18" x14ac:dyDescent="0.25">
      <c r="A49" s="32" t="s">
        <v>94</v>
      </c>
      <c r="B49" s="55">
        <v>1.41</v>
      </c>
      <c r="C49" s="55">
        <v>1.46</v>
      </c>
      <c r="D49" s="55">
        <v>1.48</v>
      </c>
      <c r="E49" s="42">
        <f t="shared" si="6"/>
        <v>4.3499999999999996</v>
      </c>
      <c r="F49" s="42">
        <f t="shared" si="7"/>
        <v>1.45</v>
      </c>
      <c r="G49" s="44" t="s">
        <v>4</v>
      </c>
      <c r="H49" s="31">
        <f>SUM(H43:H48)-H44</f>
        <v>53</v>
      </c>
      <c r="I49" s="31">
        <f>B62</f>
        <v>0.62028333333327623</v>
      </c>
      <c r="K49" s="31" t="s">
        <v>111</v>
      </c>
      <c r="L49" s="41">
        <f>TINV(0.05,34)</f>
        <v>2.0322445093177191</v>
      </c>
      <c r="O49" s="33">
        <v>5</v>
      </c>
      <c r="P49" s="42">
        <f t="shared" si="10"/>
        <v>1.63</v>
      </c>
      <c r="Q49" s="49">
        <f t="shared" si="11"/>
        <v>3</v>
      </c>
      <c r="R49" s="51">
        <v>3</v>
      </c>
    </row>
    <row r="50" spans="1:18" x14ac:dyDescent="0.25">
      <c r="A50" s="32" t="s">
        <v>95</v>
      </c>
      <c r="B50" s="55">
        <v>1.31</v>
      </c>
      <c r="C50" s="55">
        <v>1.46</v>
      </c>
      <c r="D50" s="55">
        <v>1.41</v>
      </c>
      <c r="E50" s="42">
        <f t="shared" si="6"/>
        <v>4.18</v>
      </c>
      <c r="F50" s="42">
        <f t="shared" si="7"/>
        <v>1.3933333333333333</v>
      </c>
      <c r="G50" s="34" t="s">
        <v>14</v>
      </c>
      <c r="H50" s="31">
        <f>SQRT(J48/3)</f>
        <v>3.8064559308907585E-2</v>
      </c>
      <c r="O50" s="33">
        <v>6</v>
      </c>
      <c r="P50" s="42">
        <f t="shared" si="10"/>
        <v>1.6966666666666668</v>
      </c>
      <c r="Q50" s="49">
        <f t="shared" si="11"/>
        <v>1</v>
      </c>
      <c r="R50" s="52">
        <v>1</v>
      </c>
    </row>
    <row r="51" spans="1:18" x14ac:dyDescent="0.25">
      <c r="A51" s="32" t="s">
        <v>96</v>
      </c>
      <c r="B51" s="55">
        <v>1.58</v>
      </c>
      <c r="C51" s="55">
        <v>1.6300000000000001</v>
      </c>
      <c r="D51" s="55">
        <v>1.51</v>
      </c>
      <c r="E51" s="42">
        <f t="shared" si="6"/>
        <v>4.72</v>
      </c>
      <c r="F51" s="42">
        <f t="shared" si="7"/>
        <v>1.5733333333333333</v>
      </c>
      <c r="G51" s="34" t="s">
        <v>16</v>
      </c>
      <c r="H51" s="31">
        <f>(SQRT((2*J48)/3))*L49</f>
        <v>0.10939859963628049</v>
      </c>
      <c r="O51" s="33">
        <v>7</v>
      </c>
      <c r="P51" s="42">
        <f t="shared" si="10"/>
        <v>1.5649999999999999</v>
      </c>
      <c r="Q51" s="49">
        <f t="shared" si="11"/>
        <v>6</v>
      </c>
      <c r="R51" s="52">
        <v>6</v>
      </c>
    </row>
    <row r="52" spans="1:18" x14ac:dyDescent="0.25">
      <c r="A52" s="32" t="s">
        <v>97</v>
      </c>
      <c r="B52" s="55">
        <v>1.69</v>
      </c>
      <c r="C52" s="55">
        <v>1.62</v>
      </c>
      <c r="D52" s="55">
        <v>1.57</v>
      </c>
      <c r="E52" s="42">
        <f t="shared" si="6"/>
        <v>4.88</v>
      </c>
      <c r="F52" s="42">
        <f t="shared" si="7"/>
        <v>1.6266666666666667</v>
      </c>
      <c r="G52" s="34" t="s">
        <v>29</v>
      </c>
      <c r="H52" s="31">
        <f>((SQRT(J48))/F59)*100</f>
        <v>4.1978617348193943</v>
      </c>
      <c r="O52" s="33">
        <v>8</v>
      </c>
      <c r="P52" s="42">
        <f t="shared" si="10"/>
        <v>1.6066666666666665</v>
      </c>
      <c r="Q52" s="49">
        <f t="shared" si="11"/>
        <v>4</v>
      </c>
      <c r="R52" s="51">
        <v>4</v>
      </c>
    </row>
    <row r="53" spans="1:18" x14ac:dyDescent="0.25">
      <c r="A53" s="32" t="s">
        <v>98</v>
      </c>
      <c r="B53" s="55">
        <v>1.58</v>
      </c>
      <c r="C53" s="55">
        <v>1.43</v>
      </c>
      <c r="D53" s="55">
        <v>1.51</v>
      </c>
      <c r="E53" s="42">
        <f t="shared" si="6"/>
        <v>4.5199999999999996</v>
      </c>
      <c r="F53" s="42">
        <f t="shared" si="7"/>
        <v>1.5066666666666666</v>
      </c>
      <c r="O53" s="33">
        <v>9</v>
      </c>
      <c r="P53" s="42">
        <f t="shared" si="10"/>
        <v>1.4700000000000002</v>
      </c>
      <c r="Q53" s="49">
        <f t="shared" si="11"/>
        <v>8</v>
      </c>
      <c r="R53" s="52">
        <v>8</v>
      </c>
    </row>
    <row r="54" spans="1:18" x14ac:dyDescent="0.25">
      <c r="A54" s="32" t="s">
        <v>99</v>
      </c>
      <c r="B54" s="55">
        <v>1.67</v>
      </c>
      <c r="C54" s="55">
        <v>1.56</v>
      </c>
      <c r="D54" s="55">
        <v>1.59</v>
      </c>
      <c r="E54" s="42">
        <f t="shared" si="6"/>
        <v>4.82</v>
      </c>
      <c r="F54" s="42">
        <f t="shared" si="7"/>
        <v>1.6066666666666667</v>
      </c>
      <c r="O54" s="30" t="s">
        <v>14</v>
      </c>
      <c r="P54" s="42">
        <f>SQRT(J48/(3*2))</f>
        <v>2.6915708010206076E-2</v>
      </c>
      <c r="Q54" s="49"/>
    </row>
    <row r="55" spans="1:18" x14ac:dyDescent="0.25">
      <c r="A55" s="32" t="s">
        <v>100</v>
      </c>
      <c r="B55" s="55">
        <v>1.69</v>
      </c>
      <c r="C55" s="55">
        <v>1.71</v>
      </c>
      <c r="D55" s="55">
        <v>1.61</v>
      </c>
      <c r="E55" s="42">
        <f t="shared" si="6"/>
        <v>5.01</v>
      </c>
      <c r="F55" s="42">
        <f t="shared" si="7"/>
        <v>1.67</v>
      </c>
      <c r="G55" s="59"/>
      <c r="I55" s="80"/>
      <c r="J55" s="80"/>
      <c r="K55" s="80"/>
      <c r="N55" s="30" t="s">
        <v>109</v>
      </c>
      <c r="O55" s="30" t="s">
        <v>16</v>
      </c>
      <c r="P55" s="42">
        <f>SQRT((2*J48)/(3*2))*L49</f>
        <v>7.7356491655126106E-2</v>
      </c>
      <c r="Q55" s="49"/>
    </row>
    <row r="56" spans="1:18" x14ac:dyDescent="0.25">
      <c r="A56" s="32" t="s">
        <v>101</v>
      </c>
      <c r="B56" s="55">
        <v>1.59</v>
      </c>
      <c r="C56" s="55">
        <v>1.46</v>
      </c>
      <c r="D56" s="55">
        <v>1.51</v>
      </c>
      <c r="E56" s="42">
        <f t="shared" si="6"/>
        <v>4.5599999999999996</v>
      </c>
      <c r="F56" s="42">
        <f>E56/3</f>
        <v>1.5199999999999998</v>
      </c>
      <c r="G56" s="59"/>
      <c r="I56" s="80"/>
      <c r="J56" s="80"/>
      <c r="K56" s="80"/>
      <c r="Q56" s="49"/>
    </row>
    <row r="57" spans="1:18" x14ac:dyDescent="0.25">
      <c r="A57" s="32" t="s">
        <v>102</v>
      </c>
      <c r="B57" s="55">
        <v>1.56</v>
      </c>
      <c r="C57" s="55">
        <v>1.5</v>
      </c>
      <c r="D57" s="55">
        <v>1.56</v>
      </c>
      <c r="E57" s="42">
        <f t="shared" si="6"/>
        <v>4.62</v>
      </c>
      <c r="F57" s="42">
        <f t="shared" ref="F57:F58" si="13">E57/3</f>
        <v>1.54</v>
      </c>
      <c r="G57" s="59"/>
      <c r="I57" s="80"/>
      <c r="J57" s="80"/>
      <c r="K57" s="80"/>
    </row>
    <row r="58" spans="1:18" x14ac:dyDescent="0.25">
      <c r="A58" s="32" t="s">
        <v>103</v>
      </c>
      <c r="B58" s="55">
        <v>1.5</v>
      </c>
      <c r="C58" s="55">
        <v>1.49</v>
      </c>
      <c r="D58" s="55">
        <v>1.48</v>
      </c>
      <c r="E58" s="42">
        <f t="shared" si="6"/>
        <v>4.4700000000000006</v>
      </c>
      <c r="F58" s="42">
        <f t="shared" si="13"/>
        <v>1.4900000000000002</v>
      </c>
      <c r="G58" s="59"/>
      <c r="I58" s="80"/>
      <c r="J58" s="80"/>
      <c r="K58" s="80"/>
    </row>
    <row r="59" spans="1:18" x14ac:dyDescent="0.25">
      <c r="A59" s="30" t="s">
        <v>4</v>
      </c>
      <c r="B59" s="31">
        <f>SUM(B41:B58)</f>
        <v>28.470000000000002</v>
      </c>
      <c r="C59" s="31">
        <f t="shared" ref="C59:D59" si="14">SUM(C41:C58)</f>
        <v>28.24</v>
      </c>
      <c r="D59" s="31">
        <f t="shared" si="14"/>
        <v>28.100000000000005</v>
      </c>
      <c r="E59" s="31">
        <f>SUM(E41:E58)</f>
        <v>84.810000000000016</v>
      </c>
      <c r="F59" s="31">
        <f>AVERAGE(B41:D58)</f>
        <v>1.5705555555555553</v>
      </c>
      <c r="G59" s="59"/>
      <c r="I59" s="80"/>
      <c r="J59" s="80"/>
      <c r="K59" s="80"/>
    </row>
    <row r="60" spans="1:18" x14ac:dyDescent="0.25">
      <c r="A60" s="30" t="s">
        <v>5</v>
      </c>
      <c r="B60" s="31">
        <f>B59/18</f>
        <v>1.5816666666666668</v>
      </c>
      <c r="C60" s="31">
        <f>C59/18</f>
        <v>1.5688888888888888</v>
      </c>
      <c r="D60" s="31">
        <f>D59/18</f>
        <v>1.5611111111111113</v>
      </c>
      <c r="G60" s="59"/>
      <c r="I60" s="80"/>
      <c r="J60" s="80"/>
      <c r="K60" s="80"/>
    </row>
    <row r="61" spans="1:18" x14ac:dyDescent="0.25">
      <c r="A61" s="30" t="s">
        <v>26</v>
      </c>
      <c r="B61" s="31">
        <f>(E59*E59)/54</f>
        <v>133.19881666666672</v>
      </c>
      <c r="C61" s="31"/>
      <c r="D61" s="31"/>
      <c r="G61" s="59"/>
      <c r="I61" s="80"/>
      <c r="J61" s="80"/>
      <c r="K61" s="80"/>
    </row>
    <row r="62" spans="1:18" x14ac:dyDescent="0.25">
      <c r="A62" s="30" t="s">
        <v>27</v>
      </c>
      <c r="B62" s="31">
        <f>SUMSQ(B41:D58)-B61</f>
        <v>0.62028333333327623</v>
      </c>
      <c r="C62" s="30" t="s">
        <v>28</v>
      </c>
      <c r="D62" s="31">
        <f>(SUMSQ(B59:D59)/18)-B61</f>
        <v>3.8777777777454503E-3</v>
      </c>
      <c r="G62" s="59"/>
      <c r="I62" s="80"/>
      <c r="J62" s="80"/>
      <c r="K62" s="80"/>
    </row>
    <row r="63" spans="1:18" x14ac:dyDescent="0.25">
      <c r="A63" s="30" t="s">
        <v>30</v>
      </c>
      <c r="B63" s="31">
        <f>(SUMSQ(E41:E58)/3)-B61</f>
        <v>0.46861666666663382</v>
      </c>
      <c r="C63" s="30" t="s">
        <v>31</v>
      </c>
      <c r="D63" s="31">
        <f>B62-B63-D62</f>
        <v>0.14778888888889696</v>
      </c>
      <c r="G63" s="59"/>
      <c r="I63" s="80"/>
      <c r="J63" s="80"/>
      <c r="K63" s="80"/>
    </row>
    <row r="64" spans="1:18" x14ac:dyDescent="0.25">
      <c r="I64" s="80"/>
      <c r="J64" s="80"/>
      <c r="K64" s="80"/>
    </row>
    <row r="65" spans="1:19" x14ac:dyDescent="0.25">
      <c r="I65" s="80"/>
      <c r="J65" s="80"/>
      <c r="K65" s="80"/>
    </row>
    <row r="66" spans="1:19" x14ac:dyDescent="0.25">
      <c r="I66" s="80"/>
      <c r="J66" s="80"/>
      <c r="K66" s="80"/>
    </row>
    <row r="67" spans="1:19" ht="15.75" x14ac:dyDescent="0.25">
      <c r="C67" s="56" t="s">
        <v>124</v>
      </c>
      <c r="I67" s="80"/>
      <c r="J67" s="80"/>
      <c r="K67" s="80"/>
    </row>
    <row r="68" spans="1:19" x14ac:dyDescent="0.25">
      <c r="C68" s="48" t="s">
        <v>116</v>
      </c>
      <c r="I68" s="80"/>
      <c r="J68" s="80"/>
      <c r="K68" s="80"/>
    </row>
    <row r="69" spans="1:19" x14ac:dyDescent="0.25">
      <c r="A69" s="36" t="s">
        <v>104</v>
      </c>
      <c r="B69" s="38">
        <v>2</v>
      </c>
      <c r="C69" s="39"/>
      <c r="D69" s="39"/>
      <c r="E69" s="39"/>
      <c r="F69" s="39"/>
      <c r="G69" s="39"/>
      <c r="H69" s="39"/>
      <c r="I69" s="80"/>
      <c r="J69" s="80"/>
      <c r="K69" s="80"/>
      <c r="L69" s="39"/>
      <c r="M69" s="35"/>
      <c r="N69" s="35"/>
      <c r="O69" s="39"/>
      <c r="P69" s="39"/>
    </row>
    <row r="70" spans="1:19" x14ac:dyDescent="0.25">
      <c r="A70" s="36" t="s">
        <v>105</v>
      </c>
      <c r="B70" s="38">
        <v>9</v>
      </c>
      <c r="C70" s="39" t="s">
        <v>107</v>
      </c>
      <c r="D70" s="39">
        <v>18</v>
      </c>
      <c r="E70" s="39"/>
      <c r="F70" s="39"/>
      <c r="G70" s="39"/>
      <c r="H70" s="39"/>
      <c r="I70" s="80"/>
      <c r="J70" s="80"/>
      <c r="K70" s="80"/>
      <c r="L70" s="39"/>
      <c r="M70" s="35"/>
      <c r="N70" s="35"/>
      <c r="O70" s="39"/>
      <c r="P70" s="39"/>
    </row>
    <row r="71" spans="1:19" x14ac:dyDescent="0.25">
      <c r="A71" s="37" t="s">
        <v>106</v>
      </c>
      <c r="B71" s="40">
        <v>3</v>
      </c>
      <c r="I71" s="80"/>
      <c r="J71" s="80"/>
      <c r="K71" s="80"/>
    </row>
    <row r="72" spans="1:19" x14ac:dyDescent="0.25">
      <c r="A72" s="46" t="s">
        <v>0</v>
      </c>
      <c r="B72" s="30" t="s">
        <v>1</v>
      </c>
      <c r="C72" s="30" t="s">
        <v>2</v>
      </c>
      <c r="D72" s="30" t="s">
        <v>3</v>
      </c>
      <c r="E72" s="30" t="s">
        <v>4</v>
      </c>
      <c r="F72" s="30" t="s">
        <v>5</v>
      </c>
      <c r="I72" s="80"/>
      <c r="J72" s="80"/>
      <c r="K72" s="80"/>
      <c r="O72" s="41" t="s">
        <v>7</v>
      </c>
      <c r="R72" s="41"/>
      <c r="S72" s="41"/>
    </row>
    <row r="73" spans="1:19" x14ac:dyDescent="0.25">
      <c r="A73" s="32" t="s">
        <v>86</v>
      </c>
      <c r="B73" s="57">
        <f>DATA!AY8</f>
        <v>9.5399999999999991</v>
      </c>
      <c r="C73" s="57">
        <f>DATA!AZ8</f>
        <v>8.968</v>
      </c>
      <c r="D73" s="57">
        <f>DATA!BA8</f>
        <v>7.3304</v>
      </c>
      <c r="E73" s="31">
        <f>SUM(B73:D73)</f>
        <v>25.8384</v>
      </c>
      <c r="F73" s="31">
        <f>E73/3</f>
        <v>8.6128</v>
      </c>
      <c r="H73" s="47"/>
      <c r="I73" s="47"/>
      <c r="J73" s="47" t="s">
        <v>6</v>
      </c>
      <c r="K73" s="47"/>
      <c r="L73" s="47"/>
      <c r="M73" s="47"/>
      <c r="N73" s="47"/>
      <c r="O73" s="33">
        <v>1</v>
      </c>
      <c r="P73" s="42">
        <f>SUM(F73:F81)/9</f>
        <v>17.787291659259257</v>
      </c>
      <c r="Q73" s="49">
        <f>RANK(P73,P$73:P$74,0)</f>
        <v>1</v>
      </c>
      <c r="R73" s="41"/>
      <c r="S73" s="41"/>
    </row>
    <row r="74" spans="1:19" x14ac:dyDescent="0.25">
      <c r="A74" s="32" t="s">
        <v>87</v>
      </c>
      <c r="B74" s="57">
        <f>DATA!AY9</f>
        <v>17.394057199999995</v>
      </c>
      <c r="C74" s="57">
        <f>DATA!AZ9</f>
        <v>19.411999999999999</v>
      </c>
      <c r="D74" s="57">
        <f>DATA!BA9</f>
        <v>20.445</v>
      </c>
      <c r="E74" s="31">
        <f t="shared" ref="E74:E90" si="15">SUM(B74:D74)</f>
        <v>57.251057199999998</v>
      </c>
      <c r="F74" s="31">
        <f t="shared" ref="F74:F87" si="16">E74/3</f>
        <v>19.083685733333333</v>
      </c>
      <c r="G74" s="31"/>
      <c r="H74" s="30" t="s">
        <v>8</v>
      </c>
      <c r="I74" s="30" t="s">
        <v>9</v>
      </c>
      <c r="J74" s="30" t="s">
        <v>10</v>
      </c>
      <c r="K74" s="30" t="s">
        <v>11</v>
      </c>
      <c r="L74" s="30" t="s">
        <v>12</v>
      </c>
      <c r="M74" s="30" t="s">
        <v>112</v>
      </c>
      <c r="N74" s="50"/>
      <c r="O74" s="33">
        <v>2</v>
      </c>
      <c r="P74" s="42">
        <f>SUM(F82:F90)/9</f>
        <v>15.792481481481483</v>
      </c>
      <c r="Q74" s="49">
        <f>RANK(P74,P$73:P$74,0)</f>
        <v>2</v>
      </c>
      <c r="R74" s="41"/>
      <c r="S74" s="41"/>
    </row>
    <row r="75" spans="1:19" x14ac:dyDescent="0.25">
      <c r="A75" s="32" t="s">
        <v>88</v>
      </c>
      <c r="B75" s="57">
        <f>DATA!AY10</f>
        <v>21.869999999999997</v>
      </c>
      <c r="C75" s="57">
        <f>DATA!AZ10</f>
        <v>19.975200000000005</v>
      </c>
      <c r="D75" s="57">
        <f>DATA!BA10</f>
        <v>21.525999999999996</v>
      </c>
      <c r="E75" s="31">
        <f t="shared" si="15"/>
        <v>63.371200000000002</v>
      </c>
      <c r="F75" s="31">
        <f t="shared" si="16"/>
        <v>21.123733333333334</v>
      </c>
      <c r="G75" s="31" t="s">
        <v>13</v>
      </c>
      <c r="H75" s="31">
        <f>B71-1</f>
        <v>2</v>
      </c>
      <c r="I75" s="31">
        <f>D94</f>
        <v>3.7649491187839885</v>
      </c>
      <c r="J75" s="31">
        <f>I75/H75</f>
        <v>1.8824745593919943</v>
      </c>
      <c r="K75" s="31">
        <f>J75/$J$16</f>
        <v>2731.6703492282818</v>
      </c>
      <c r="L75" s="31">
        <f>FINV(0.05,H75,$H$16)</f>
        <v>3.275897990672394</v>
      </c>
      <c r="M75" s="31" t="str">
        <f>IF(K75&gt;=L75, "S", "NS")</f>
        <v>S</v>
      </c>
      <c r="N75" s="39"/>
      <c r="O75" s="30" t="s">
        <v>14</v>
      </c>
      <c r="P75" s="42">
        <f>SQRT(J80/(3*9))</f>
        <v>0.25504255523712394</v>
      </c>
      <c r="R75" s="41"/>
      <c r="S75" s="41"/>
    </row>
    <row r="76" spans="1:19" x14ac:dyDescent="0.25">
      <c r="A76" s="32" t="s">
        <v>89</v>
      </c>
      <c r="B76" s="57">
        <f>DATA!AY11</f>
        <v>16.212000000000003</v>
      </c>
      <c r="C76" s="57">
        <f>DATA!AZ11</f>
        <v>15.497999999999999</v>
      </c>
      <c r="D76" s="57">
        <f>DATA!BA11</f>
        <v>14.842000000000001</v>
      </c>
      <c r="E76" s="31">
        <f t="shared" si="15"/>
        <v>46.552</v>
      </c>
      <c r="F76" s="31">
        <f t="shared" si="16"/>
        <v>15.517333333333333</v>
      </c>
      <c r="G76" s="31" t="s">
        <v>15</v>
      </c>
      <c r="H76" s="31">
        <f>D70-1</f>
        <v>17</v>
      </c>
      <c r="I76" s="31">
        <f>B95</f>
        <v>987.02841330688534</v>
      </c>
      <c r="J76" s="31">
        <f t="shared" ref="J76:J80" si="17">I76/H76</f>
        <v>58.060494900405018</v>
      </c>
      <c r="K76" s="31">
        <f>J76/$J$16</f>
        <v>84251.939336796102</v>
      </c>
      <c r="L76" s="31">
        <f>FINV(0.05,H76,$H$16)</f>
        <v>1.9332068318040869</v>
      </c>
      <c r="M76" s="43" t="str">
        <f t="shared" ref="M76" si="18">IF(K76&gt;=L76, "S", "NS")</f>
        <v>S</v>
      </c>
      <c r="N76" s="30" t="s">
        <v>113</v>
      </c>
      <c r="O76" s="30" t="s">
        <v>16</v>
      </c>
      <c r="P76" s="42">
        <f>SQRT((2*J80)/(3*9))*L81</f>
        <v>0.73299938045180035</v>
      </c>
      <c r="R76" s="41"/>
      <c r="S76" s="41"/>
    </row>
    <row r="77" spans="1:19" x14ac:dyDescent="0.25">
      <c r="A77" s="32" t="s">
        <v>90</v>
      </c>
      <c r="B77" s="57">
        <f>DATA!AY12</f>
        <v>21.868217599999994</v>
      </c>
      <c r="C77" s="57">
        <f>DATA!AZ12</f>
        <v>22.372</v>
      </c>
      <c r="D77" s="57">
        <f>DATA!BA12</f>
        <v>20.47</v>
      </c>
      <c r="E77" s="31">
        <f t="shared" si="15"/>
        <v>64.710217599999993</v>
      </c>
      <c r="F77" s="31">
        <f t="shared" si="16"/>
        <v>21.570072533333331</v>
      </c>
      <c r="G77" s="31" t="s">
        <v>108</v>
      </c>
      <c r="H77" s="31">
        <f>B69-1</f>
        <v>1</v>
      </c>
      <c r="I77" s="31">
        <f>(SUM(E73:E81)^2+SUM(E82:E90)^2)/27-B93</f>
        <v>53.720113212431897</v>
      </c>
      <c r="J77" s="31">
        <f t="shared" si="17"/>
        <v>53.720113212431897</v>
      </c>
      <c r="K77" s="31">
        <f>J77/$J$16</f>
        <v>77953.584916963184</v>
      </c>
      <c r="L77" s="31">
        <f>FINV(0.05,H77,$H$16)</f>
        <v>4.1300177456520188</v>
      </c>
      <c r="M77" s="31" t="str">
        <f>IF(K77&gt;=L77, "S", "NS")</f>
        <v>S</v>
      </c>
      <c r="N77" s="39"/>
      <c r="O77" s="33">
        <v>1</v>
      </c>
      <c r="P77" s="42">
        <f>(F73+F82)/2</f>
        <v>7.7128999999999994</v>
      </c>
      <c r="Q77" s="49">
        <f>RANK(P77,P$77:P$85,0)</f>
        <v>9</v>
      </c>
      <c r="R77" s="51">
        <v>9</v>
      </c>
      <c r="S77" s="41"/>
    </row>
    <row r="78" spans="1:19" x14ac:dyDescent="0.25">
      <c r="A78" s="32" t="s">
        <v>91</v>
      </c>
      <c r="B78" s="57">
        <f>DATA!AY13</f>
        <v>26.417999999999999</v>
      </c>
      <c r="C78" s="57">
        <f>DATA!AZ13</f>
        <v>21.414000000000001</v>
      </c>
      <c r="D78" s="57">
        <f>DATA!BA13</f>
        <v>22.465999999999998</v>
      </c>
      <c r="E78" s="31">
        <f t="shared" si="15"/>
        <v>70.298000000000002</v>
      </c>
      <c r="F78" s="31">
        <f t="shared" si="16"/>
        <v>23.432666666666666</v>
      </c>
      <c r="G78" s="31" t="s">
        <v>109</v>
      </c>
      <c r="H78" s="31">
        <f>B70-1</f>
        <v>8</v>
      </c>
      <c r="I78" s="31">
        <f>((E73+E82)^2+(E74+E83)^2+(E75+E84)^2+(E76+E85)^2+(E77+E86)^2+(E78+E87)^2+(E79+E88)^2+(E80+E89)^2+(E81+E90)^2/6)-B93</f>
        <v>75719.321183665699</v>
      </c>
      <c r="J78" s="31">
        <f t="shared" si="17"/>
        <v>9464.9151479582124</v>
      </c>
      <c r="K78" s="31">
        <f>J78/$J$16</f>
        <v>13734596.273104364</v>
      </c>
      <c r="L78" s="31">
        <f>FINV(0.05,H78,$H$16)</f>
        <v>2.2253399674380931</v>
      </c>
      <c r="M78" s="31" t="str">
        <f>IF(K78&gt;=L78, "S", "NS")</f>
        <v>S</v>
      </c>
      <c r="N78" s="39"/>
      <c r="O78" s="33">
        <v>2</v>
      </c>
      <c r="P78" s="42">
        <f t="shared" ref="P78:P85" si="19">(F74+F83)/2</f>
        <v>17.057509533333334</v>
      </c>
      <c r="Q78" s="49">
        <f t="shared" ref="Q78:Q84" si="20">RANK(P78,P$77:P$85,0)</f>
        <v>5</v>
      </c>
      <c r="R78" s="52">
        <v>5</v>
      </c>
      <c r="S78" s="41"/>
    </row>
    <row r="79" spans="1:19" x14ac:dyDescent="0.25">
      <c r="A79" s="32" t="s">
        <v>92</v>
      </c>
      <c r="B79" s="57">
        <f>DATA!AY14</f>
        <v>18.09</v>
      </c>
      <c r="C79" s="57">
        <f>DATA!AZ14</f>
        <v>16.59</v>
      </c>
      <c r="D79" s="57">
        <f>DATA!BA14</f>
        <v>15.948999999999998</v>
      </c>
      <c r="E79" s="31">
        <f t="shared" si="15"/>
        <v>50.628999999999998</v>
      </c>
      <c r="F79" s="31">
        <f t="shared" si="16"/>
        <v>16.876333333333331</v>
      </c>
      <c r="G79" s="26" t="s">
        <v>110</v>
      </c>
      <c r="H79" s="31">
        <f>H77*H78</f>
        <v>8</v>
      </c>
      <c r="I79" s="31">
        <f>I76-(I77+I78)</f>
        <v>-74786.012883571238</v>
      </c>
      <c r="J79" s="31">
        <f t="shared" si="17"/>
        <v>-9348.2516104464048</v>
      </c>
      <c r="K79" s="44">
        <f>J79/$J$16</f>
        <v>-13565305.100128293</v>
      </c>
      <c r="L79" s="31">
        <f>FINV(0.05,H79,$H$16)</f>
        <v>2.2253399674380931</v>
      </c>
      <c r="M79" s="31" t="str">
        <f t="shared" ref="M79" si="21">IF(K79&gt;=L79, "S", "NS")</f>
        <v>NS</v>
      </c>
      <c r="N79" s="39"/>
      <c r="O79" s="33">
        <v>3</v>
      </c>
      <c r="P79" s="42">
        <f t="shared" si="19"/>
        <v>20.621866666666669</v>
      </c>
      <c r="Q79" s="49">
        <f t="shared" si="20"/>
        <v>2</v>
      </c>
      <c r="R79" s="52">
        <v>2</v>
      </c>
      <c r="S79" s="41"/>
    </row>
    <row r="80" spans="1:19" x14ac:dyDescent="0.25">
      <c r="A80" s="32" t="s">
        <v>93</v>
      </c>
      <c r="B80" s="57">
        <f>DATA!AY15</f>
        <v>19.574999999999999</v>
      </c>
      <c r="C80" s="57">
        <f>DATA!AZ15</f>
        <v>19.974999999999998</v>
      </c>
      <c r="D80" s="57">
        <f>DATA!BA15</f>
        <v>19.273999999999997</v>
      </c>
      <c r="E80" s="31">
        <f t="shared" si="15"/>
        <v>58.823999999999998</v>
      </c>
      <c r="F80" s="31">
        <f t="shared" si="16"/>
        <v>19.608000000000001</v>
      </c>
      <c r="G80" s="45" t="s">
        <v>23</v>
      </c>
      <c r="H80" s="31">
        <f>((B71-1)*(B69*B70-1))</f>
        <v>34</v>
      </c>
      <c r="I80" s="31">
        <f>D95</f>
        <v>59.712875173367138</v>
      </c>
      <c r="J80" s="31">
        <f t="shared" si="17"/>
        <v>1.7562610345107981</v>
      </c>
      <c r="O80" s="33">
        <v>4</v>
      </c>
      <c r="P80" s="42">
        <f t="shared" si="19"/>
        <v>15.261666666666667</v>
      </c>
      <c r="Q80" s="49">
        <f t="shared" si="20"/>
        <v>7</v>
      </c>
      <c r="R80" s="52">
        <v>7</v>
      </c>
      <c r="S80" s="41"/>
    </row>
    <row r="81" spans="1:18" x14ac:dyDescent="0.25">
      <c r="A81" s="32" t="s">
        <v>94</v>
      </c>
      <c r="B81" s="57">
        <f>DATA!AY16</f>
        <v>14.235000000000001</v>
      </c>
      <c r="C81" s="57">
        <f>DATA!AZ16</f>
        <v>14.280000000000001</v>
      </c>
      <c r="D81" s="57">
        <f>DATA!BA16</f>
        <v>14.267999999999997</v>
      </c>
      <c r="E81" s="31">
        <f t="shared" si="15"/>
        <v>42.783000000000001</v>
      </c>
      <c r="F81" s="31">
        <f t="shared" si="16"/>
        <v>14.261000000000001</v>
      </c>
      <c r="G81" s="44" t="s">
        <v>4</v>
      </c>
      <c r="H81" s="31">
        <f>SUM(H75:H80)-H76</f>
        <v>53</v>
      </c>
      <c r="I81" s="31">
        <f>B94</f>
        <v>1050.5062375990365</v>
      </c>
      <c r="K81" s="31" t="s">
        <v>111</v>
      </c>
      <c r="L81" s="41">
        <f>TINV(0.05,34)</f>
        <v>2.0322445093177191</v>
      </c>
      <c r="O81" s="33">
        <v>5</v>
      </c>
      <c r="P81" s="42">
        <f t="shared" si="19"/>
        <v>19.228536266666666</v>
      </c>
      <c r="Q81" s="49">
        <f t="shared" si="20"/>
        <v>3</v>
      </c>
      <c r="R81" s="51">
        <v>3</v>
      </c>
    </row>
    <row r="82" spans="1:18" x14ac:dyDescent="0.25">
      <c r="A82" s="32" t="s">
        <v>95</v>
      </c>
      <c r="B82" s="57">
        <f>DATA!AY17</f>
        <v>10.335000000000001</v>
      </c>
      <c r="C82" s="57">
        <f>DATA!AZ17</f>
        <v>4.68</v>
      </c>
      <c r="D82" s="57">
        <f>DATA!BA17</f>
        <v>5.4240000000000004</v>
      </c>
      <c r="E82" s="31">
        <f t="shared" si="15"/>
        <v>20.439</v>
      </c>
      <c r="F82" s="31">
        <f t="shared" si="16"/>
        <v>6.8129999999999997</v>
      </c>
      <c r="G82" s="34" t="s">
        <v>14</v>
      </c>
      <c r="H82" s="31">
        <f>SQRT(J80/3)</f>
        <v>0.76512766571137181</v>
      </c>
      <c r="O82" s="33">
        <v>6</v>
      </c>
      <c r="P82" s="42">
        <f t="shared" si="19"/>
        <v>22.713666666666665</v>
      </c>
      <c r="Q82" s="49">
        <f t="shared" si="20"/>
        <v>1</v>
      </c>
      <c r="R82" s="52">
        <v>1</v>
      </c>
    </row>
    <row r="83" spans="1:18" x14ac:dyDescent="0.25">
      <c r="A83" s="32" t="s">
        <v>96</v>
      </c>
      <c r="B83" s="57">
        <f>DATA!AY18</f>
        <v>15.4</v>
      </c>
      <c r="C83" s="57">
        <f>DATA!AZ18</f>
        <v>14.196</v>
      </c>
      <c r="D83" s="57">
        <f>DATA!BA18</f>
        <v>15.497999999999999</v>
      </c>
      <c r="E83" s="31">
        <f t="shared" si="15"/>
        <v>45.094000000000001</v>
      </c>
      <c r="F83" s="31">
        <f t="shared" si="16"/>
        <v>15.031333333333334</v>
      </c>
      <c r="G83" s="34" t="s">
        <v>16</v>
      </c>
      <c r="H83" s="31">
        <f>(SQRT((2*J80)/3))*L81</f>
        <v>2.1989981413554016</v>
      </c>
      <c r="O83" s="33">
        <v>7</v>
      </c>
      <c r="P83" s="42">
        <f t="shared" si="19"/>
        <v>16.306333333333331</v>
      </c>
      <c r="Q83" s="49">
        <f t="shared" si="20"/>
        <v>6</v>
      </c>
      <c r="R83" s="52">
        <v>6</v>
      </c>
    </row>
    <row r="84" spans="1:18" x14ac:dyDescent="0.25">
      <c r="A84" s="32" t="s">
        <v>97</v>
      </c>
      <c r="B84" s="57">
        <f>DATA!AY19</f>
        <v>20.076000000000001</v>
      </c>
      <c r="C84" s="57">
        <f>DATA!AZ19</f>
        <v>20.124000000000002</v>
      </c>
      <c r="D84" s="57">
        <f>DATA!BA19</f>
        <v>20.159999999999997</v>
      </c>
      <c r="E84" s="31">
        <f t="shared" si="15"/>
        <v>60.36</v>
      </c>
      <c r="F84" s="31">
        <f t="shared" si="16"/>
        <v>20.12</v>
      </c>
      <c r="G84" s="34" t="s">
        <v>29</v>
      </c>
      <c r="H84" s="31">
        <f>((SQRT(J80))/F91)*100</f>
        <v>7.8930848385084555</v>
      </c>
      <c r="O84" s="33">
        <v>8</v>
      </c>
      <c r="P84" s="42">
        <f t="shared" si="19"/>
        <v>18.264666666666667</v>
      </c>
      <c r="Q84" s="49">
        <f t="shared" si="20"/>
        <v>4</v>
      </c>
      <c r="R84" s="51">
        <v>4</v>
      </c>
    </row>
    <row r="85" spans="1:18" x14ac:dyDescent="0.25">
      <c r="A85" s="32" t="s">
        <v>98</v>
      </c>
      <c r="B85" s="57">
        <f>DATA!AY20</f>
        <v>15.455999999999998</v>
      </c>
      <c r="C85" s="57">
        <f>DATA!AZ20</f>
        <v>13.641999999999999</v>
      </c>
      <c r="D85" s="57">
        <f>DATA!BA20</f>
        <v>15.92</v>
      </c>
      <c r="E85" s="31">
        <f t="shared" si="15"/>
        <v>45.018000000000001</v>
      </c>
      <c r="F85" s="31">
        <f t="shared" si="16"/>
        <v>15.006</v>
      </c>
      <c r="O85" s="33">
        <v>9</v>
      </c>
      <c r="P85" s="42">
        <f t="shared" si="19"/>
        <v>13.941833333333335</v>
      </c>
      <c r="Q85" s="49">
        <f>RANK(P85,P$77:P$85,0)</f>
        <v>8</v>
      </c>
      <c r="R85" s="52">
        <v>8</v>
      </c>
    </row>
    <row r="86" spans="1:18" x14ac:dyDescent="0.25">
      <c r="A86" s="32" t="s">
        <v>99</v>
      </c>
      <c r="B86" s="57">
        <f>DATA!AY21</f>
        <v>14.965000000000002</v>
      </c>
      <c r="C86" s="57">
        <f>DATA!AZ21</f>
        <v>18.696000000000002</v>
      </c>
      <c r="D86" s="57">
        <f>DATA!BA21</f>
        <v>17</v>
      </c>
      <c r="E86" s="31">
        <f t="shared" si="15"/>
        <v>50.661000000000001</v>
      </c>
      <c r="F86" s="31">
        <f t="shared" si="16"/>
        <v>16.887</v>
      </c>
      <c r="O86" s="30" t="s">
        <v>14</v>
      </c>
      <c r="P86" s="42">
        <f>SQRT(J80/(3*2))</f>
        <v>0.54102696089794489</v>
      </c>
      <c r="Q86" s="49"/>
    </row>
    <row r="87" spans="1:18" x14ac:dyDescent="0.25">
      <c r="A87" s="32" t="s">
        <v>100</v>
      </c>
      <c r="B87" s="57">
        <f>DATA!AY22</f>
        <v>22.463999999999999</v>
      </c>
      <c r="C87" s="57">
        <f>DATA!AZ22</f>
        <v>21.336000000000002</v>
      </c>
      <c r="D87" s="57">
        <f>DATA!BA22</f>
        <v>22.184000000000001</v>
      </c>
      <c r="E87" s="31">
        <f t="shared" si="15"/>
        <v>65.983999999999995</v>
      </c>
      <c r="F87" s="31">
        <f t="shared" si="16"/>
        <v>21.994666666666664</v>
      </c>
      <c r="N87" s="30" t="s">
        <v>109</v>
      </c>
      <c r="O87" s="30" t="s">
        <v>16</v>
      </c>
      <c r="P87" s="42">
        <f>SQRT((2*J80)/(3*2))*L81</f>
        <v>1.5549264975690185</v>
      </c>
      <c r="Q87" s="49"/>
    </row>
    <row r="88" spans="1:18" x14ac:dyDescent="0.25">
      <c r="A88" s="32" t="s">
        <v>101</v>
      </c>
      <c r="B88" s="57">
        <f>DATA!AY23</f>
        <v>15.539000000000001</v>
      </c>
      <c r="C88" s="57">
        <f>DATA!AZ23</f>
        <v>14.741999999999999</v>
      </c>
      <c r="D88" s="57">
        <f>DATA!BA23</f>
        <v>16.927999999999997</v>
      </c>
      <c r="E88" s="31">
        <f t="shared" si="15"/>
        <v>47.208999999999996</v>
      </c>
      <c r="F88" s="31">
        <f>E88/3</f>
        <v>15.736333333333333</v>
      </c>
      <c r="Q88" s="49"/>
    </row>
    <row r="89" spans="1:18" x14ac:dyDescent="0.25">
      <c r="A89" s="32" t="s">
        <v>102</v>
      </c>
      <c r="B89" s="57">
        <f>DATA!AY24</f>
        <v>16.36</v>
      </c>
      <c r="C89" s="57">
        <f>DATA!AZ24</f>
        <v>17.556000000000001</v>
      </c>
      <c r="D89" s="57">
        <f>DATA!BA24</f>
        <v>16.848000000000003</v>
      </c>
      <c r="E89" s="31">
        <f t="shared" si="15"/>
        <v>50.763999999999996</v>
      </c>
      <c r="F89" s="31">
        <f t="shared" ref="F89:F90" si="22">E89/3</f>
        <v>16.921333333333333</v>
      </c>
    </row>
    <row r="90" spans="1:18" x14ac:dyDescent="0.25">
      <c r="A90" s="32" t="s">
        <v>103</v>
      </c>
      <c r="B90" s="57">
        <f>DATA!AY25</f>
        <v>12.875999999999999</v>
      </c>
      <c r="C90" s="57">
        <f>DATA!AZ25</f>
        <v>13.912000000000001</v>
      </c>
      <c r="D90" s="57">
        <f>DATA!BA25</f>
        <v>14.080000000000002</v>
      </c>
      <c r="E90" s="31">
        <f t="shared" si="15"/>
        <v>40.868000000000002</v>
      </c>
      <c r="F90" s="31">
        <f t="shared" si="22"/>
        <v>13.622666666666667</v>
      </c>
    </row>
    <row r="91" spans="1:18" x14ac:dyDescent="0.25">
      <c r="A91" s="30" t="s">
        <v>4</v>
      </c>
      <c r="B91" s="31">
        <f>SUM(B73:B90)</f>
        <v>308.67327479999994</v>
      </c>
      <c r="C91" s="31">
        <f t="shared" ref="C91:D91" si="23">SUM(C73:C90)</f>
        <v>297.3682</v>
      </c>
      <c r="D91" s="31">
        <f t="shared" si="23"/>
        <v>300.61239999999998</v>
      </c>
      <c r="E91" s="31">
        <f>SUM(E73:E90)</f>
        <v>906.65387480000027</v>
      </c>
      <c r="F91" s="31">
        <f>AVERAGE(B73:D90)</f>
        <v>16.789886570370374</v>
      </c>
    </row>
    <row r="92" spans="1:18" x14ac:dyDescent="0.25">
      <c r="A92" s="30" t="s">
        <v>5</v>
      </c>
      <c r="B92" s="31">
        <f>B91/18</f>
        <v>17.148515266666664</v>
      </c>
      <c r="C92" s="31">
        <f>C91/18</f>
        <v>16.520455555555557</v>
      </c>
      <c r="D92" s="31">
        <f>D91/18</f>
        <v>16.700688888888887</v>
      </c>
    </row>
    <row r="93" spans="1:18" x14ac:dyDescent="0.25">
      <c r="A93" s="30" t="s">
        <v>26</v>
      </c>
      <c r="B93" s="31">
        <f>(E91*E91)/54</f>
        <v>15222.615716478787</v>
      </c>
      <c r="C93" s="31"/>
      <c r="D93" s="31"/>
    </row>
    <row r="94" spans="1:18" x14ac:dyDescent="0.25">
      <c r="A94" s="30" t="s">
        <v>27</v>
      </c>
      <c r="B94" s="31">
        <f>SUMSQ(B73:D90)-B93</f>
        <v>1050.5062375990365</v>
      </c>
      <c r="C94" s="30" t="s">
        <v>28</v>
      </c>
      <c r="D94" s="31">
        <f>(SUMSQ(B91:D91)/18)-B93</f>
        <v>3.7649491187839885</v>
      </c>
    </row>
    <row r="95" spans="1:18" x14ac:dyDescent="0.25">
      <c r="A95" s="30" t="s">
        <v>30</v>
      </c>
      <c r="B95" s="31">
        <f>(SUMSQ(E73:E90)/3)-B93</f>
        <v>987.02841330688534</v>
      </c>
      <c r="C95" s="30" t="s">
        <v>31</v>
      </c>
      <c r="D95" s="31">
        <f>B94-B95-D94</f>
        <v>59.712875173367138</v>
      </c>
    </row>
    <row r="99" spans="1:18" ht="15.75" x14ac:dyDescent="0.25">
      <c r="C99" s="56" t="s">
        <v>124</v>
      </c>
    </row>
    <row r="100" spans="1:18" ht="15.75" x14ac:dyDescent="0.25">
      <c r="C100" s="65" t="s">
        <v>117</v>
      </c>
    </row>
    <row r="101" spans="1:18" x14ac:dyDescent="0.25">
      <c r="A101" s="36" t="s">
        <v>104</v>
      </c>
      <c r="B101" s="38">
        <v>2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5"/>
      <c r="N101" s="35"/>
      <c r="O101" s="39"/>
      <c r="P101" s="39"/>
    </row>
    <row r="102" spans="1:18" x14ac:dyDescent="0.25">
      <c r="A102" s="36" t="s">
        <v>105</v>
      </c>
      <c r="B102" s="38">
        <v>9</v>
      </c>
      <c r="C102" s="39" t="s">
        <v>107</v>
      </c>
      <c r="D102" s="39">
        <v>18</v>
      </c>
      <c r="E102" s="39"/>
      <c r="F102" s="39"/>
      <c r="G102" s="39"/>
      <c r="H102" s="39"/>
      <c r="I102" s="39"/>
      <c r="J102" s="39"/>
      <c r="K102" s="39"/>
      <c r="L102" s="39"/>
      <c r="M102" s="35"/>
      <c r="N102" s="35"/>
      <c r="O102" s="39"/>
      <c r="P102" s="39"/>
    </row>
    <row r="103" spans="1:18" x14ac:dyDescent="0.25">
      <c r="A103" s="37" t="s">
        <v>106</v>
      </c>
      <c r="B103" s="40">
        <v>3</v>
      </c>
    </row>
    <row r="104" spans="1:18" x14ac:dyDescent="0.25">
      <c r="A104" s="46" t="s">
        <v>0</v>
      </c>
      <c r="B104" s="30" t="s">
        <v>1</v>
      </c>
      <c r="C104" s="30" t="s">
        <v>2</v>
      </c>
      <c r="D104" s="30" t="s">
        <v>3</v>
      </c>
      <c r="E104" s="30" t="s">
        <v>4</v>
      </c>
      <c r="F104" s="30" t="s">
        <v>5</v>
      </c>
      <c r="O104" s="41" t="s">
        <v>7</v>
      </c>
      <c r="R104" s="41"/>
    </row>
    <row r="105" spans="1:18" x14ac:dyDescent="0.25">
      <c r="A105" s="32" t="s">
        <v>86</v>
      </c>
      <c r="B105" s="57">
        <f>DATA!AY31</f>
        <v>49.368000000000002</v>
      </c>
      <c r="C105" s="57">
        <f>DATA!AZ31</f>
        <v>50.048000000000002</v>
      </c>
      <c r="D105" s="57">
        <f>DATA!BA31</f>
        <v>61.607999999999997</v>
      </c>
      <c r="E105" s="31">
        <f>SUM(B105:D105)</f>
        <v>161.024</v>
      </c>
      <c r="F105" s="31">
        <f>E105/3</f>
        <v>53.674666666666667</v>
      </c>
      <c r="H105" s="47"/>
      <c r="I105" s="47"/>
      <c r="J105" s="47" t="s">
        <v>6</v>
      </c>
      <c r="K105" s="47"/>
      <c r="L105" s="47"/>
      <c r="M105" s="47"/>
      <c r="N105" s="47"/>
      <c r="O105" s="33">
        <v>1</v>
      </c>
      <c r="P105" s="42">
        <f>SUM(F105:F113)/9</f>
        <v>100.81733333333334</v>
      </c>
      <c r="Q105" s="49">
        <f>RANK(P105,P$105:P$106,0)</f>
        <v>1</v>
      </c>
      <c r="R105" s="41"/>
    </row>
    <row r="106" spans="1:18" x14ac:dyDescent="0.25">
      <c r="A106" s="32" t="s">
        <v>87</v>
      </c>
      <c r="B106" s="57">
        <f>DATA!AY32</f>
        <v>98.532000000000011</v>
      </c>
      <c r="C106" s="57">
        <f>DATA!AZ32</f>
        <v>106.58200000000001</v>
      </c>
      <c r="D106" s="57">
        <f>DATA!BA32</f>
        <v>105.92000000000002</v>
      </c>
      <c r="E106" s="31">
        <f t="shared" ref="E106:E122" si="24">SUM(B106:D106)</f>
        <v>311.03400000000005</v>
      </c>
      <c r="F106" s="31">
        <f t="shared" ref="F106:F119" si="25">E106/3</f>
        <v>103.67800000000001</v>
      </c>
      <c r="G106" s="31"/>
      <c r="H106" s="30" t="s">
        <v>8</v>
      </c>
      <c r="I106" s="30" t="s">
        <v>9</v>
      </c>
      <c r="J106" s="30" t="s">
        <v>10</v>
      </c>
      <c r="K106" s="30" t="s">
        <v>11</v>
      </c>
      <c r="L106" s="30" t="s">
        <v>12</v>
      </c>
      <c r="M106" s="30" t="s">
        <v>112</v>
      </c>
      <c r="N106" s="50"/>
      <c r="O106" s="33">
        <v>2</v>
      </c>
      <c r="P106" s="42">
        <f>SUM(F114:F122)/9</f>
        <v>95.013111111111115</v>
      </c>
      <c r="Q106" s="49">
        <f>RANK(P106,P$105:P$106,0)</f>
        <v>2</v>
      </c>
      <c r="R106" s="41"/>
    </row>
    <row r="107" spans="1:18" x14ac:dyDescent="0.25">
      <c r="A107" s="32" t="s">
        <v>88</v>
      </c>
      <c r="B107" s="57">
        <f>DATA!AY33</f>
        <v>115.06300000000002</v>
      </c>
      <c r="C107" s="57">
        <f>DATA!AZ33</f>
        <v>125.658</v>
      </c>
      <c r="D107" s="57">
        <f>DATA!BA33</f>
        <v>108.83199999999999</v>
      </c>
      <c r="E107" s="31">
        <f t="shared" si="24"/>
        <v>349.553</v>
      </c>
      <c r="F107" s="31">
        <f t="shared" si="25"/>
        <v>116.51766666666667</v>
      </c>
      <c r="G107" s="31" t="s">
        <v>13</v>
      </c>
      <c r="H107" s="31">
        <f>B103-1</f>
        <v>2</v>
      </c>
      <c r="I107" s="31">
        <f>D126</f>
        <v>8.5550834444584325</v>
      </c>
      <c r="J107" s="31">
        <f>I107/H107</f>
        <v>4.2775417222292162</v>
      </c>
      <c r="K107" s="31">
        <f>J107/$J$16</f>
        <v>6207.1669611165544</v>
      </c>
      <c r="L107" s="31">
        <f>FINV(0.05,H107,$H$16)</f>
        <v>3.275897990672394</v>
      </c>
      <c r="M107" s="31" t="str">
        <f>IF(K107&gt;=L107, "S", "NS")</f>
        <v>S</v>
      </c>
      <c r="N107" s="39"/>
      <c r="O107" s="30" t="s">
        <v>14</v>
      </c>
      <c r="P107" s="42">
        <f>SQRT(J112/(3*9))</f>
        <v>1.2043929051731963</v>
      </c>
      <c r="R107" s="41"/>
    </row>
    <row r="108" spans="1:18" x14ac:dyDescent="0.25">
      <c r="A108" s="32" t="s">
        <v>89</v>
      </c>
      <c r="B108" s="57">
        <f>DATA!AY34</f>
        <v>98.56</v>
      </c>
      <c r="C108" s="57">
        <f>DATA!AZ34</f>
        <v>88.06</v>
      </c>
      <c r="D108" s="57">
        <f>DATA!BA34</f>
        <v>105.13500000000001</v>
      </c>
      <c r="E108" s="31">
        <f t="shared" si="24"/>
        <v>291.755</v>
      </c>
      <c r="F108" s="31">
        <f t="shared" si="25"/>
        <v>97.251666666666665</v>
      </c>
      <c r="G108" s="31" t="s">
        <v>15</v>
      </c>
      <c r="H108" s="31">
        <f>D102-1</f>
        <v>17</v>
      </c>
      <c r="I108" s="31">
        <f>B127</f>
        <v>19989.726200000092</v>
      </c>
      <c r="J108" s="31">
        <f t="shared" ref="J108:J112" si="26">I108/H108</f>
        <v>1175.866247058829</v>
      </c>
      <c r="K108" s="31">
        <f>J108/$J$16</f>
        <v>1706306.704504089</v>
      </c>
      <c r="L108" s="31">
        <f>FINV(0.05,H108,$H$16)</f>
        <v>1.9332068318040869</v>
      </c>
      <c r="M108" s="43" t="str">
        <f t="shared" ref="M108" si="27">IF(K108&gt;=L108, "S", "NS")</f>
        <v>S</v>
      </c>
      <c r="N108" s="30" t="s">
        <v>113</v>
      </c>
      <c r="O108" s="30" t="s">
        <v>16</v>
      </c>
      <c r="P108" s="42">
        <f>SQRT((2*J112)/(3*9))*L113</f>
        <v>3.4614586279207495</v>
      </c>
      <c r="R108" s="41"/>
    </row>
    <row r="109" spans="1:18" x14ac:dyDescent="0.25">
      <c r="A109" s="32" t="s">
        <v>90</v>
      </c>
      <c r="B109" s="57">
        <f>DATA!AY35</f>
        <v>112.64000000000001</v>
      </c>
      <c r="C109" s="57">
        <f>DATA!AZ35</f>
        <v>111.556</v>
      </c>
      <c r="D109" s="57">
        <f>DATA!BA35</f>
        <v>112.892</v>
      </c>
      <c r="E109" s="31">
        <f t="shared" si="24"/>
        <v>337.08800000000002</v>
      </c>
      <c r="F109" s="31">
        <f t="shared" si="25"/>
        <v>112.36266666666667</v>
      </c>
      <c r="G109" s="31" t="s">
        <v>108</v>
      </c>
      <c r="H109" s="31">
        <f>B101-1</f>
        <v>1</v>
      </c>
      <c r="I109" s="31">
        <f>(SUM(E105:E113)^2+SUM(E114:E122)^2)/27-B125</f>
        <v>454.80144066666253</v>
      </c>
      <c r="J109" s="31">
        <f t="shared" si="26"/>
        <v>454.80144066666253</v>
      </c>
      <c r="K109" s="31">
        <f>J109/$J$16</f>
        <v>659965.15281284356</v>
      </c>
      <c r="L109" s="31">
        <f>FINV(0.05,H109,$H$16)</f>
        <v>4.1300177456520188</v>
      </c>
      <c r="M109" s="31" t="str">
        <f>IF(K109&gt;=L109, "S", "NS")</f>
        <v>S</v>
      </c>
      <c r="N109" s="39"/>
      <c r="O109" s="33">
        <v>1</v>
      </c>
      <c r="P109" s="42">
        <f>(F105+F114)/2</f>
        <v>51.969499999999996</v>
      </c>
      <c r="Q109" s="49">
        <f>RANK(P109,P$109:P$117,0)</f>
        <v>9</v>
      </c>
      <c r="R109" s="51">
        <v>9</v>
      </c>
    </row>
    <row r="110" spans="1:18" x14ac:dyDescent="0.25">
      <c r="A110" s="32" t="s">
        <v>91</v>
      </c>
      <c r="B110" s="57">
        <f>DATA!AY36</f>
        <v>120.328</v>
      </c>
      <c r="C110" s="57">
        <f>DATA!AZ36</f>
        <v>136.46699999999998</v>
      </c>
      <c r="D110" s="57">
        <f>DATA!BA36</f>
        <v>115.59599999999999</v>
      </c>
      <c r="E110" s="31">
        <f t="shared" si="24"/>
        <v>372.39099999999996</v>
      </c>
      <c r="F110" s="31">
        <f t="shared" si="25"/>
        <v>124.13033333333333</v>
      </c>
      <c r="G110" s="31" t="s">
        <v>109</v>
      </c>
      <c r="H110" s="31">
        <f>B102-1</f>
        <v>8</v>
      </c>
      <c r="I110" s="31">
        <f>((E105+E114)^2+(E106+E115)^2+(E107+E116)^2+(E108+E117)^2+(E109+E118)^2+(E110+E119)^2+(E111+E120)^2+(E112+E121)^2+(E113+E122)^2/6)-B125</f>
        <v>2479189.6150880004</v>
      </c>
      <c r="J110" s="31">
        <f t="shared" si="26"/>
        <v>309898.70188600005</v>
      </c>
      <c r="K110" s="31">
        <f>J110/$J$16</f>
        <v>449695902.12137514</v>
      </c>
      <c r="L110" s="31">
        <f>FINV(0.05,H110,$H$16)</f>
        <v>2.2253399674380931</v>
      </c>
      <c r="M110" s="31" t="str">
        <f>IF(K110&gt;=L110, "S", "NS")</f>
        <v>S</v>
      </c>
      <c r="N110" s="39"/>
      <c r="O110" s="33">
        <v>2</v>
      </c>
      <c r="P110" s="42">
        <f t="shared" ref="P110:P117" si="28">(F106+F115)/2</f>
        <v>101.268</v>
      </c>
      <c r="Q110" s="49">
        <f t="shared" ref="Q110:Q117" si="29">RANK(P110,P$109:P$117,0)</f>
        <v>5</v>
      </c>
      <c r="R110" s="52">
        <v>5</v>
      </c>
    </row>
    <row r="111" spans="1:18" x14ac:dyDescent="0.25">
      <c r="A111" s="32" t="s">
        <v>92</v>
      </c>
      <c r="B111" s="57">
        <f>DATA!AY37</f>
        <v>106.045</v>
      </c>
      <c r="C111" s="57">
        <f>DATA!AZ37</f>
        <v>97.28</v>
      </c>
      <c r="D111" s="57">
        <f>DATA!BA37</f>
        <v>100.776</v>
      </c>
      <c r="E111" s="31">
        <f t="shared" si="24"/>
        <v>304.101</v>
      </c>
      <c r="F111" s="31">
        <f t="shared" si="25"/>
        <v>101.367</v>
      </c>
      <c r="G111" s="26" t="s">
        <v>110</v>
      </c>
      <c r="H111" s="31">
        <f>H109*H110</f>
        <v>8</v>
      </c>
      <c r="I111" s="31">
        <f>I108-(I109+I110)</f>
        <v>-2459654.6903286674</v>
      </c>
      <c r="J111" s="31">
        <f t="shared" si="26"/>
        <v>-307456.83629108343</v>
      </c>
      <c r="K111" s="44">
        <f>J111/$J$16</f>
        <v>-446152496.01840562</v>
      </c>
      <c r="L111" s="31">
        <f>FINV(0.05,H111,$H$16)</f>
        <v>2.2253399674380931</v>
      </c>
      <c r="M111" s="31" t="str">
        <f t="shared" ref="M111" si="30">IF(K111&gt;=L111, "S", "NS")</f>
        <v>NS</v>
      </c>
      <c r="N111" s="39"/>
      <c r="O111" s="33">
        <v>3</v>
      </c>
      <c r="P111" s="42">
        <f t="shared" si="28"/>
        <v>113.88716666666667</v>
      </c>
      <c r="Q111" s="49">
        <f t="shared" si="29"/>
        <v>2</v>
      </c>
      <c r="R111" s="52">
        <v>2</v>
      </c>
    </row>
    <row r="112" spans="1:18" x14ac:dyDescent="0.25">
      <c r="A112" s="32" t="s">
        <v>93</v>
      </c>
      <c r="B112" s="57">
        <f>DATA!AY38</f>
        <v>119.024</v>
      </c>
      <c r="C112" s="57">
        <f>DATA!AZ38</f>
        <v>105.94399999999999</v>
      </c>
      <c r="D112" s="57">
        <f>DATA!BA38</f>
        <v>108.735</v>
      </c>
      <c r="E112" s="31">
        <f t="shared" si="24"/>
        <v>333.70299999999997</v>
      </c>
      <c r="F112" s="31">
        <f t="shared" si="25"/>
        <v>111.23433333333332</v>
      </c>
      <c r="G112" s="45" t="s">
        <v>23</v>
      </c>
      <c r="H112" s="31">
        <f>((B103-1)*(B101*B102-1))</f>
        <v>34</v>
      </c>
      <c r="I112" s="31">
        <f>D127</f>
        <v>1331.6161638889462</v>
      </c>
      <c r="J112" s="31">
        <f t="shared" si="26"/>
        <v>39.165181290851358</v>
      </c>
      <c r="O112" s="33">
        <v>4</v>
      </c>
      <c r="P112" s="42">
        <f t="shared" si="28"/>
        <v>94.101833333333332</v>
      </c>
      <c r="Q112" s="49">
        <f t="shared" si="29"/>
        <v>7</v>
      </c>
      <c r="R112" s="52">
        <v>7</v>
      </c>
    </row>
    <row r="113" spans="1:18" x14ac:dyDescent="0.25">
      <c r="A113" s="32" t="s">
        <v>94</v>
      </c>
      <c r="B113" s="57">
        <f>DATA!AY39</f>
        <v>84.459000000000003</v>
      </c>
      <c r="C113" s="57">
        <f>DATA!AZ39</f>
        <v>89.935999999999993</v>
      </c>
      <c r="D113" s="57">
        <f>DATA!BA39</f>
        <v>87.024000000000001</v>
      </c>
      <c r="E113" s="31">
        <f t="shared" si="24"/>
        <v>261.41899999999998</v>
      </c>
      <c r="F113" s="31">
        <f t="shared" si="25"/>
        <v>87.139666666666656</v>
      </c>
      <c r="G113" s="44" t="s">
        <v>4</v>
      </c>
      <c r="H113" s="31">
        <f>SUM(H107:H112)-H108</f>
        <v>53</v>
      </c>
      <c r="I113" s="31">
        <f>B126</f>
        <v>21329.897447333497</v>
      </c>
      <c r="K113" s="31" t="s">
        <v>111</v>
      </c>
      <c r="L113" s="41">
        <f>TINV(0.05,34)</f>
        <v>2.0322445093177191</v>
      </c>
      <c r="O113" s="33">
        <v>5</v>
      </c>
      <c r="P113" s="42">
        <f t="shared" si="28"/>
        <v>109.54949999999999</v>
      </c>
      <c r="Q113" s="49">
        <f t="shared" si="29"/>
        <v>3</v>
      </c>
      <c r="R113" s="51">
        <v>3</v>
      </c>
    </row>
    <row r="114" spans="1:18" x14ac:dyDescent="0.25">
      <c r="A114" s="32" t="s">
        <v>95</v>
      </c>
      <c r="B114" s="57">
        <f>DATA!AY40</f>
        <v>46.767000000000003</v>
      </c>
      <c r="C114" s="57">
        <f>DATA!AZ40</f>
        <v>48.472000000000001</v>
      </c>
      <c r="D114" s="57">
        <f>DATA!BA40</f>
        <v>55.553999999999995</v>
      </c>
      <c r="E114" s="31">
        <f t="shared" si="24"/>
        <v>150.79300000000001</v>
      </c>
      <c r="F114" s="31">
        <f t="shared" si="25"/>
        <v>50.264333333333333</v>
      </c>
      <c r="G114" s="34" t="s">
        <v>14</v>
      </c>
      <c r="H114" s="31">
        <f>SQRT(J112/3)</f>
        <v>3.6131787155195889</v>
      </c>
      <c r="O114" s="33">
        <v>6</v>
      </c>
      <c r="P114" s="42">
        <f t="shared" si="28"/>
        <v>120.93866666666666</v>
      </c>
      <c r="Q114" s="49">
        <f t="shared" si="29"/>
        <v>1</v>
      </c>
      <c r="R114" s="52">
        <v>1</v>
      </c>
    </row>
    <row r="115" spans="1:18" x14ac:dyDescent="0.25">
      <c r="A115" s="32" t="s">
        <v>96</v>
      </c>
      <c r="B115" s="57">
        <f>DATA!AY41</f>
        <v>95.59</v>
      </c>
      <c r="C115" s="57">
        <f>DATA!AZ41</f>
        <v>104.64600000000002</v>
      </c>
      <c r="D115" s="57">
        <f>DATA!BA41</f>
        <v>96.337999999999994</v>
      </c>
      <c r="E115" s="31">
        <f t="shared" si="24"/>
        <v>296.57400000000001</v>
      </c>
      <c r="F115" s="31">
        <f t="shared" si="25"/>
        <v>98.858000000000004</v>
      </c>
      <c r="G115" s="34" t="s">
        <v>16</v>
      </c>
      <c r="H115" s="31">
        <f>(SQRT((2*J112)/3))*L113</f>
        <v>10.384375883762248</v>
      </c>
      <c r="O115" s="33">
        <v>7</v>
      </c>
      <c r="P115" s="42">
        <f t="shared" si="28"/>
        <v>97.334500000000006</v>
      </c>
      <c r="Q115" s="49">
        <f t="shared" si="29"/>
        <v>6</v>
      </c>
      <c r="R115" s="52">
        <v>6</v>
      </c>
    </row>
    <row r="116" spans="1:18" x14ac:dyDescent="0.25">
      <c r="A116" s="32" t="s">
        <v>97</v>
      </c>
      <c r="B116" s="57">
        <f>DATA!AY42</f>
        <v>117.96199999999999</v>
      </c>
      <c r="C116" s="57">
        <f>DATA!AZ42</f>
        <v>104.652</v>
      </c>
      <c r="D116" s="57">
        <f>DATA!BA42</f>
        <v>111.15600000000001</v>
      </c>
      <c r="E116" s="31">
        <f t="shared" si="24"/>
        <v>333.77</v>
      </c>
      <c r="F116" s="31">
        <f t="shared" si="25"/>
        <v>111.25666666666666</v>
      </c>
      <c r="G116" s="34" t="s">
        <v>29</v>
      </c>
      <c r="H116" s="31">
        <f>((SQRT(J112))/F123)*100</f>
        <v>6.3914567827902671</v>
      </c>
      <c r="O116" s="33">
        <v>8</v>
      </c>
      <c r="P116" s="42">
        <f t="shared" si="28"/>
        <v>105.40116666666665</v>
      </c>
      <c r="Q116" s="49">
        <f t="shared" si="29"/>
        <v>4</v>
      </c>
      <c r="R116" s="51">
        <v>4</v>
      </c>
    </row>
    <row r="117" spans="1:18" x14ac:dyDescent="0.25">
      <c r="A117" s="32" t="s">
        <v>98</v>
      </c>
      <c r="B117" s="57">
        <f>DATA!AY43</f>
        <v>93.062000000000012</v>
      </c>
      <c r="C117" s="57">
        <f>DATA!AZ43</f>
        <v>84.513000000000005</v>
      </c>
      <c r="D117" s="57">
        <f>DATA!BA43</f>
        <v>95.281000000000006</v>
      </c>
      <c r="E117" s="31">
        <f t="shared" si="24"/>
        <v>272.85599999999999</v>
      </c>
      <c r="F117" s="31">
        <f t="shared" si="25"/>
        <v>90.951999999999998</v>
      </c>
      <c r="O117" s="33">
        <v>9</v>
      </c>
      <c r="P117" s="42">
        <f t="shared" si="28"/>
        <v>86.786666666666662</v>
      </c>
      <c r="Q117" s="49">
        <f t="shared" si="29"/>
        <v>8</v>
      </c>
      <c r="R117" s="52">
        <v>8</v>
      </c>
    </row>
    <row r="118" spans="1:18" x14ac:dyDescent="0.25">
      <c r="A118" s="32" t="s">
        <v>99</v>
      </c>
      <c r="B118" s="57">
        <f>DATA!AY44</f>
        <v>106.045</v>
      </c>
      <c r="C118" s="57">
        <f>DATA!AZ44</f>
        <v>107.95200000000001</v>
      </c>
      <c r="D118" s="57">
        <f>DATA!BA44</f>
        <v>106.212</v>
      </c>
      <c r="E118" s="31">
        <f t="shared" si="24"/>
        <v>320.209</v>
      </c>
      <c r="F118" s="31">
        <f t="shared" si="25"/>
        <v>106.73633333333333</v>
      </c>
      <c r="O118" s="30" t="s">
        <v>14</v>
      </c>
      <c r="P118" s="42">
        <f>SQRT(J112/(3*2))</f>
        <v>2.5549031713828008</v>
      </c>
      <c r="Q118" s="49"/>
    </row>
    <row r="119" spans="1:18" x14ac:dyDescent="0.25">
      <c r="A119" s="32" t="s">
        <v>100</v>
      </c>
      <c r="B119" s="57">
        <f>DATA!AY45</f>
        <v>121.00399999999999</v>
      </c>
      <c r="C119" s="57">
        <f>DATA!AZ45</f>
        <v>125.172</v>
      </c>
      <c r="D119" s="57">
        <f>DATA!BA45</f>
        <v>107.06500000000001</v>
      </c>
      <c r="E119" s="31">
        <f t="shared" si="24"/>
        <v>353.24099999999999</v>
      </c>
      <c r="F119" s="31">
        <f t="shared" si="25"/>
        <v>117.747</v>
      </c>
      <c r="N119" s="30" t="s">
        <v>109</v>
      </c>
      <c r="O119" s="30" t="s">
        <v>16</v>
      </c>
      <c r="P119" s="42">
        <f>SQRT((2*J112)/(3*2))*L113</f>
        <v>7.3428626057983335</v>
      </c>
      <c r="Q119" s="49"/>
    </row>
    <row r="120" spans="1:18" x14ac:dyDescent="0.25">
      <c r="A120" s="32" t="s">
        <v>101</v>
      </c>
      <c r="B120" s="57">
        <f>DATA!AY46</f>
        <v>98.262</v>
      </c>
      <c r="C120" s="57">
        <f>DATA!AZ46</f>
        <v>92.855999999999995</v>
      </c>
      <c r="D120" s="57">
        <f>DATA!BA46</f>
        <v>88.787999999999997</v>
      </c>
      <c r="E120" s="31">
        <f t="shared" si="24"/>
        <v>279.90600000000001</v>
      </c>
      <c r="F120" s="31">
        <f>E120/3</f>
        <v>93.302000000000007</v>
      </c>
      <c r="Q120" s="49"/>
    </row>
    <row r="121" spans="1:18" x14ac:dyDescent="0.25">
      <c r="A121" s="32" t="s">
        <v>102</v>
      </c>
      <c r="B121" s="57">
        <f>DATA!AY47</f>
        <v>97.032000000000011</v>
      </c>
      <c r="C121" s="57">
        <f>DATA!AZ47</f>
        <v>98.399999999999991</v>
      </c>
      <c r="D121" s="57">
        <f>DATA!BA47</f>
        <v>103.27200000000001</v>
      </c>
      <c r="E121" s="31">
        <f t="shared" si="24"/>
        <v>298.70400000000001</v>
      </c>
      <c r="F121" s="31">
        <f t="shared" ref="F121:F122" si="31">E121/3</f>
        <v>99.567999999999998</v>
      </c>
    </row>
    <row r="122" spans="1:18" x14ac:dyDescent="0.25">
      <c r="A122" s="32" t="s">
        <v>103</v>
      </c>
      <c r="B122" s="57">
        <f>DATA!AY48</f>
        <v>89.699999999999989</v>
      </c>
      <c r="C122" s="57">
        <f>DATA!AZ48</f>
        <v>87.165000000000006</v>
      </c>
      <c r="D122" s="57">
        <f>DATA!BA48</f>
        <v>82.436000000000007</v>
      </c>
      <c r="E122" s="31">
        <f t="shared" si="24"/>
        <v>259.30100000000004</v>
      </c>
      <c r="F122" s="31">
        <f t="shared" si="31"/>
        <v>86.433666666666682</v>
      </c>
    </row>
    <row r="123" spans="1:18" x14ac:dyDescent="0.25">
      <c r="A123" s="30" t="s">
        <v>4</v>
      </c>
      <c r="B123" s="31">
        <f>SUM(B105:B122)</f>
        <v>1769.443</v>
      </c>
      <c r="C123" s="31">
        <f t="shared" ref="C123:D123" si="32">SUM(C105:C122)</f>
        <v>1765.3589999999999</v>
      </c>
      <c r="D123" s="31">
        <f t="shared" si="32"/>
        <v>1752.6199999999997</v>
      </c>
      <c r="E123" s="31">
        <f>SUM(E105:E122)</f>
        <v>5287.4219999999996</v>
      </c>
      <c r="F123" s="31">
        <f>AVERAGE(B105:D122)</f>
        <v>97.915222222222198</v>
      </c>
    </row>
    <row r="124" spans="1:18" x14ac:dyDescent="0.25">
      <c r="A124" s="30" t="s">
        <v>5</v>
      </c>
      <c r="B124" s="31">
        <f>B123/18</f>
        <v>98.302388888888885</v>
      </c>
      <c r="C124" s="31">
        <f>C123/18</f>
        <v>98.075499999999991</v>
      </c>
      <c r="D124" s="31">
        <f>D123/18</f>
        <v>97.367777777777761</v>
      </c>
    </row>
    <row r="125" spans="1:18" x14ac:dyDescent="0.25">
      <c r="A125" s="30" t="s">
        <v>26</v>
      </c>
      <c r="B125" s="31">
        <f>(E123*E123)/54</f>
        <v>517719.10011266655</v>
      </c>
      <c r="C125" s="31"/>
      <c r="D125" s="31"/>
    </row>
    <row r="126" spans="1:18" x14ac:dyDescent="0.25">
      <c r="A126" s="30" t="s">
        <v>27</v>
      </c>
      <c r="B126" s="31">
        <f>SUMSQ(B105:D122)-B125</f>
        <v>21329.897447333497</v>
      </c>
      <c r="C126" s="30" t="s">
        <v>28</v>
      </c>
      <c r="D126" s="31">
        <f>(SUMSQ(B123:D123)/18)-B125</f>
        <v>8.5550834444584325</v>
      </c>
    </row>
    <row r="127" spans="1:18" x14ac:dyDescent="0.25">
      <c r="A127" s="30" t="s">
        <v>30</v>
      </c>
      <c r="B127" s="31">
        <f>(SUMSQ(E105:E122)/3)-B125</f>
        <v>19989.726200000092</v>
      </c>
      <c r="C127" s="30" t="s">
        <v>31</v>
      </c>
      <c r="D127" s="31">
        <f>B126-B127-D126</f>
        <v>1331.6161638889462</v>
      </c>
    </row>
    <row r="128" spans="1:18" x14ac:dyDescent="0.25">
      <c r="A128" s="50"/>
      <c r="B128" s="39"/>
      <c r="C128" s="50"/>
      <c r="D128" s="39"/>
    </row>
    <row r="129" spans="1:18" x14ac:dyDescent="0.25">
      <c r="A129" s="50"/>
      <c r="B129" s="39"/>
      <c r="C129" s="50"/>
      <c r="D129" s="39"/>
    </row>
    <row r="130" spans="1:18" x14ac:dyDescent="0.25">
      <c r="A130" s="50"/>
      <c r="B130" s="39"/>
      <c r="C130" s="50"/>
      <c r="D130" s="39"/>
    </row>
    <row r="131" spans="1:18" ht="15.75" x14ac:dyDescent="0.25">
      <c r="C131" s="56" t="s">
        <v>124</v>
      </c>
    </row>
    <row r="132" spans="1:18" ht="15.75" x14ac:dyDescent="0.25">
      <c r="C132" s="65" t="s">
        <v>119</v>
      </c>
    </row>
    <row r="133" spans="1:18" x14ac:dyDescent="0.25">
      <c r="A133" s="36" t="s">
        <v>104</v>
      </c>
      <c r="B133" s="38">
        <v>2</v>
      </c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5"/>
      <c r="N133" s="35"/>
      <c r="O133" s="39"/>
      <c r="P133" s="39"/>
    </row>
    <row r="134" spans="1:18" x14ac:dyDescent="0.25">
      <c r="A134" s="36" t="s">
        <v>105</v>
      </c>
      <c r="B134" s="38">
        <v>9</v>
      </c>
      <c r="C134" s="39" t="s">
        <v>107</v>
      </c>
      <c r="D134" s="39">
        <v>18</v>
      </c>
      <c r="E134" s="39"/>
      <c r="F134" s="39"/>
      <c r="G134" s="39"/>
      <c r="H134" s="39"/>
      <c r="I134" s="39"/>
      <c r="J134" s="39"/>
      <c r="K134" s="39"/>
      <c r="L134" s="39"/>
      <c r="M134" s="35"/>
      <c r="N134" s="35"/>
      <c r="O134" s="39"/>
      <c r="P134" s="39"/>
    </row>
    <row r="135" spans="1:18" x14ac:dyDescent="0.25">
      <c r="A135" s="37" t="s">
        <v>106</v>
      </c>
      <c r="B135" s="40">
        <v>3</v>
      </c>
    </row>
    <row r="136" spans="1:18" x14ac:dyDescent="0.25">
      <c r="A136" s="46" t="s">
        <v>0</v>
      </c>
      <c r="B136" s="30" t="s">
        <v>1</v>
      </c>
      <c r="C136" s="30" t="s">
        <v>2</v>
      </c>
      <c r="D136" s="30" t="s">
        <v>3</v>
      </c>
      <c r="E136" s="30" t="s">
        <v>4</v>
      </c>
      <c r="F136" s="30" t="s">
        <v>5</v>
      </c>
      <c r="O136" s="41" t="s">
        <v>7</v>
      </c>
      <c r="R136" s="41"/>
    </row>
    <row r="137" spans="1:18" x14ac:dyDescent="0.25">
      <c r="A137" s="32" t="s">
        <v>86</v>
      </c>
      <c r="B137" s="58">
        <f>B73+B105</f>
        <v>58.908000000000001</v>
      </c>
      <c r="C137" s="58">
        <f t="shared" ref="C137:D137" si="33">C73+C105</f>
        <v>59.016000000000005</v>
      </c>
      <c r="D137" s="58">
        <f t="shared" si="33"/>
        <v>68.938400000000001</v>
      </c>
      <c r="E137" s="31">
        <f>SUM(B137:D137)</f>
        <v>186.86240000000001</v>
      </c>
      <c r="F137" s="31">
        <f>E137/3</f>
        <v>62.287466666666667</v>
      </c>
      <c r="H137" s="47"/>
      <c r="I137" s="47"/>
      <c r="J137" s="47" t="s">
        <v>6</v>
      </c>
      <c r="K137" s="47"/>
      <c r="L137" s="47"/>
      <c r="M137" s="47"/>
      <c r="N137" s="47"/>
      <c r="O137" s="33">
        <v>1</v>
      </c>
      <c r="P137" s="42">
        <f>SUM(F137:F145)/9</f>
        <v>118.60462499259259</v>
      </c>
      <c r="Q137" s="49" t="e">
        <f>RANK(P137,P$105:P$106,0)</f>
        <v>#N/A</v>
      </c>
      <c r="R137" s="41"/>
    </row>
    <row r="138" spans="1:18" x14ac:dyDescent="0.25">
      <c r="A138" s="32" t="s">
        <v>87</v>
      </c>
      <c r="B138" s="58">
        <f t="shared" ref="B138:D138" si="34">B74+B106</f>
        <v>115.9260572</v>
      </c>
      <c r="C138" s="58">
        <f t="shared" si="34"/>
        <v>125.994</v>
      </c>
      <c r="D138" s="58">
        <f t="shared" si="34"/>
        <v>126.36500000000001</v>
      </c>
      <c r="E138" s="31">
        <f t="shared" ref="E138:E154" si="35">SUM(B138:D138)</f>
        <v>368.28505719999998</v>
      </c>
      <c r="F138" s="31">
        <f t="shared" ref="F138:F151" si="36">E138/3</f>
        <v>122.76168573333332</v>
      </c>
      <c r="G138" s="31"/>
      <c r="H138" s="30" t="s">
        <v>8</v>
      </c>
      <c r="I138" s="30" t="s">
        <v>9</v>
      </c>
      <c r="J138" s="30" t="s">
        <v>10</v>
      </c>
      <c r="K138" s="30" t="s">
        <v>11</v>
      </c>
      <c r="L138" s="30" t="s">
        <v>12</v>
      </c>
      <c r="M138" s="30" t="s">
        <v>112</v>
      </c>
      <c r="N138" s="50"/>
      <c r="O138" s="33">
        <v>2</v>
      </c>
      <c r="P138" s="42">
        <f>SUM(F146:F154)/9</f>
        <v>110.8055925925926</v>
      </c>
      <c r="Q138" s="49" t="e">
        <f>RANK(P138,P$105:P$106,0)</f>
        <v>#N/A</v>
      </c>
      <c r="R138" s="41"/>
    </row>
    <row r="139" spans="1:18" x14ac:dyDescent="0.25">
      <c r="A139" s="32" t="s">
        <v>88</v>
      </c>
      <c r="B139" s="58">
        <f t="shared" ref="B139:D139" si="37">B75+B107</f>
        <v>136.93300000000002</v>
      </c>
      <c r="C139" s="58">
        <f t="shared" si="37"/>
        <v>145.63320000000002</v>
      </c>
      <c r="D139" s="58">
        <f t="shared" si="37"/>
        <v>130.358</v>
      </c>
      <c r="E139" s="31">
        <f t="shared" si="35"/>
        <v>412.92420000000004</v>
      </c>
      <c r="F139" s="31">
        <f t="shared" si="36"/>
        <v>137.6414</v>
      </c>
      <c r="G139" s="31" t="s">
        <v>13</v>
      </c>
      <c r="H139" s="31">
        <f>B135-1</f>
        <v>2</v>
      </c>
      <c r="I139" s="31">
        <f>D158</f>
        <v>17.521890283795074</v>
      </c>
      <c r="J139" s="31">
        <f>I139/H139</f>
        <v>8.7609451418975368</v>
      </c>
      <c r="K139" s="31">
        <f>J139/$J$16</f>
        <v>12713.061090752099</v>
      </c>
      <c r="L139" s="31">
        <f>FINV(0.05,H139,$H$16)</f>
        <v>3.275897990672394</v>
      </c>
      <c r="M139" s="31" t="str">
        <f>IF(K139&gt;=L139, "S", "NS")</f>
        <v>S</v>
      </c>
      <c r="N139" s="39"/>
      <c r="O139" s="30" t="s">
        <v>14</v>
      </c>
      <c r="P139" s="42">
        <f>SQRT(J144/(3*9))</f>
        <v>1.1689795362979538</v>
      </c>
      <c r="R139" s="41"/>
    </row>
    <row r="140" spans="1:18" x14ac:dyDescent="0.25">
      <c r="A140" s="32" t="s">
        <v>89</v>
      </c>
      <c r="B140" s="58">
        <f t="shared" ref="B140:D140" si="38">B76+B108</f>
        <v>114.77200000000001</v>
      </c>
      <c r="C140" s="58">
        <f t="shared" si="38"/>
        <v>103.55800000000001</v>
      </c>
      <c r="D140" s="58">
        <f t="shared" si="38"/>
        <v>119.977</v>
      </c>
      <c r="E140" s="31">
        <f t="shared" si="35"/>
        <v>338.30700000000002</v>
      </c>
      <c r="F140" s="31">
        <f t="shared" si="36"/>
        <v>112.76900000000001</v>
      </c>
      <c r="G140" s="31" t="s">
        <v>15</v>
      </c>
      <c r="H140" s="31">
        <f>D134-1</f>
        <v>17</v>
      </c>
      <c r="I140" s="31">
        <f>B159</f>
        <v>29621.834266407881</v>
      </c>
      <c r="J140" s="31">
        <f t="shared" ref="J140:J144" si="39">I140/H140</f>
        <v>1742.4608392004636</v>
      </c>
      <c r="K140" s="31">
        <f>J140/$J$16</f>
        <v>2528495.5833202205</v>
      </c>
      <c r="L140" s="31">
        <f>FINV(0.05,H140,$H$16)</f>
        <v>1.9332068318040869</v>
      </c>
      <c r="M140" s="43" t="str">
        <f t="shared" ref="M140" si="40">IF(K140&gt;=L140, "S", "NS")</f>
        <v>S</v>
      </c>
      <c r="N140" s="30" t="s">
        <v>113</v>
      </c>
      <c r="O140" s="30" t="s">
        <v>16</v>
      </c>
      <c r="P140" s="42">
        <f>SQRT((2*J144)/(3*9))*L145</f>
        <v>3.3596796231537622</v>
      </c>
      <c r="R140" s="41"/>
    </row>
    <row r="141" spans="1:18" x14ac:dyDescent="0.25">
      <c r="A141" s="32" t="s">
        <v>90</v>
      </c>
      <c r="B141" s="58">
        <f t="shared" ref="B141:D141" si="41">B77+B109</f>
        <v>134.50821760000002</v>
      </c>
      <c r="C141" s="58">
        <f t="shared" si="41"/>
        <v>133.928</v>
      </c>
      <c r="D141" s="58">
        <f t="shared" si="41"/>
        <v>133.36199999999999</v>
      </c>
      <c r="E141" s="31">
        <f t="shared" si="35"/>
        <v>401.79821760000004</v>
      </c>
      <c r="F141" s="31">
        <f t="shared" si="36"/>
        <v>133.93273920000001</v>
      </c>
      <c r="G141" s="31" t="s">
        <v>108</v>
      </c>
      <c r="H141" s="31">
        <f>B133-1</f>
        <v>1</v>
      </c>
      <c r="I141" s="31">
        <f>(SUM(E137:E145)^2+SUM(E146:E154)^2)/27-B157</f>
        <v>821.13623607950285</v>
      </c>
      <c r="J141" s="31">
        <f t="shared" si="39"/>
        <v>821.13623607950285</v>
      </c>
      <c r="K141" s="31">
        <f>J141/$J$16</f>
        <v>1191555.8155005109</v>
      </c>
      <c r="L141" s="31">
        <f>FINV(0.05,H141,$H$16)</f>
        <v>4.1300177456520188</v>
      </c>
      <c r="M141" s="31" t="str">
        <f>IF(K141&gt;=L141, "S", "NS")</f>
        <v>S</v>
      </c>
      <c r="N141" s="39"/>
      <c r="O141" s="33">
        <v>1</v>
      </c>
      <c r="P141" s="42">
        <f>(F137+F146)/2</f>
        <v>59.682400000000001</v>
      </c>
      <c r="Q141" s="49" t="e">
        <f>RANK(P141,P$109:P$117,0)</f>
        <v>#N/A</v>
      </c>
      <c r="R141" s="51">
        <v>9</v>
      </c>
    </row>
    <row r="142" spans="1:18" x14ac:dyDescent="0.25">
      <c r="A142" s="32" t="s">
        <v>91</v>
      </c>
      <c r="B142" s="58">
        <f t="shared" ref="B142:D142" si="42">B78+B110</f>
        <v>146.74600000000001</v>
      </c>
      <c r="C142" s="58">
        <f t="shared" si="42"/>
        <v>157.88099999999997</v>
      </c>
      <c r="D142" s="58">
        <f t="shared" si="42"/>
        <v>138.06199999999998</v>
      </c>
      <c r="E142" s="31">
        <f t="shared" si="35"/>
        <v>442.68899999999996</v>
      </c>
      <c r="F142" s="31">
        <f t="shared" si="36"/>
        <v>147.56299999999999</v>
      </c>
      <c r="G142" s="31" t="s">
        <v>109</v>
      </c>
      <c r="H142" s="31">
        <f>B134-1</f>
        <v>8</v>
      </c>
      <c r="I142" s="31">
        <f>((E137+E146)^2+(E138+E147)^2+(E139+E148)^2+(E140+E149)^2+(E141+E150)^2+(E142+E151)^2+(E143+E152)^2+(E144+E153)^2+(E145+E154)^2/6)-B157</f>
        <v>3419941.2683577812</v>
      </c>
      <c r="J142" s="31">
        <f t="shared" si="39"/>
        <v>427492.65854472265</v>
      </c>
      <c r="K142" s="31">
        <f>J142/$J$16</f>
        <v>620337212.01340318</v>
      </c>
      <c r="L142" s="31">
        <f>FINV(0.05,H142,$H$16)</f>
        <v>2.2253399674380931</v>
      </c>
      <c r="M142" s="31" t="str">
        <f>IF(K142&gt;=L142, "S", "NS")</f>
        <v>S</v>
      </c>
      <c r="N142" s="39"/>
      <c r="O142" s="33">
        <v>2</v>
      </c>
      <c r="P142" s="42">
        <f t="shared" ref="P142:P149" si="43">(F138+F147)/2</f>
        <v>118.32550953333333</v>
      </c>
      <c r="Q142" s="49" t="e">
        <f t="shared" ref="Q142:Q149" si="44">RANK(P142,P$109:P$117,0)</f>
        <v>#N/A</v>
      </c>
      <c r="R142" s="52">
        <v>5</v>
      </c>
    </row>
    <row r="143" spans="1:18" x14ac:dyDescent="0.25">
      <c r="A143" s="32" t="s">
        <v>92</v>
      </c>
      <c r="B143" s="58">
        <f t="shared" ref="B143:D143" si="45">B79+B111</f>
        <v>124.13500000000001</v>
      </c>
      <c r="C143" s="58">
        <f t="shared" si="45"/>
        <v>113.87</v>
      </c>
      <c r="D143" s="58">
        <f t="shared" si="45"/>
        <v>116.72499999999999</v>
      </c>
      <c r="E143" s="31">
        <f t="shared" si="35"/>
        <v>354.73</v>
      </c>
      <c r="F143" s="31">
        <f t="shared" si="36"/>
        <v>118.24333333333334</v>
      </c>
      <c r="G143" s="26" t="s">
        <v>110</v>
      </c>
      <c r="H143" s="31">
        <f>H141*H142</f>
        <v>8</v>
      </c>
      <c r="I143" s="31">
        <f>I140-(I141+I142)</f>
        <v>-3391140.5703274528</v>
      </c>
      <c r="J143" s="31">
        <f t="shared" si="39"/>
        <v>-423892.57129093161</v>
      </c>
      <c r="K143" s="44">
        <f>J143/$J$16</f>
        <v>-615113103.37578523</v>
      </c>
      <c r="L143" s="31">
        <f>FINV(0.05,H143,$H$16)</f>
        <v>2.2253399674380931</v>
      </c>
      <c r="M143" s="31" t="str">
        <f t="shared" ref="M143" si="46">IF(K143&gt;=L143, "S", "NS")</f>
        <v>NS</v>
      </c>
      <c r="N143" s="39"/>
      <c r="O143" s="33">
        <v>3</v>
      </c>
      <c r="P143" s="42">
        <f t="shared" si="43"/>
        <v>134.50903333333332</v>
      </c>
      <c r="Q143" s="49" t="e">
        <f t="shared" si="44"/>
        <v>#N/A</v>
      </c>
      <c r="R143" s="52">
        <v>2</v>
      </c>
    </row>
    <row r="144" spans="1:18" x14ac:dyDescent="0.25">
      <c r="A144" s="32" t="s">
        <v>93</v>
      </c>
      <c r="B144" s="58">
        <f t="shared" ref="B144:D144" si="47">B80+B112</f>
        <v>138.59899999999999</v>
      </c>
      <c r="C144" s="58">
        <f t="shared" si="47"/>
        <v>125.91899999999998</v>
      </c>
      <c r="D144" s="58">
        <f t="shared" si="47"/>
        <v>128.00899999999999</v>
      </c>
      <c r="E144" s="31">
        <f t="shared" si="35"/>
        <v>392.52699999999993</v>
      </c>
      <c r="F144" s="31">
        <f t="shared" si="36"/>
        <v>130.8423333333333</v>
      </c>
      <c r="G144" s="45" t="s">
        <v>23</v>
      </c>
      <c r="H144" s="31">
        <f>((B135-1)*(B133*B134-1))</f>
        <v>34</v>
      </c>
      <c r="I144" s="31">
        <f>D159</f>
        <v>1254.4590774681419</v>
      </c>
      <c r="J144" s="31">
        <f t="shared" si="39"/>
        <v>36.895855219651231</v>
      </c>
      <c r="O144" s="33">
        <v>4</v>
      </c>
      <c r="P144" s="42">
        <f t="shared" si="43"/>
        <v>109.36350000000002</v>
      </c>
      <c r="Q144" s="49" t="e">
        <f t="shared" si="44"/>
        <v>#N/A</v>
      </c>
      <c r="R144" s="52">
        <v>7</v>
      </c>
    </row>
    <row r="145" spans="1:18" x14ac:dyDescent="0.25">
      <c r="A145" s="32" t="s">
        <v>94</v>
      </c>
      <c r="B145" s="58">
        <f t="shared" ref="B145:D145" si="48">B81+B113</f>
        <v>98.694000000000003</v>
      </c>
      <c r="C145" s="58">
        <f t="shared" si="48"/>
        <v>104.21599999999999</v>
      </c>
      <c r="D145" s="58">
        <f t="shared" si="48"/>
        <v>101.292</v>
      </c>
      <c r="E145" s="31">
        <f t="shared" si="35"/>
        <v>304.202</v>
      </c>
      <c r="F145" s="31">
        <f t="shared" si="36"/>
        <v>101.40066666666667</v>
      </c>
      <c r="G145" s="44" t="s">
        <v>4</v>
      </c>
      <c r="H145" s="31">
        <f>SUM(H139:H144)-H140</f>
        <v>53</v>
      </c>
      <c r="I145" s="31">
        <f>B158</f>
        <v>30893.815234159818</v>
      </c>
      <c r="K145" s="31" t="s">
        <v>111</v>
      </c>
      <c r="L145" s="41">
        <f>TINV(0.05,34)</f>
        <v>2.0322445093177191</v>
      </c>
      <c r="O145" s="33">
        <v>5</v>
      </c>
      <c r="P145" s="42">
        <f t="shared" si="43"/>
        <v>128.77803626666667</v>
      </c>
      <c r="Q145" s="49" t="e">
        <f t="shared" si="44"/>
        <v>#N/A</v>
      </c>
      <c r="R145" s="51">
        <v>3</v>
      </c>
    </row>
    <row r="146" spans="1:18" x14ac:dyDescent="0.25">
      <c r="A146" s="32" t="s">
        <v>95</v>
      </c>
      <c r="B146" s="58">
        <f t="shared" ref="B146:D146" si="49">B82+B114</f>
        <v>57.102000000000004</v>
      </c>
      <c r="C146" s="58">
        <f t="shared" si="49"/>
        <v>53.152000000000001</v>
      </c>
      <c r="D146" s="58">
        <f t="shared" si="49"/>
        <v>60.977999999999994</v>
      </c>
      <c r="E146" s="31">
        <f t="shared" si="35"/>
        <v>171.232</v>
      </c>
      <c r="F146" s="31">
        <f t="shared" si="36"/>
        <v>57.077333333333335</v>
      </c>
      <c r="G146" s="34" t="s">
        <v>14</v>
      </c>
      <c r="H146" s="31">
        <f>SQRT(J144/3)</f>
        <v>3.506938608893861</v>
      </c>
      <c r="O146" s="33">
        <v>6</v>
      </c>
      <c r="P146" s="42">
        <f t="shared" si="43"/>
        <v>143.65233333333333</v>
      </c>
      <c r="Q146" s="49" t="e">
        <f t="shared" si="44"/>
        <v>#N/A</v>
      </c>
      <c r="R146" s="52">
        <v>1</v>
      </c>
    </row>
    <row r="147" spans="1:18" x14ac:dyDescent="0.25">
      <c r="A147" s="32" t="s">
        <v>96</v>
      </c>
      <c r="B147" s="58">
        <f t="shared" ref="B147:D147" si="50">B83+B115</f>
        <v>110.99000000000001</v>
      </c>
      <c r="C147" s="58">
        <f t="shared" si="50"/>
        <v>118.84200000000001</v>
      </c>
      <c r="D147" s="58">
        <f t="shared" si="50"/>
        <v>111.836</v>
      </c>
      <c r="E147" s="31">
        <f t="shared" si="35"/>
        <v>341.66800000000001</v>
      </c>
      <c r="F147" s="31">
        <f t="shared" si="36"/>
        <v>113.88933333333334</v>
      </c>
      <c r="G147" s="34" t="s">
        <v>16</v>
      </c>
      <c r="H147" s="31">
        <f>(SQRT((2*J144)/3))*L145</f>
        <v>10.079038869461286</v>
      </c>
      <c r="O147" s="33">
        <v>7</v>
      </c>
      <c r="P147" s="42">
        <f t="shared" si="43"/>
        <v>113.64083333333335</v>
      </c>
      <c r="Q147" s="49" t="e">
        <f t="shared" si="44"/>
        <v>#N/A</v>
      </c>
      <c r="R147" s="52">
        <v>6</v>
      </c>
    </row>
    <row r="148" spans="1:18" x14ac:dyDescent="0.25">
      <c r="A148" s="32" t="s">
        <v>97</v>
      </c>
      <c r="B148" s="58">
        <f t="shared" ref="B148:D148" si="51">B84+B116</f>
        <v>138.03799999999998</v>
      </c>
      <c r="C148" s="58">
        <f t="shared" si="51"/>
        <v>124.77600000000001</v>
      </c>
      <c r="D148" s="58">
        <f t="shared" si="51"/>
        <v>131.316</v>
      </c>
      <c r="E148" s="31">
        <f t="shared" si="35"/>
        <v>394.13</v>
      </c>
      <c r="F148" s="31">
        <f t="shared" si="36"/>
        <v>131.37666666666667</v>
      </c>
      <c r="G148" s="34" t="s">
        <v>29</v>
      </c>
      <c r="H148" s="31">
        <f>((SQRT(J144))/F155)*100</f>
        <v>5.2954885040145179</v>
      </c>
      <c r="O148" s="33">
        <v>8</v>
      </c>
      <c r="P148" s="42">
        <f t="shared" si="43"/>
        <v>123.66583333333332</v>
      </c>
      <c r="Q148" s="49" t="e">
        <f t="shared" si="44"/>
        <v>#N/A</v>
      </c>
      <c r="R148" s="51">
        <v>4</v>
      </c>
    </row>
    <row r="149" spans="1:18" x14ac:dyDescent="0.25">
      <c r="A149" s="32" t="s">
        <v>98</v>
      </c>
      <c r="B149" s="58">
        <f t="shared" ref="B149:D149" si="52">B85+B117</f>
        <v>108.51800000000001</v>
      </c>
      <c r="C149" s="58">
        <f t="shared" si="52"/>
        <v>98.155000000000001</v>
      </c>
      <c r="D149" s="58">
        <f t="shared" si="52"/>
        <v>111.20100000000001</v>
      </c>
      <c r="E149" s="31">
        <f t="shared" si="35"/>
        <v>317.87400000000002</v>
      </c>
      <c r="F149" s="31">
        <f t="shared" si="36"/>
        <v>105.95800000000001</v>
      </c>
      <c r="O149" s="33">
        <v>9</v>
      </c>
      <c r="P149" s="42">
        <f t="shared" si="43"/>
        <v>100.7285</v>
      </c>
      <c r="Q149" s="49" t="e">
        <f t="shared" si="44"/>
        <v>#N/A</v>
      </c>
      <c r="R149" s="52">
        <v>8</v>
      </c>
    </row>
    <row r="150" spans="1:18" x14ac:dyDescent="0.25">
      <c r="A150" s="32" t="s">
        <v>99</v>
      </c>
      <c r="B150" s="58">
        <f t="shared" ref="B150:D150" si="53">B86+B118</f>
        <v>121.01</v>
      </c>
      <c r="C150" s="58">
        <f t="shared" si="53"/>
        <v>126.64800000000001</v>
      </c>
      <c r="D150" s="58">
        <f t="shared" si="53"/>
        <v>123.212</v>
      </c>
      <c r="E150" s="31">
        <f t="shared" si="35"/>
        <v>370.87</v>
      </c>
      <c r="F150" s="31">
        <f t="shared" si="36"/>
        <v>123.62333333333333</v>
      </c>
      <c r="O150" s="30" t="s">
        <v>14</v>
      </c>
      <c r="P150" s="42">
        <f>SQRT(J144/(3*2))</f>
        <v>2.4797800715537668</v>
      </c>
      <c r="Q150" s="49"/>
    </row>
    <row r="151" spans="1:18" x14ac:dyDescent="0.25">
      <c r="A151" s="32" t="s">
        <v>100</v>
      </c>
      <c r="B151" s="58">
        <f t="shared" ref="B151:D151" si="54">B87+B119</f>
        <v>143.46799999999999</v>
      </c>
      <c r="C151" s="58">
        <f t="shared" si="54"/>
        <v>146.50800000000001</v>
      </c>
      <c r="D151" s="58">
        <f t="shared" si="54"/>
        <v>129.24900000000002</v>
      </c>
      <c r="E151" s="31">
        <f t="shared" si="35"/>
        <v>419.22500000000002</v>
      </c>
      <c r="F151" s="31">
        <f t="shared" si="36"/>
        <v>139.74166666666667</v>
      </c>
      <c r="N151" s="30" t="s">
        <v>109</v>
      </c>
      <c r="O151" s="30" t="s">
        <v>16</v>
      </c>
      <c r="P151" s="42">
        <f>SQRT((2*J144)/(3*2))*L145</f>
        <v>7.1269567324388685</v>
      </c>
      <c r="Q151" s="49"/>
    </row>
    <row r="152" spans="1:18" x14ac:dyDescent="0.25">
      <c r="A152" s="32" t="s">
        <v>101</v>
      </c>
      <c r="B152" s="58">
        <f t="shared" ref="B152:D152" si="55">B88+B120</f>
        <v>113.801</v>
      </c>
      <c r="C152" s="58">
        <f t="shared" si="55"/>
        <v>107.598</v>
      </c>
      <c r="D152" s="58">
        <f t="shared" si="55"/>
        <v>105.71599999999999</v>
      </c>
      <c r="E152" s="31">
        <f t="shared" si="35"/>
        <v>327.11500000000001</v>
      </c>
      <c r="F152" s="31">
        <f>E152/3</f>
        <v>109.03833333333334</v>
      </c>
      <c r="Q152" s="49"/>
    </row>
    <row r="153" spans="1:18" x14ac:dyDescent="0.25">
      <c r="A153" s="32" t="s">
        <v>102</v>
      </c>
      <c r="B153" s="58">
        <f t="shared" ref="B153:D153" si="56">B89+B121</f>
        <v>113.39200000000001</v>
      </c>
      <c r="C153" s="58">
        <f t="shared" si="56"/>
        <v>115.95599999999999</v>
      </c>
      <c r="D153" s="58">
        <f t="shared" si="56"/>
        <v>120.12</v>
      </c>
      <c r="E153" s="31">
        <f t="shared" si="35"/>
        <v>349.46800000000002</v>
      </c>
      <c r="F153" s="31">
        <f t="shared" ref="F153:F154" si="57">E153/3</f>
        <v>116.48933333333333</v>
      </c>
    </row>
    <row r="154" spans="1:18" x14ac:dyDescent="0.25">
      <c r="A154" s="32" t="s">
        <v>103</v>
      </c>
      <c r="B154" s="58">
        <f t="shared" ref="B154:D154" si="58">B90+B122</f>
        <v>102.57599999999999</v>
      </c>
      <c r="C154" s="58">
        <f t="shared" si="58"/>
        <v>101.07700000000001</v>
      </c>
      <c r="D154" s="58">
        <f t="shared" si="58"/>
        <v>96.516000000000005</v>
      </c>
      <c r="E154" s="31">
        <f t="shared" si="35"/>
        <v>300.16900000000004</v>
      </c>
      <c r="F154" s="31">
        <f t="shared" si="57"/>
        <v>100.05633333333334</v>
      </c>
    </row>
    <row r="155" spans="1:18" x14ac:dyDescent="0.25">
      <c r="A155" s="30" t="s">
        <v>4</v>
      </c>
      <c r="B155" s="31">
        <f>SUM(B137:B154)</f>
        <v>2078.1162748000002</v>
      </c>
      <c r="C155" s="31">
        <f t="shared" ref="C155:D155" si="59">SUM(C137:C154)</f>
        <v>2062.7271999999998</v>
      </c>
      <c r="D155" s="31">
        <f t="shared" si="59"/>
        <v>2053.2324000000003</v>
      </c>
      <c r="E155" s="31">
        <f>SUM(E137:E154)</f>
        <v>6194.0758747999989</v>
      </c>
      <c r="F155" s="31">
        <f>AVERAGE(B137:D154)</f>
        <v>114.70510879259261</v>
      </c>
    </row>
    <row r="156" spans="1:18" x14ac:dyDescent="0.25">
      <c r="A156" s="30" t="s">
        <v>5</v>
      </c>
      <c r="B156" s="31">
        <f>B155/18</f>
        <v>115.45090415555556</v>
      </c>
      <c r="C156" s="31">
        <f>C155/18</f>
        <v>114.59595555555555</v>
      </c>
      <c r="D156" s="31">
        <f>D155/18</f>
        <v>114.06846666666668</v>
      </c>
    </row>
    <row r="157" spans="1:18" x14ac:dyDescent="0.25">
      <c r="A157" s="30" t="s">
        <v>26</v>
      </c>
      <c r="B157" s="31">
        <f>(E155*E155)/54</f>
        <v>710492.14708850684</v>
      </c>
      <c r="C157" s="31"/>
      <c r="D157" s="31"/>
    </row>
    <row r="158" spans="1:18" x14ac:dyDescent="0.25">
      <c r="A158" s="30" t="s">
        <v>27</v>
      </c>
      <c r="B158" s="31">
        <f>SUMSQ(B137:D154)-B157</f>
        <v>30893.815234159818</v>
      </c>
      <c r="C158" s="30" t="s">
        <v>28</v>
      </c>
      <c r="D158" s="31">
        <f>(SUMSQ(B155:D155)/18)-B157</f>
        <v>17.521890283795074</v>
      </c>
    </row>
    <row r="159" spans="1:18" x14ac:dyDescent="0.25">
      <c r="A159" s="30" t="s">
        <v>30</v>
      </c>
      <c r="B159" s="31">
        <f>(SUMSQ(E137:E154)/3)-B157</f>
        <v>29621.834266407881</v>
      </c>
      <c r="C159" s="30" t="s">
        <v>31</v>
      </c>
      <c r="D159" s="31">
        <f>B158-B159-D158</f>
        <v>1254.4590774681419</v>
      </c>
    </row>
    <row r="160" spans="1:18" x14ac:dyDescent="0.25">
      <c r="A160" s="50"/>
      <c r="B160" s="39"/>
      <c r="C160" s="50"/>
      <c r="D160" s="39"/>
    </row>
    <row r="164" spans="1:21" x14ac:dyDescent="0.25">
      <c r="C164" s="66">
        <v>2020</v>
      </c>
    </row>
    <row r="165" spans="1:21" ht="15.75" x14ac:dyDescent="0.25">
      <c r="C165" s="56" t="s">
        <v>123</v>
      </c>
    </row>
    <row r="166" spans="1:21" x14ac:dyDescent="0.25">
      <c r="C166" s="48" t="s">
        <v>116</v>
      </c>
    </row>
    <row r="167" spans="1:21" x14ac:dyDescent="0.25">
      <c r="A167" s="36" t="s">
        <v>104</v>
      </c>
      <c r="B167" s="38">
        <v>2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5"/>
      <c r="N167" s="35"/>
      <c r="O167" s="39"/>
      <c r="P167" s="39"/>
    </row>
    <row r="168" spans="1:21" x14ac:dyDescent="0.25">
      <c r="A168" s="36" t="s">
        <v>105</v>
      </c>
      <c r="B168" s="38">
        <v>9</v>
      </c>
      <c r="C168" s="39" t="s">
        <v>107</v>
      </c>
      <c r="D168" s="39">
        <v>18</v>
      </c>
      <c r="E168" s="39"/>
      <c r="F168" s="39"/>
      <c r="G168" s="39"/>
      <c r="H168" s="39"/>
      <c r="I168" s="39"/>
      <c r="J168" s="39"/>
      <c r="K168" s="39"/>
      <c r="L168" s="39"/>
      <c r="M168" s="35"/>
      <c r="N168" s="35"/>
      <c r="O168" s="39"/>
      <c r="P168" s="39"/>
    </row>
    <row r="169" spans="1:21" x14ac:dyDescent="0.25">
      <c r="A169" s="37" t="s">
        <v>106</v>
      </c>
      <c r="B169" s="40">
        <v>3</v>
      </c>
    </row>
    <row r="170" spans="1:21" x14ac:dyDescent="0.25">
      <c r="A170" s="46" t="s">
        <v>0</v>
      </c>
      <c r="B170" s="30" t="s">
        <v>1</v>
      </c>
      <c r="C170" s="30" t="s">
        <v>2</v>
      </c>
      <c r="D170" s="30" t="s">
        <v>3</v>
      </c>
      <c r="E170" s="30" t="s">
        <v>4</v>
      </c>
      <c r="F170" s="30" t="s">
        <v>5</v>
      </c>
      <c r="O170" s="41" t="s">
        <v>7</v>
      </c>
      <c r="S170" s="53"/>
      <c r="T170" s="53"/>
      <c r="U170" s="53"/>
    </row>
    <row r="171" spans="1:21" x14ac:dyDescent="0.25">
      <c r="A171" s="32" t="s">
        <v>86</v>
      </c>
      <c r="B171" s="55">
        <v>0.38</v>
      </c>
      <c r="C171" s="55">
        <v>0.45</v>
      </c>
      <c r="D171" s="55">
        <v>0.39999999999999997</v>
      </c>
      <c r="E171" s="42">
        <f t="shared" ref="E171:E188" si="60">SUM(B171:D171)</f>
        <v>1.23</v>
      </c>
      <c r="F171" s="42">
        <f>E171/3</f>
        <v>0.41</v>
      </c>
      <c r="H171" s="47"/>
      <c r="I171" s="47"/>
      <c r="J171" s="47" t="s">
        <v>6</v>
      </c>
      <c r="K171" s="47"/>
      <c r="L171" s="47"/>
      <c r="M171" s="47"/>
      <c r="N171" s="47"/>
      <c r="O171" s="33">
        <v>1</v>
      </c>
      <c r="P171" s="42">
        <f>SUM(F171:F179)/9</f>
        <v>0.45768414814814812</v>
      </c>
      <c r="Q171" s="49">
        <f>RANK(P171,P$171:P$172,0)</f>
        <v>1</v>
      </c>
      <c r="S171" s="53"/>
      <c r="T171" s="53"/>
      <c r="U171" s="53"/>
    </row>
    <row r="172" spans="1:21" x14ac:dyDescent="0.25">
      <c r="A172" s="32" t="s">
        <v>87</v>
      </c>
      <c r="B172" s="55">
        <v>0.46</v>
      </c>
      <c r="C172" s="55">
        <v>0.46</v>
      </c>
      <c r="D172" s="55">
        <v>0.49</v>
      </c>
      <c r="E172" s="42">
        <f t="shared" si="60"/>
        <v>1.4100000000000001</v>
      </c>
      <c r="F172" s="42">
        <f t="shared" ref="F172:F185" si="61">E172/3</f>
        <v>0.47000000000000003</v>
      </c>
      <c r="G172" s="31"/>
      <c r="H172" s="30" t="s">
        <v>8</v>
      </c>
      <c r="I172" s="30" t="s">
        <v>9</v>
      </c>
      <c r="J172" s="30" t="s">
        <v>10</v>
      </c>
      <c r="K172" s="30" t="s">
        <v>11</v>
      </c>
      <c r="L172" s="30" t="s">
        <v>12</v>
      </c>
      <c r="M172" s="30" t="s">
        <v>112</v>
      </c>
      <c r="N172" s="50"/>
      <c r="O172" s="33">
        <v>2</v>
      </c>
      <c r="P172" s="42">
        <f>SUM(F180:F188)/9</f>
        <v>0.42481481481481481</v>
      </c>
      <c r="Q172" s="49">
        <f>RANK(P172,P$171:P$172,0)</f>
        <v>2</v>
      </c>
      <c r="S172" s="53"/>
      <c r="T172" s="53"/>
      <c r="U172" s="53"/>
    </row>
    <row r="173" spans="1:21" x14ac:dyDescent="0.25">
      <c r="A173" s="32" t="s">
        <v>88</v>
      </c>
      <c r="B173" s="55">
        <v>0.51</v>
      </c>
      <c r="C173" s="55">
        <v>0.44</v>
      </c>
      <c r="D173" s="55">
        <v>0.49</v>
      </c>
      <c r="E173" s="42">
        <f t="shared" si="60"/>
        <v>1.44</v>
      </c>
      <c r="F173" s="42">
        <f t="shared" si="61"/>
        <v>0.48</v>
      </c>
      <c r="G173" s="31" t="s">
        <v>13</v>
      </c>
      <c r="H173" s="31">
        <f>B169-1</f>
        <v>2</v>
      </c>
      <c r="I173" s="31">
        <f>D192</f>
        <v>1.4628678068131507E-3</v>
      </c>
      <c r="J173" s="31">
        <f>I173/H173</f>
        <v>7.3143390340657533E-4</v>
      </c>
      <c r="K173" s="31">
        <f>J173/$J$16</f>
        <v>1.0613882118021161</v>
      </c>
      <c r="L173" s="31">
        <f>FINV(0.05,H173,$H$16)</f>
        <v>3.275897990672394</v>
      </c>
      <c r="M173" s="31" t="str">
        <f>IF(K173&gt;=L173, "S", "NS")</f>
        <v>NS</v>
      </c>
      <c r="N173" s="39"/>
      <c r="O173" s="30" t="s">
        <v>14</v>
      </c>
      <c r="P173" s="99">
        <f>SQRT(J178/(3*9))</f>
        <v>6.1058354574212948E-3</v>
      </c>
      <c r="S173" s="53"/>
      <c r="T173" s="53"/>
      <c r="U173" s="53"/>
    </row>
    <row r="174" spans="1:21" x14ac:dyDescent="0.25">
      <c r="A174" s="32" t="s">
        <v>89</v>
      </c>
      <c r="B174" s="55">
        <v>0.41</v>
      </c>
      <c r="C174" s="55">
        <v>0.46</v>
      </c>
      <c r="D174" s="55">
        <v>0.42999999999999994</v>
      </c>
      <c r="E174" s="42">
        <f t="shared" si="60"/>
        <v>1.2999999999999998</v>
      </c>
      <c r="F174" s="42">
        <f t="shared" si="61"/>
        <v>0.43333333333333329</v>
      </c>
      <c r="G174" s="31" t="s">
        <v>15</v>
      </c>
      <c r="H174" s="31">
        <f>D168-1</f>
        <v>17</v>
      </c>
      <c r="I174" s="31">
        <f>B193</f>
        <v>0.10043169191347623</v>
      </c>
      <c r="J174" s="31">
        <f t="shared" ref="J174:J178" si="62">I174/H174</f>
        <v>5.9077465831456604E-3</v>
      </c>
      <c r="K174" s="31">
        <f>J174/$J$16</f>
        <v>8.5727672076195205</v>
      </c>
      <c r="L174" s="31">
        <f>FINV(0.05,H174,$H$16)</f>
        <v>1.9332068318040869</v>
      </c>
      <c r="M174" s="43" t="str">
        <f t="shared" ref="M174" si="63">IF(K174&gt;=L174, "S", "NS")</f>
        <v>S</v>
      </c>
      <c r="N174" s="30" t="s">
        <v>113</v>
      </c>
      <c r="O174" s="30" t="s">
        <v>16</v>
      </c>
      <c r="P174" s="42">
        <f>SQRT((2*J178)/(3*9))*L179</f>
        <v>1.7548340524071809E-2</v>
      </c>
      <c r="S174" s="53"/>
      <c r="T174" s="53"/>
      <c r="U174" s="53"/>
    </row>
    <row r="175" spans="1:21" x14ac:dyDescent="0.25">
      <c r="A175" s="32" t="s">
        <v>90</v>
      </c>
      <c r="B175" s="55">
        <v>0.49747199999999991</v>
      </c>
      <c r="C175" s="55">
        <v>0.49</v>
      </c>
      <c r="D175" s="55">
        <v>0.47999999999999993</v>
      </c>
      <c r="E175" s="42">
        <f t="shared" si="60"/>
        <v>1.4674719999999999</v>
      </c>
      <c r="F175" s="42">
        <f t="shared" si="61"/>
        <v>0.48915733333333328</v>
      </c>
      <c r="G175" s="31" t="s">
        <v>108</v>
      </c>
      <c r="H175" s="31">
        <f>B167-1</f>
        <v>1</v>
      </c>
      <c r="I175" s="31">
        <f>(SUM(E171:E179)^2+SUM(E180:E188)^2)/27-B191</f>
        <v>1.4585306495998651E-2</v>
      </c>
      <c r="J175" s="31">
        <f t="shared" si="62"/>
        <v>1.4585306495998651E-2</v>
      </c>
      <c r="K175" s="31">
        <f>J175/$J$16</f>
        <v>21.164827482393441</v>
      </c>
      <c r="L175" s="31">
        <f>FINV(0.05,H175,$H$16)</f>
        <v>4.1300177456520188</v>
      </c>
      <c r="M175" s="31" t="str">
        <f>IF(K175&gt;=L175, "S", "NS")</f>
        <v>S</v>
      </c>
      <c r="N175" s="39"/>
      <c r="O175" s="33">
        <v>1</v>
      </c>
      <c r="P175" s="42">
        <f>(F171+F180)/2</f>
        <v>0.36833333333333329</v>
      </c>
      <c r="Q175" s="49">
        <f>RANK(P175,P$175:P$183,0)</f>
        <v>9</v>
      </c>
      <c r="R175" s="51">
        <v>9</v>
      </c>
      <c r="S175" s="54"/>
      <c r="T175" s="54"/>
      <c r="U175" s="54"/>
    </row>
    <row r="176" spans="1:21" x14ac:dyDescent="0.25">
      <c r="A176" s="32" t="s">
        <v>91</v>
      </c>
      <c r="B176" s="55">
        <v>0.46</v>
      </c>
      <c r="C176" s="55">
        <v>0.55000000000000004</v>
      </c>
      <c r="D176" s="55">
        <v>0.45</v>
      </c>
      <c r="E176" s="42">
        <f t="shared" si="60"/>
        <v>1.46</v>
      </c>
      <c r="F176" s="42">
        <f t="shared" si="61"/>
        <v>0.48666666666666664</v>
      </c>
      <c r="G176" s="31" t="s">
        <v>109</v>
      </c>
      <c r="H176" s="31">
        <f>B168-1</f>
        <v>8</v>
      </c>
      <c r="I176" s="31">
        <f>((E171+E180)^2+(E172+E181)^2+(E173+E182)^2+(E174+E183)^2+(E175+E184)^2+(E176+E185)^2+(E177+E186)^2+(E178+E187)^2+(E179+E188)^2/6)-B191</f>
        <v>48.022204352436141</v>
      </c>
      <c r="J176" s="31">
        <f t="shared" si="62"/>
        <v>6.0027755440545176</v>
      </c>
      <c r="K176" s="31">
        <f>J176/$J$16</f>
        <v>8710.6643141368822</v>
      </c>
      <c r="L176" s="31">
        <f>FINV(0.05,H176,$H$16)</f>
        <v>2.2253399674380931</v>
      </c>
      <c r="M176" s="31" t="str">
        <f>IF(K176&gt;=L176, "S", "NS")</f>
        <v>S</v>
      </c>
      <c r="N176" s="39"/>
      <c r="O176" s="33">
        <v>2</v>
      </c>
      <c r="P176" s="42">
        <f t="shared" ref="P176:P183" si="64">(F172+F181)/2</f>
        <v>0.45166666666666666</v>
      </c>
      <c r="Q176" s="49">
        <f t="shared" ref="Q176:Q183" si="65">RANK(P176,P$175:P$183,0)</f>
        <v>5</v>
      </c>
      <c r="R176" s="52">
        <v>5</v>
      </c>
      <c r="S176" s="53"/>
      <c r="T176" s="53"/>
      <c r="U176" s="53"/>
    </row>
    <row r="177" spans="1:21" x14ac:dyDescent="0.25">
      <c r="A177" s="32" t="s">
        <v>92</v>
      </c>
      <c r="B177" s="55">
        <v>0.46999999999999992</v>
      </c>
      <c r="C177" s="55">
        <v>0.41</v>
      </c>
      <c r="D177" s="55">
        <v>0.42999999999999994</v>
      </c>
      <c r="E177" s="42">
        <f t="shared" si="60"/>
        <v>1.3099999999999998</v>
      </c>
      <c r="F177" s="42">
        <f t="shared" si="61"/>
        <v>0.43666666666666659</v>
      </c>
      <c r="G177" s="26" t="s">
        <v>110</v>
      </c>
      <c r="H177" s="31">
        <f>H175*H176</f>
        <v>8</v>
      </c>
      <c r="I177" s="31">
        <f>I174-(I175+I176)</f>
        <v>-47.936357967018658</v>
      </c>
      <c r="J177" s="31">
        <f t="shared" si="62"/>
        <v>-5.9920447458773323</v>
      </c>
      <c r="K177" s="44">
        <f>J177/$J$16</f>
        <v>-8695.0927872559878</v>
      </c>
      <c r="L177" s="31">
        <f>FINV(0.05,H177,$H$16)</f>
        <v>2.2253399674380931</v>
      </c>
      <c r="M177" s="31" t="str">
        <f t="shared" ref="M177" si="66">IF(K177&gt;=L177, "S", "NS")</f>
        <v>NS</v>
      </c>
      <c r="N177" s="39"/>
      <c r="O177" s="33">
        <v>3</v>
      </c>
      <c r="P177" s="42">
        <f t="shared" si="64"/>
        <v>0.48</v>
      </c>
      <c r="Q177" s="49">
        <f t="shared" si="65"/>
        <v>2</v>
      </c>
      <c r="R177" s="52">
        <v>2</v>
      </c>
      <c r="S177" s="53"/>
      <c r="T177" s="53"/>
      <c r="U177" s="53"/>
    </row>
    <row r="178" spans="1:21" x14ac:dyDescent="0.25">
      <c r="A178" s="32" t="s">
        <v>93</v>
      </c>
      <c r="B178" s="55">
        <v>0.5</v>
      </c>
      <c r="C178" s="55">
        <v>0.49</v>
      </c>
      <c r="D178" s="55">
        <v>0.48</v>
      </c>
      <c r="E178" s="42">
        <f t="shared" si="60"/>
        <v>1.47</v>
      </c>
      <c r="F178" s="42">
        <f t="shared" si="61"/>
        <v>0.49</v>
      </c>
      <c r="G178" s="45" t="s">
        <v>23</v>
      </c>
      <c r="H178" s="31">
        <f>((B169-1)*(B167*B168-1))</f>
        <v>34</v>
      </c>
      <c r="I178" s="31">
        <f>D193</f>
        <v>3.4224166049188653E-2</v>
      </c>
      <c r="J178" s="31">
        <f t="shared" si="62"/>
        <v>1.006593119093784E-3</v>
      </c>
      <c r="O178" s="33">
        <v>4</v>
      </c>
      <c r="P178" s="42">
        <f t="shared" si="64"/>
        <v>0.41833333333333333</v>
      </c>
      <c r="Q178" s="49">
        <f t="shared" si="65"/>
        <v>7</v>
      </c>
      <c r="R178" s="52">
        <v>7</v>
      </c>
      <c r="S178" s="53"/>
      <c r="T178" s="53"/>
      <c r="U178" s="53"/>
    </row>
    <row r="179" spans="1:21" x14ac:dyDescent="0.25">
      <c r="A179" s="32" t="s">
        <v>94</v>
      </c>
      <c r="B179" s="55">
        <v>0.43999999999999995</v>
      </c>
      <c r="C179" s="55">
        <v>0.39999999999999997</v>
      </c>
      <c r="D179" s="55">
        <v>0.42999999999999994</v>
      </c>
      <c r="E179" s="42">
        <f t="shared" si="60"/>
        <v>1.2699999999999998</v>
      </c>
      <c r="F179" s="42">
        <f t="shared" si="61"/>
        <v>0.42333333333333328</v>
      </c>
      <c r="G179" s="44" t="s">
        <v>4</v>
      </c>
      <c r="H179" s="31">
        <f>SUM(H173:H178)-H174</f>
        <v>53</v>
      </c>
      <c r="I179" s="31">
        <f>B192</f>
        <v>0.13611872576947803</v>
      </c>
      <c r="K179" s="31" t="s">
        <v>111</v>
      </c>
      <c r="L179" s="41">
        <f>TINV(0.05,34)</f>
        <v>2.0322445093177191</v>
      </c>
      <c r="O179" s="33">
        <v>5</v>
      </c>
      <c r="P179" s="42">
        <f t="shared" si="64"/>
        <v>0.47291199999999994</v>
      </c>
      <c r="Q179" s="49">
        <f t="shared" si="65"/>
        <v>3</v>
      </c>
      <c r="R179" s="51">
        <v>3</v>
      </c>
      <c r="S179" s="64"/>
      <c r="T179" s="64"/>
      <c r="U179" s="64"/>
    </row>
    <row r="180" spans="1:21" x14ac:dyDescent="0.25">
      <c r="A180" s="32" t="s">
        <v>95</v>
      </c>
      <c r="B180" s="55">
        <v>0.38</v>
      </c>
      <c r="C180" s="55">
        <v>0.33999999999999997</v>
      </c>
      <c r="D180" s="55">
        <v>0.25999999999999995</v>
      </c>
      <c r="E180" s="42">
        <f t="shared" si="60"/>
        <v>0.98</v>
      </c>
      <c r="F180" s="42">
        <f t="shared" si="61"/>
        <v>0.32666666666666666</v>
      </c>
      <c r="G180" s="34" t="s">
        <v>14</v>
      </c>
      <c r="H180" s="31">
        <f>SQRT(J178/3)</f>
        <v>1.8317506372263884E-2</v>
      </c>
      <c r="O180" s="33">
        <v>6</v>
      </c>
      <c r="P180" s="42">
        <f t="shared" si="64"/>
        <v>0.49166666666666664</v>
      </c>
      <c r="Q180" s="49">
        <f t="shared" si="65"/>
        <v>1</v>
      </c>
      <c r="R180" s="52">
        <v>1</v>
      </c>
      <c r="S180" s="64"/>
      <c r="T180" s="64"/>
      <c r="U180" s="64"/>
    </row>
    <row r="181" spans="1:21" x14ac:dyDescent="0.25">
      <c r="A181" s="32" t="s">
        <v>96</v>
      </c>
      <c r="B181" s="55">
        <v>0.42</v>
      </c>
      <c r="C181" s="55">
        <v>0.45</v>
      </c>
      <c r="D181" s="55">
        <v>0.43</v>
      </c>
      <c r="E181" s="42">
        <f t="shared" si="60"/>
        <v>1.3</v>
      </c>
      <c r="F181" s="42">
        <f t="shared" si="61"/>
        <v>0.43333333333333335</v>
      </c>
      <c r="G181" s="34" t="s">
        <v>16</v>
      </c>
      <c r="H181" s="31">
        <f>(SQRT((2*J178)/3))*L179</f>
        <v>5.2645021572215428E-2</v>
      </c>
      <c r="O181" s="33">
        <v>7</v>
      </c>
      <c r="P181" s="42">
        <f t="shared" si="64"/>
        <v>0.42333333333333328</v>
      </c>
      <c r="Q181" s="49">
        <f t="shared" si="65"/>
        <v>6</v>
      </c>
      <c r="R181" s="52">
        <v>6</v>
      </c>
      <c r="S181" s="64"/>
      <c r="T181" s="64"/>
      <c r="U181" s="64"/>
    </row>
    <row r="182" spans="1:21" x14ac:dyDescent="0.25">
      <c r="A182" s="32" t="s">
        <v>97</v>
      </c>
      <c r="B182" s="55">
        <v>0.51</v>
      </c>
      <c r="C182" s="55">
        <v>0.45</v>
      </c>
      <c r="D182" s="55">
        <v>0.48</v>
      </c>
      <c r="E182" s="42">
        <f t="shared" si="60"/>
        <v>1.44</v>
      </c>
      <c r="F182" s="42">
        <f t="shared" si="61"/>
        <v>0.48</v>
      </c>
      <c r="G182" s="34" t="s">
        <v>29</v>
      </c>
      <c r="H182" s="31">
        <f>((SQRT(J178))/F189)*100</f>
        <v>7.1902297988443626</v>
      </c>
      <c r="O182" s="33">
        <v>8</v>
      </c>
      <c r="P182" s="42">
        <f t="shared" si="64"/>
        <v>0.45666666666666667</v>
      </c>
      <c r="Q182" s="49">
        <f t="shared" si="65"/>
        <v>4</v>
      </c>
      <c r="R182" s="51">
        <v>4</v>
      </c>
      <c r="S182" s="64"/>
      <c r="T182" s="64"/>
      <c r="U182" s="64"/>
    </row>
    <row r="183" spans="1:21" x14ac:dyDescent="0.25">
      <c r="A183" s="32" t="s">
        <v>98</v>
      </c>
      <c r="B183" s="55">
        <v>0.43999999999999995</v>
      </c>
      <c r="C183" s="55">
        <v>0.36</v>
      </c>
      <c r="D183" s="55">
        <v>0.41</v>
      </c>
      <c r="E183" s="42">
        <f t="shared" si="60"/>
        <v>1.21</v>
      </c>
      <c r="F183" s="42">
        <f t="shared" si="61"/>
        <v>0.40333333333333332</v>
      </c>
      <c r="O183" s="33">
        <v>9</v>
      </c>
      <c r="P183" s="42">
        <f t="shared" si="64"/>
        <v>0.40833333333333333</v>
      </c>
      <c r="Q183" s="49">
        <f t="shared" si="65"/>
        <v>8</v>
      </c>
      <c r="R183" s="52">
        <v>8</v>
      </c>
      <c r="S183" s="64"/>
      <c r="T183" s="64"/>
      <c r="U183" s="64"/>
    </row>
    <row r="184" spans="1:21" x14ac:dyDescent="0.25">
      <c r="A184" s="32" t="s">
        <v>99</v>
      </c>
      <c r="B184" s="55">
        <v>0.45</v>
      </c>
      <c r="C184" s="55">
        <v>0.5</v>
      </c>
      <c r="D184" s="55">
        <v>0.42</v>
      </c>
      <c r="E184" s="42">
        <f t="shared" si="60"/>
        <v>1.3699999999999999</v>
      </c>
      <c r="F184" s="42">
        <f t="shared" si="61"/>
        <v>0.45666666666666661</v>
      </c>
      <c r="O184" s="30" t="s">
        <v>14</v>
      </c>
      <c r="P184" s="99">
        <f>SQRT(J178/(3*2))</f>
        <v>1.2952432970255588E-2</v>
      </c>
      <c r="Q184" s="49"/>
      <c r="S184" s="64"/>
      <c r="T184" s="64"/>
      <c r="U184" s="64"/>
    </row>
    <row r="185" spans="1:21" x14ac:dyDescent="0.25">
      <c r="A185" s="32" t="s">
        <v>100</v>
      </c>
      <c r="B185" s="55">
        <v>0.5</v>
      </c>
      <c r="C185" s="55">
        <v>0.5</v>
      </c>
      <c r="D185" s="55">
        <v>0.49</v>
      </c>
      <c r="E185" s="42">
        <f t="shared" si="60"/>
        <v>1.49</v>
      </c>
      <c r="F185" s="42">
        <f t="shared" si="61"/>
        <v>0.49666666666666665</v>
      </c>
      <c r="G185" s="59"/>
      <c r="H185" s="78"/>
      <c r="I185" s="80"/>
      <c r="J185" s="80"/>
      <c r="K185" s="80"/>
      <c r="N185" s="30" t="s">
        <v>109</v>
      </c>
      <c r="O185" s="30" t="s">
        <v>16</v>
      </c>
      <c r="P185" s="42">
        <f>SQRT((2*J178)/(3*2))*L179</f>
        <v>3.722565174942561E-2</v>
      </c>
      <c r="Q185" s="49"/>
      <c r="S185" s="64"/>
      <c r="T185" s="64"/>
      <c r="U185" s="64"/>
    </row>
    <row r="186" spans="1:21" x14ac:dyDescent="0.25">
      <c r="A186" s="32" t="s">
        <v>101</v>
      </c>
      <c r="B186" s="55">
        <v>0.41</v>
      </c>
      <c r="C186" s="55">
        <v>0.4</v>
      </c>
      <c r="D186" s="55">
        <v>0.42</v>
      </c>
      <c r="E186" s="42">
        <f t="shared" si="60"/>
        <v>1.23</v>
      </c>
      <c r="F186" s="42">
        <f>E186/3</f>
        <v>0.41</v>
      </c>
      <c r="G186" s="59"/>
      <c r="H186" s="78"/>
      <c r="I186" s="80"/>
      <c r="J186" s="80"/>
      <c r="K186" s="80"/>
      <c r="Q186" s="49"/>
      <c r="S186" s="64"/>
      <c r="T186" s="64"/>
      <c r="U186" s="64"/>
    </row>
    <row r="187" spans="1:21" x14ac:dyDescent="0.25">
      <c r="A187" s="32" t="s">
        <v>102</v>
      </c>
      <c r="B187" s="55">
        <v>0.45</v>
      </c>
      <c r="C187" s="55">
        <v>0.41</v>
      </c>
      <c r="D187" s="55">
        <v>0.41</v>
      </c>
      <c r="E187" s="42">
        <f t="shared" si="60"/>
        <v>1.27</v>
      </c>
      <c r="F187" s="42">
        <f t="shared" ref="F187:F188" si="67">E187/3</f>
        <v>0.42333333333333334</v>
      </c>
      <c r="G187" s="59"/>
      <c r="H187" s="78"/>
      <c r="I187" s="80"/>
      <c r="J187" s="80"/>
      <c r="K187" s="80"/>
      <c r="S187" s="64"/>
      <c r="T187" s="64"/>
      <c r="U187" s="64"/>
    </row>
    <row r="188" spans="1:21" x14ac:dyDescent="0.25">
      <c r="A188" s="32" t="s">
        <v>103</v>
      </c>
      <c r="B188" s="55">
        <v>0.36</v>
      </c>
      <c r="C188" s="55">
        <v>0.4</v>
      </c>
      <c r="D188" s="55">
        <v>0.42</v>
      </c>
      <c r="E188" s="42">
        <f t="shared" si="60"/>
        <v>1.18</v>
      </c>
      <c r="F188" s="42">
        <f t="shared" si="67"/>
        <v>0.39333333333333331</v>
      </c>
      <c r="G188" s="59"/>
      <c r="H188" s="78"/>
      <c r="I188" s="80"/>
      <c r="J188" s="80"/>
      <c r="K188" s="80"/>
    </row>
    <row r="189" spans="1:21" x14ac:dyDescent="0.25">
      <c r="A189" s="30" t="s">
        <v>4</v>
      </c>
      <c r="B189" s="31">
        <f>SUM(B171:B188)</f>
        <v>8.0474719999999991</v>
      </c>
      <c r="C189" s="31">
        <f>SUM(C171:C188)</f>
        <v>7.9600000000000017</v>
      </c>
      <c r="D189" s="31">
        <f>SUM(D171:D188)</f>
        <v>7.82</v>
      </c>
      <c r="E189" s="31">
        <f>SUM(E171:E188)</f>
        <v>23.827472000000004</v>
      </c>
      <c r="F189" s="31">
        <f>AVERAGE(B171:D188)</f>
        <v>0.44124948148148141</v>
      </c>
      <c r="G189" s="59"/>
      <c r="H189" s="78"/>
      <c r="I189" s="80"/>
      <c r="J189" s="80"/>
      <c r="K189" s="80"/>
    </row>
    <row r="190" spans="1:21" x14ac:dyDescent="0.25">
      <c r="A190" s="30" t="s">
        <v>5</v>
      </c>
      <c r="B190" s="31">
        <f>B189/18</f>
        <v>0.44708177777777774</v>
      </c>
      <c r="C190" s="31">
        <f>C189/18</f>
        <v>0.44222222222222229</v>
      </c>
      <c r="D190" s="31">
        <f>D189/18</f>
        <v>0.43444444444444447</v>
      </c>
      <c r="G190" s="59"/>
      <c r="H190" s="78"/>
      <c r="I190" s="80"/>
      <c r="J190" s="80"/>
      <c r="K190" s="80"/>
    </row>
    <row r="191" spans="1:21" x14ac:dyDescent="0.25">
      <c r="A191" s="30" t="s">
        <v>26</v>
      </c>
      <c r="B191" s="31">
        <f>(E189*E189)/54</f>
        <v>10.513859665014522</v>
      </c>
      <c r="C191" s="31"/>
      <c r="D191" s="31"/>
      <c r="G191" s="59"/>
      <c r="H191" s="78"/>
      <c r="I191" s="80"/>
      <c r="J191" s="80"/>
      <c r="K191" s="80"/>
    </row>
    <row r="192" spans="1:21" x14ac:dyDescent="0.25">
      <c r="A192" s="30" t="s">
        <v>27</v>
      </c>
      <c r="B192" s="31">
        <f>SUMSQ(B171:D188)-B191</f>
        <v>0.13611872576947803</v>
      </c>
      <c r="C192" s="30" t="s">
        <v>28</v>
      </c>
      <c r="D192" s="31">
        <f>(SUMSQ(B189:D189)/18)-B191</f>
        <v>1.4628678068131507E-3</v>
      </c>
      <c r="G192" s="59"/>
      <c r="H192" s="78"/>
      <c r="I192" s="80"/>
      <c r="J192" s="80"/>
      <c r="K192" s="80"/>
    </row>
    <row r="193" spans="1:18" x14ac:dyDescent="0.25">
      <c r="A193" s="30" t="s">
        <v>30</v>
      </c>
      <c r="B193" s="31">
        <f>(SUMSQ(E171:E188)/3)-B191</f>
        <v>0.10043169191347623</v>
      </c>
      <c r="C193" s="30" t="s">
        <v>31</v>
      </c>
      <c r="D193" s="31">
        <f>B192-B193-D192</f>
        <v>3.4224166049188653E-2</v>
      </c>
      <c r="G193" s="59"/>
      <c r="H193" s="78"/>
      <c r="I193" s="80"/>
      <c r="J193" s="80"/>
      <c r="K193" s="80"/>
    </row>
    <row r="194" spans="1:18" x14ac:dyDescent="0.25">
      <c r="I194" s="80"/>
      <c r="J194" s="80"/>
      <c r="K194" s="80"/>
    </row>
    <row r="195" spans="1:18" x14ac:dyDescent="0.25">
      <c r="I195" s="80"/>
      <c r="J195" s="80"/>
      <c r="K195" s="80"/>
    </row>
    <row r="196" spans="1:18" ht="15.75" x14ac:dyDescent="0.25">
      <c r="C196" s="56" t="s">
        <v>125</v>
      </c>
      <c r="I196" s="80"/>
      <c r="J196" s="80"/>
      <c r="K196" s="80"/>
    </row>
    <row r="197" spans="1:18" ht="15.75" x14ac:dyDescent="0.25">
      <c r="C197" s="65" t="s">
        <v>117</v>
      </c>
      <c r="I197" s="80"/>
      <c r="J197" s="80"/>
      <c r="K197" s="80"/>
    </row>
    <row r="198" spans="1:18" x14ac:dyDescent="0.25">
      <c r="I198" s="80"/>
      <c r="J198" s="80"/>
      <c r="K198" s="80"/>
    </row>
    <row r="199" spans="1:18" x14ac:dyDescent="0.25">
      <c r="A199" s="36" t="s">
        <v>104</v>
      </c>
      <c r="B199" s="38">
        <v>2</v>
      </c>
      <c r="C199" s="39"/>
      <c r="D199" s="39"/>
      <c r="E199" s="39"/>
      <c r="F199" s="39"/>
      <c r="G199" s="39"/>
      <c r="H199" s="39"/>
      <c r="I199" s="80"/>
      <c r="J199" s="80"/>
      <c r="K199" s="80"/>
      <c r="M199" s="35"/>
      <c r="N199" s="35"/>
      <c r="O199" s="39"/>
      <c r="P199" s="39"/>
    </row>
    <row r="200" spans="1:18" x14ac:dyDescent="0.25">
      <c r="A200" s="36" t="s">
        <v>105</v>
      </c>
      <c r="B200" s="38">
        <v>9</v>
      </c>
      <c r="C200" s="39" t="s">
        <v>107</v>
      </c>
      <c r="D200" s="39">
        <v>18</v>
      </c>
      <c r="E200" s="39"/>
      <c r="F200" s="39"/>
      <c r="G200" s="39"/>
      <c r="H200" s="39"/>
      <c r="I200" s="80"/>
      <c r="J200" s="80"/>
      <c r="K200" s="80"/>
      <c r="M200" s="35"/>
      <c r="N200" s="35"/>
      <c r="O200" s="39"/>
      <c r="P200" s="39"/>
    </row>
    <row r="201" spans="1:18" x14ac:dyDescent="0.25">
      <c r="A201" s="37" t="s">
        <v>106</v>
      </c>
      <c r="B201" s="40">
        <v>3</v>
      </c>
      <c r="I201" s="80"/>
      <c r="J201" s="80"/>
      <c r="K201" s="80"/>
    </row>
    <row r="202" spans="1:18" s="41" customFormat="1" x14ac:dyDescent="0.25">
      <c r="A202" s="46" t="s">
        <v>0</v>
      </c>
      <c r="B202" s="30" t="s">
        <v>1</v>
      </c>
      <c r="C202" s="30" t="s">
        <v>2</v>
      </c>
      <c r="D202" s="30" t="s">
        <v>3</v>
      </c>
      <c r="E202" s="30" t="s">
        <v>4</v>
      </c>
      <c r="F202" s="30" t="s">
        <v>5</v>
      </c>
      <c r="I202" s="80"/>
      <c r="J202" s="80"/>
      <c r="K202" s="80"/>
      <c r="O202" s="41" t="s">
        <v>7</v>
      </c>
      <c r="Q202" s="37"/>
    </row>
    <row r="203" spans="1:18" s="41" customFormat="1" x14ac:dyDescent="0.25">
      <c r="A203" s="32" t="s">
        <v>86</v>
      </c>
      <c r="B203" s="55">
        <v>1.54</v>
      </c>
      <c r="C203" s="55">
        <v>1.31</v>
      </c>
      <c r="D203" s="55">
        <v>1.57</v>
      </c>
      <c r="E203" s="42">
        <f>SUM(B203:D203)</f>
        <v>4.42</v>
      </c>
      <c r="F203" s="42">
        <f>E203/3</f>
        <v>1.4733333333333334</v>
      </c>
      <c r="H203" s="47"/>
      <c r="I203" s="47"/>
      <c r="J203" s="47" t="s">
        <v>6</v>
      </c>
      <c r="K203" s="47"/>
      <c r="L203" s="47"/>
      <c r="M203" s="47"/>
      <c r="N203" s="47"/>
      <c r="O203" s="33">
        <v>1</v>
      </c>
      <c r="P203" s="42">
        <f>SUM(F203:F211)/9</f>
        <v>1.644074074074074</v>
      </c>
      <c r="Q203" s="49">
        <f>RANK(P203,P$203:P$204,0)</f>
        <v>1</v>
      </c>
    </row>
    <row r="204" spans="1:18" s="41" customFormat="1" x14ac:dyDescent="0.25">
      <c r="A204" s="32" t="s">
        <v>87</v>
      </c>
      <c r="B204" s="55">
        <v>1.6300000000000001</v>
      </c>
      <c r="C204" s="55">
        <v>1.6300000000000001</v>
      </c>
      <c r="D204" s="55">
        <v>1.6500000000000001</v>
      </c>
      <c r="E204" s="42">
        <f t="shared" ref="E204:E220" si="68">SUM(B204:D204)</f>
        <v>4.91</v>
      </c>
      <c r="F204" s="42">
        <f t="shared" ref="F204:F217" si="69">E204/3</f>
        <v>1.6366666666666667</v>
      </c>
      <c r="G204" s="31"/>
      <c r="H204" s="30" t="s">
        <v>8</v>
      </c>
      <c r="I204" s="30" t="s">
        <v>9</v>
      </c>
      <c r="J204" s="30" t="s">
        <v>10</v>
      </c>
      <c r="K204" s="30" t="s">
        <v>11</v>
      </c>
      <c r="L204" s="30" t="s">
        <v>12</v>
      </c>
      <c r="M204" s="30" t="s">
        <v>112</v>
      </c>
      <c r="N204" s="50"/>
      <c r="O204" s="33">
        <v>2</v>
      </c>
      <c r="P204" s="42">
        <f>SUM(F212:F220)/9</f>
        <v>1.5851851851851853</v>
      </c>
      <c r="Q204" s="49">
        <f>RANK(P204,P$203:P$204,0)</f>
        <v>2</v>
      </c>
    </row>
    <row r="205" spans="1:18" s="41" customFormat="1" x14ac:dyDescent="0.25">
      <c r="A205" s="32" t="s">
        <v>88</v>
      </c>
      <c r="B205" s="55">
        <v>1.75</v>
      </c>
      <c r="C205" s="55">
        <v>1.54</v>
      </c>
      <c r="D205" s="55">
        <v>1.85</v>
      </c>
      <c r="E205" s="42">
        <f t="shared" si="68"/>
        <v>5.1400000000000006</v>
      </c>
      <c r="F205" s="42">
        <f t="shared" si="69"/>
        <v>1.7133333333333336</v>
      </c>
      <c r="G205" s="31" t="s">
        <v>13</v>
      </c>
      <c r="H205" s="31">
        <f>B201-1</f>
        <v>2</v>
      </c>
      <c r="I205" s="31">
        <f>D224</f>
        <v>4.3137037036984793E-2</v>
      </c>
      <c r="J205" s="31">
        <f>I205/H205</f>
        <v>2.1568518518492397E-2</v>
      </c>
      <c r="K205" s="31">
        <f>J205/$J$16</f>
        <v>31.298209168243041</v>
      </c>
      <c r="L205" s="31">
        <f>FINV(0.05,H205,$H$16)</f>
        <v>3.275897990672394</v>
      </c>
      <c r="M205" s="31" t="str">
        <f>IF(K205&gt;=L205, "S", "NS")</f>
        <v>S</v>
      </c>
      <c r="N205" s="39"/>
      <c r="O205" s="30" t="s">
        <v>14</v>
      </c>
      <c r="P205" s="42">
        <f>SQRT(J210/(3*9))</f>
        <v>1.8173584948085738E-2</v>
      </c>
      <c r="Q205" s="37"/>
    </row>
    <row r="206" spans="1:18" s="41" customFormat="1" x14ac:dyDescent="0.25">
      <c r="A206" s="32" t="s">
        <v>89</v>
      </c>
      <c r="B206" s="55">
        <v>1.62</v>
      </c>
      <c r="C206" s="55">
        <v>1.6</v>
      </c>
      <c r="D206" s="55">
        <v>1.6500000000000001</v>
      </c>
      <c r="E206" s="42">
        <f t="shared" si="68"/>
        <v>4.87</v>
      </c>
      <c r="F206" s="42">
        <f t="shared" si="69"/>
        <v>1.6233333333333333</v>
      </c>
      <c r="G206" s="31" t="s">
        <v>15</v>
      </c>
      <c r="H206" s="31">
        <f>D200-1</f>
        <v>17</v>
      </c>
      <c r="I206" s="31">
        <f>B225</f>
        <v>0.35240925925921829</v>
      </c>
      <c r="J206" s="31">
        <f t="shared" ref="J206:J210" si="70">I206/H206</f>
        <v>2.0729956427012839E-2</v>
      </c>
      <c r="K206" s="31">
        <f>J206/$J$16</f>
        <v>30.081366587368315</v>
      </c>
      <c r="L206" s="31">
        <f>FINV(0.05,H206,$H$16)</f>
        <v>1.9332068318040869</v>
      </c>
      <c r="M206" s="43" t="str">
        <f t="shared" ref="M206" si="71">IF(K206&gt;=L206, "S", "NS")</f>
        <v>S</v>
      </c>
      <c r="N206" s="30" t="s">
        <v>113</v>
      </c>
      <c r="O206" s="30" t="s">
        <v>16</v>
      </c>
      <c r="P206" s="42">
        <f>SQRT((2*J210)/(3*9))*L211</f>
        <v>5.2231387405720198E-2</v>
      </c>
      <c r="Q206" s="37"/>
    </row>
    <row r="207" spans="1:18" s="41" customFormat="1" x14ac:dyDescent="0.25">
      <c r="A207" s="32" t="s">
        <v>90</v>
      </c>
      <c r="B207" s="55">
        <v>1.62</v>
      </c>
      <c r="C207" s="55">
        <v>1.77</v>
      </c>
      <c r="D207" s="55">
        <v>1.71</v>
      </c>
      <c r="E207" s="42">
        <f t="shared" si="68"/>
        <v>5.0999999999999996</v>
      </c>
      <c r="F207" s="42">
        <f t="shared" si="69"/>
        <v>1.7</v>
      </c>
      <c r="G207" s="31" t="s">
        <v>108</v>
      </c>
      <c r="H207" s="31">
        <f>B199-1</f>
        <v>1</v>
      </c>
      <c r="I207" s="31">
        <f>(SUM(E203:E211)^2+SUM(E212:E220)^2)/27-B223</f>
        <v>4.6816666666614992E-2</v>
      </c>
      <c r="J207" s="31">
        <f t="shared" si="70"/>
        <v>4.6816666666614992E-2</v>
      </c>
      <c r="K207" s="31">
        <f>J207/$J$16</f>
        <v>67.935951402287046</v>
      </c>
      <c r="L207" s="31">
        <f>FINV(0.05,H207,$H$16)</f>
        <v>4.1300177456520188</v>
      </c>
      <c r="M207" s="31" t="str">
        <f>IF(K207&gt;=L207, "S", "NS")</f>
        <v>S</v>
      </c>
      <c r="N207" s="39"/>
      <c r="O207" s="33">
        <v>1</v>
      </c>
      <c r="P207" s="42">
        <f>(F203+F212)/2</f>
        <v>1.4416666666666667</v>
      </c>
      <c r="Q207" s="49">
        <f>RANK(P207,P$207:P$215,0)</f>
        <v>9</v>
      </c>
      <c r="R207" s="51">
        <v>9</v>
      </c>
    </row>
    <row r="208" spans="1:18" s="41" customFormat="1" x14ac:dyDescent="0.25">
      <c r="A208" s="32" t="s">
        <v>91</v>
      </c>
      <c r="B208" s="55">
        <v>1.71</v>
      </c>
      <c r="C208" s="55">
        <v>1.79</v>
      </c>
      <c r="D208" s="55">
        <v>1.73</v>
      </c>
      <c r="E208" s="42">
        <f t="shared" si="68"/>
        <v>5.23</v>
      </c>
      <c r="F208" s="42">
        <f t="shared" si="69"/>
        <v>1.7433333333333334</v>
      </c>
      <c r="G208" s="31" t="s">
        <v>109</v>
      </c>
      <c r="H208" s="31">
        <f>B200-1</f>
        <v>8</v>
      </c>
      <c r="I208" s="31">
        <f>((E203+E212)^2+(E204+E213)^2+(E205+E214)^2+(E206+E215)^2+(E207+E216)^2+(E208+E217)^2+(E209+E218)^2+(E210+E219)^2+(E211+E220)^2/6)-B223</f>
        <v>632.23679259259256</v>
      </c>
      <c r="J208" s="31">
        <f t="shared" si="70"/>
        <v>79.029599074074071</v>
      </c>
      <c r="K208" s="31">
        <f>J208/$J$16</f>
        <v>114680.33468233075</v>
      </c>
      <c r="L208" s="31">
        <f>FINV(0.05,H208,$H$16)</f>
        <v>2.2253399674380931</v>
      </c>
      <c r="M208" s="31" t="str">
        <f>IF(K208&gt;=L208, "S", "NS")</f>
        <v>S</v>
      </c>
      <c r="N208" s="39"/>
      <c r="O208" s="33">
        <v>2</v>
      </c>
      <c r="P208" s="42">
        <f t="shared" ref="P208:P215" si="72">(F204+F213)/2</f>
        <v>1.62</v>
      </c>
      <c r="Q208" s="49">
        <f t="shared" ref="Q208:Q215" si="73">RANK(P208,P$207:P$215,0)</f>
        <v>5</v>
      </c>
      <c r="R208" s="52">
        <v>5</v>
      </c>
    </row>
    <row r="209" spans="1:18" s="41" customFormat="1" x14ac:dyDescent="0.25">
      <c r="A209" s="32" t="s">
        <v>92</v>
      </c>
      <c r="B209" s="55">
        <v>1.69</v>
      </c>
      <c r="C209" s="55">
        <v>1.62</v>
      </c>
      <c r="D209" s="55">
        <v>1.58</v>
      </c>
      <c r="E209" s="42">
        <f t="shared" si="68"/>
        <v>4.8900000000000006</v>
      </c>
      <c r="F209" s="42">
        <f t="shared" si="69"/>
        <v>1.6300000000000001</v>
      </c>
      <c r="G209" s="26" t="s">
        <v>110</v>
      </c>
      <c r="H209" s="31">
        <f>H207*H208</f>
        <v>8</v>
      </c>
      <c r="I209" s="31">
        <f>I206-(I207+I208)</f>
        <v>-631.93119999999999</v>
      </c>
      <c r="J209" s="31">
        <f t="shared" si="70"/>
        <v>-78.991399999999999</v>
      </c>
      <c r="K209" s="44">
        <f>J209/$J$16</f>
        <v>-114624.90377225788</v>
      </c>
      <c r="L209" s="31">
        <f>FINV(0.05,H209,$H$16)</f>
        <v>2.2253399674380931</v>
      </c>
      <c r="M209" s="31" t="str">
        <f t="shared" ref="M209" si="74">IF(K209&gt;=L209, "S", "NS")</f>
        <v>NS</v>
      </c>
      <c r="N209" s="39"/>
      <c r="O209" s="33">
        <v>3</v>
      </c>
      <c r="P209" s="42">
        <f t="shared" si="72"/>
        <v>1.6850000000000003</v>
      </c>
      <c r="Q209" s="49">
        <f t="shared" si="73"/>
        <v>2</v>
      </c>
      <c r="R209" s="52">
        <v>2</v>
      </c>
    </row>
    <row r="210" spans="1:18" s="41" customFormat="1" x14ac:dyDescent="0.25">
      <c r="A210" s="32" t="s">
        <v>93</v>
      </c>
      <c r="B210" s="55">
        <v>1.77</v>
      </c>
      <c r="C210" s="55">
        <v>1.6</v>
      </c>
      <c r="D210" s="55">
        <v>1.6300000000000001</v>
      </c>
      <c r="E210" s="42">
        <f t="shared" si="68"/>
        <v>5</v>
      </c>
      <c r="F210" s="42">
        <f t="shared" si="69"/>
        <v>1.6666666666666667</v>
      </c>
      <c r="G210" s="45" t="s">
        <v>23</v>
      </c>
      <c r="H210" s="31">
        <f>((B201-1)*(B199*B200-1))</f>
        <v>34</v>
      </c>
      <c r="I210" s="31">
        <f>D225</f>
        <v>0.30319629629633482</v>
      </c>
      <c r="J210" s="31">
        <f t="shared" si="70"/>
        <v>8.9175381263627892E-3</v>
      </c>
      <c r="O210" s="33">
        <v>4</v>
      </c>
      <c r="P210" s="42">
        <f t="shared" si="72"/>
        <v>1.5966666666666667</v>
      </c>
      <c r="Q210" s="49">
        <f t="shared" si="73"/>
        <v>7</v>
      </c>
      <c r="R210" s="52">
        <v>7</v>
      </c>
    </row>
    <row r="211" spans="1:18" x14ac:dyDescent="0.25">
      <c r="A211" s="32" t="s">
        <v>94</v>
      </c>
      <c r="B211" s="55">
        <v>1.6700000000000002</v>
      </c>
      <c r="C211" s="55">
        <v>1.62</v>
      </c>
      <c r="D211" s="55">
        <v>1.54</v>
      </c>
      <c r="E211" s="42">
        <f t="shared" si="68"/>
        <v>4.83</v>
      </c>
      <c r="F211" s="42">
        <f t="shared" si="69"/>
        <v>1.61</v>
      </c>
      <c r="G211" s="44" t="s">
        <v>4</v>
      </c>
      <c r="H211" s="31">
        <f>SUM(H205:H210)-H206</f>
        <v>53</v>
      </c>
      <c r="I211" s="31">
        <f>B224</f>
        <v>0.6987425925925379</v>
      </c>
      <c r="K211" s="31" t="s">
        <v>111</v>
      </c>
      <c r="L211" s="41">
        <f>TINV(0.05,34)</f>
        <v>2.0322445093177191</v>
      </c>
      <c r="O211" s="33">
        <v>5</v>
      </c>
      <c r="P211" s="42">
        <f t="shared" si="72"/>
        <v>1.6683333333333334</v>
      </c>
      <c r="Q211" s="49">
        <f t="shared" si="73"/>
        <v>3</v>
      </c>
      <c r="R211" s="51">
        <v>3</v>
      </c>
    </row>
    <row r="212" spans="1:18" x14ac:dyDescent="0.25">
      <c r="A212" s="32" t="s">
        <v>95</v>
      </c>
      <c r="B212" s="55">
        <v>1.4</v>
      </c>
      <c r="C212" s="55">
        <v>1.1499999999999999</v>
      </c>
      <c r="D212" s="55">
        <v>1.68</v>
      </c>
      <c r="E212" s="42">
        <f t="shared" si="68"/>
        <v>4.2299999999999995</v>
      </c>
      <c r="F212" s="42">
        <f t="shared" si="69"/>
        <v>1.41</v>
      </c>
      <c r="G212" s="34" t="s">
        <v>14</v>
      </c>
      <c r="H212" s="31">
        <f>SQRT(J210/3)</f>
        <v>5.452075484425721E-2</v>
      </c>
      <c r="O212" s="33">
        <v>6</v>
      </c>
      <c r="P212" s="42">
        <f t="shared" si="72"/>
        <v>1.7116666666666667</v>
      </c>
      <c r="Q212" s="49">
        <f t="shared" si="73"/>
        <v>1</v>
      </c>
      <c r="R212" s="52">
        <v>1</v>
      </c>
    </row>
    <row r="213" spans="1:18" x14ac:dyDescent="0.25">
      <c r="A213" s="32" t="s">
        <v>96</v>
      </c>
      <c r="B213" s="55">
        <v>1.61</v>
      </c>
      <c r="C213" s="55">
        <v>1.6600000000000001</v>
      </c>
      <c r="D213" s="55">
        <v>1.54</v>
      </c>
      <c r="E213" s="42">
        <f t="shared" si="68"/>
        <v>4.8100000000000005</v>
      </c>
      <c r="F213" s="42">
        <f t="shared" si="69"/>
        <v>1.6033333333333335</v>
      </c>
      <c r="G213" s="34" t="s">
        <v>16</v>
      </c>
      <c r="H213" s="31">
        <f>(SQRT((2*J210)/3))*L211</f>
        <v>0.15669416221716057</v>
      </c>
      <c r="O213" s="33">
        <v>7</v>
      </c>
      <c r="P213" s="42">
        <f t="shared" si="72"/>
        <v>1.6083333333333334</v>
      </c>
      <c r="Q213" s="49">
        <f t="shared" si="73"/>
        <v>6</v>
      </c>
      <c r="R213" s="52">
        <v>6</v>
      </c>
    </row>
    <row r="214" spans="1:18" x14ac:dyDescent="0.25">
      <c r="A214" s="32" t="s">
        <v>97</v>
      </c>
      <c r="B214" s="55">
        <v>1.72</v>
      </c>
      <c r="C214" s="55">
        <v>1.6500000000000001</v>
      </c>
      <c r="D214" s="55">
        <v>1.6</v>
      </c>
      <c r="E214" s="42">
        <f t="shared" si="68"/>
        <v>4.9700000000000006</v>
      </c>
      <c r="F214" s="42">
        <f t="shared" si="69"/>
        <v>1.656666666666667</v>
      </c>
      <c r="G214" s="34" t="s">
        <v>29</v>
      </c>
      <c r="H214" s="31">
        <f>((SQRT(J210))/F221)*100</f>
        <v>5.848568348081276</v>
      </c>
      <c r="O214" s="33">
        <v>8</v>
      </c>
      <c r="P214" s="42">
        <f t="shared" si="72"/>
        <v>1.635</v>
      </c>
      <c r="Q214" s="49">
        <f t="shared" si="73"/>
        <v>4</v>
      </c>
      <c r="R214" s="51">
        <v>4</v>
      </c>
    </row>
    <row r="215" spans="1:18" x14ac:dyDescent="0.25">
      <c r="A215" s="32" t="s">
        <v>98</v>
      </c>
      <c r="B215" s="55">
        <v>1.61</v>
      </c>
      <c r="C215" s="55">
        <v>1.56</v>
      </c>
      <c r="D215" s="55">
        <v>1.54</v>
      </c>
      <c r="E215" s="42">
        <f t="shared" si="68"/>
        <v>4.71</v>
      </c>
      <c r="F215" s="42">
        <f t="shared" si="69"/>
        <v>1.57</v>
      </c>
      <c r="O215" s="33">
        <v>9</v>
      </c>
      <c r="P215" s="42">
        <f t="shared" si="72"/>
        <v>1.5649999999999999</v>
      </c>
      <c r="Q215" s="49">
        <f t="shared" si="73"/>
        <v>8</v>
      </c>
      <c r="R215" s="52">
        <v>8</v>
      </c>
    </row>
    <row r="216" spans="1:18" x14ac:dyDescent="0.25">
      <c r="A216" s="32" t="s">
        <v>99</v>
      </c>
      <c r="B216" s="55">
        <v>1.7</v>
      </c>
      <c r="C216" s="55">
        <v>1.59</v>
      </c>
      <c r="D216" s="55">
        <v>1.62</v>
      </c>
      <c r="E216" s="42">
        <f t="shared" si="68"/>
        <v>4.91</v>
      </c>
      <c r="F216" s="42">
        <f t="shared" si="69"/>
        <v>1.6366666666666667</v>
      </c>
      <c r="O216" s="30" t="s">
        <v>14</v>
      </c>
      <c r="P216" s="42">
        <f>SQRT(J210/(3*2))</f>
        <v>3.8551995465783584E-2</v>
      </c>
      <c r="Q216" s="49"/>
    </row>
    <row r="217" spans="1:18" x14ac:dyDescent="0.25">
      <c r="A217" s="32" t="s">
        <v>100</v>
      </c>
      <c r="B217" s="55">
        <v>1.82</v>
      </c>
      <c r="C217" s="55">
        <v>1.54</v>
      </c>
      <c r="D217" s="55">
        <v>1.68</v>
      </c>
      <c r="E217" s="42">
        <f t="shared" si="68"/>
        <v>5.04</v>
      </c>
      <c r="F217" s="42">
        <f t="shared" si="69"/>
        <v>1.68</v>
      </c>
      <c r="G217" s="59"/>
      <c r="I217" s="80"/>
      <c r="J217" s="80"/>
      <c r="K217" s="80"/>
      <c r="N217" s="30" t="s">
        <v>109</v>
      </c>
      <c r="O217" s="30" t="s">
        <v>16</v>
      </c>
      <c r="P217" s="42">
        <f>SQRT((2*J210)/(3*2))*L211</f>
        <v>0.11079950467609914</v>
      </c>
      <c r="Q217" s="49"/>
    </row>
    <row r="218" spans="1:18" x14ac:dyDescent="0.25">
      <c r="A218" s="32" t="s">
        <v>101</v>
      </c>
      <c r="B218" s="55">
        <v>1.62</v>
      </c>
      <c r="C218" s="55">
        <v>1.6</v>
      </c>
      <c r="D218" s="55">
        <v>1.54</v>
      </c>
      <c r="E218" s="42">
        <f t="shared" si="68"/>
        <v>4.76</v>
      </c>
      <c r="F218" s="42">
        <f>E218/3</f>
        <v>1.5866666666666667</v>
      </c>
      <c r="G218" s="59"/>
      <c r="I218" s="80"/>
      <c r="J218" s="80"/>
      <c r="K218" s="80"/>
      <c r="Q218" s="49"/>
    </row>
    <row r="219" spans="1:18" x14ac:dyDescent="0.25">
      <c r="A219" s="32" t="s">
        <v>102</v>
      </c>
      <c r="B219" s="55">
        <v>1.59</v>
      </c>
      <c r="C219" s="55">
        <v>1.63</v>
      </c>
      <c r="D219" s="55">
        <v>1.59</v>
      </c>
      <c r="E219" s="42">
        <f t="shared" si="68"/>
        <v>4.8099999999999996</v>
      </c>
      <c r="F219" s="42">
        <f t="shared" ref="F219:F220" si="75">E219/3</f>
        <v>1.6033333333333333</v>
      </c>
      <c r="G219" s="59"/>
      <c r="I219" s="80"/>
      <c r="J219" s="80"/>
      <c r="K219" s="80"/>
    </row>
    <row r="220" spans="1:18" x14ac:dyDescent="0.25">
      <c r="A220" s="32" t="s">
        <v>103</v>
      </c>
      <c r="B220" s="55">
        <v>1.53</v>
      </c>
      <c r="C220" s="55">
        <v>1.52</v>
      </c>
      <c r="D220" s="55">
        <v>1.51</v>
      </c>
      <c r="E220" s="42">
        <f t="shared" si="68"/>
        <v>4.5599999999999996</v>
      </c>
      <c r="F220" s="42">
        <f t="shared" si="75"/>
        <v>1.5199999999999998</v>
      </c>
      <c r="G220" s="59"/>
      <c r="I220" s="80"/>
      <c r="J220" s="80"/>
      <c r="K220" s="80"/>
    </row>
    <row r="221" spans="1:18" x14ac:dyDescent="0.25">
      <c r="A221" s="30" t="s">
        <v>4</v>
      </c>
      <c r="B221" s="31">
        <f>SUM(B203:B220)</f>
        <v>29.599999999999998</v>
      </c>
      <c r="C221" s="31">
        <f t="shared" ref="C221:D221" si="76">SUM(C203:C220)</f>
        <v>28.379999999999995</v>
      </c>
      <c r="D221" s="31">
        <f t="shared" si="76"/>
        <v>29.21</v>
      </c>
      <c r="E221" s="31">
        <f>SUM(E203:E220)</f>
        <v>87.190000000000012</v>
      </c>
      <c r="F221" s="31">
        <f>AVERAGE(B203:D220)</f>
        <v>1.6146296296296301</v>
      </c>
      <c r="G221" s="59"/>
      <c r="I221" s="80"/>
      <c r="J221" s="80"/>
      <c r="K221" s="80"/>
    </row>
    <row r="222" spans="1:18" x14ac:dyDescent="0.25">
      <c r="A222" s="30" t="s">
        <v>5</v>
      </c>
      <c r="B222" s="31">
        <f>B221/18</f>
        <v>1.6444444444444444</v>
      </c>
      <c r="C222" s="31">
        <f>C221/18</f>
        <v>1.5766666666666664</v>
      </c>
      <c r="D222" s="31">
        <f>D221/18</f>
        <v>1.6227777777777779</v>
      </c>
      <c r="G222" s="59"/>
      <c r="I222" s="80"/>
      <c r="J222" s="80"/>
      <c r="K222" s="80"/>
    </row>
    <row r="223" spans="1:18" x14ac:dyDescent="0.25">
      <c r="A223" s="30" t="s">
        <v>26</v>
      </c>
      <c r="B223" s="31">
        <f>(E221*E221)/54</f>
        <v>140.77955740740745</v>
      </c>
      <c r="C223" s="31"/>
      <c r="D223" s="31"/>
      <c r="G223" s="59"/>
      <c r="I223" s="80"/>
      <c r="J223" s="80"/>
      <c r="K223" s="80"/>
    </row>
    <row r="224" spans="1:18" x14ac:dyDescent="0.25">
      <c r="A224" s="30" t="s">
        <v>27</v>
      </c>
      <c r="B224" s="31">
        <f>SUMSQ(B203:D220)-B223</f>
        <v>0.6987425925925379</v>
      </c>
      <c r="C224" s="30" t="s">
        <v>28</v>
      </c>
      <c r="D224" s="31">
        <f>(SUMSQ(B221:D221)/18)-B223</f>
        <v>4.3137037036984793E-2</v>
      </c>
      <c r="G224" s="59"/>
      <c r="I224" s="80"/>
      <c r="J224" s="80"/>
      <c r="K224" s="80"/>
    </row>
    <row r="225" spans="1:19" x14ac:dyDescent="0.25">
      <c r="A225" s="30" t="s">
        <v>30</v>
      </c>
      <c r="B225" s="31">
        <f>(SUMSQ(E203:E220)/3)-B223</f>
        <v>0.35240925925921829</v>
      </c>
      <c r="C225" s="30" t="s">
        <v>31</v>
      </c>
      <c r="D225" s="31">
        <f>B224-B225-D224</f>
        <v>0.30319629629633482</v>
      </c>
      <c r="G225" s="59"/>
      <c r="I225" s="80"/>
      <c r="J225" s="80"/>
      <c r="K225" s="80"/>
    </row>
    <row r="226" spans="1:19" x14ac:dyDescent="0.25">
      <c r="I226" s="80"/>
      <c r="J226" s="80"/>
      <c r="K226" s="80"/>
    </row>
    <row r="227" spans="1:19" x14ac:dyDescent="0.25">
      <c r="I227" s="80"/>
      <c r="J227" s="80"/>
      <c r="K227" s="80"/>
    </row>
    <row r="228" spans="1:19" x14ac:dyDescent="0.25">
      <c r="I228" s="80"/>
      <c r="J228" s="80"/>
      <c r="K228" s="80"/>
    </row>
    <row r="229" spans="1:19" ht="15.75" x14ac:dyDescent="0.25">
      <c r="C229" s="56" t="s">
        <v>124</v>
      </c>
      <c r="I229" s="80"/>
      <c r="J229" s="80"/>
      <c r="K229" s="80"/>
    </row>
    <row r="230" spans="1:19" x14ac:dyDescent="0.25">
      <c r="C230" s="48" t="s">
        <v>116</v>
      </c>
      <c r="I230" s="80"/>
      <c r="J230" s="80"/>
      <c r="K230" s="80"/>
    </row>
    <row r="231" spans="1:19" x14ac:dyDescent="0.25">
      <c r="A231" s="36" t="s">
        <v>104</v>
      </c>
      <c r="B231" s="38">
        <v>2</v>
      </c>
      <c r="C231" s="39"/>
      <c r="D231" s="39"/>
      <c r="E231" s="39"/>
      <c r="F231" s="39"/>
      <c r="G231" s="39"/>
      <c r="H231" s="39"/>
      <c r="I231" s="80"/>
      <c r="J231" s="80"/>
      <c r="K231" s="80"/>
      <c r="L231" s="39"/>
      <c r="M231" s="35"/>
      <c r="N231" s="35"/>
      <c r="O231" s="39"/>
      <c r="P231" s="39"/>
    </row>
    <row r="232" spans="1:19" x14ac:dyDescent="0.25">
      <c r="A232" s="36" t="s">
        <v>105</v>
      </c>
      <c r="B232" s="38">
        <v>9</v>
      </c>
      <c r="C232" s="39" t="s">
        <v>107</v>
      </c>
      <c r="D232" s="39">
        <v>18</v>
      </c>
      <c r="E232" s="39"/>
      <c r="F232" s="39"/>
      <c r="G232" s="39"/>
      <c r="H232" s="39"/>
      <c r="I232" s="80"/>
      <c r="J232" s="80"/>
      <c r="K232" s="80"/>
      <c r="L232" s="39"/>
      <c r="M232" s="35"/>
      <c r="N232" s="35"/>
      <c r="O232" s="39"/>
      <c r="P232" s="39"/>
    </row>
    <row r="233" spans="1:19" x14ac:dyDescent="0.25">
      <c r="A233" s="37" t="s">
        <v>106</v>
      </c>
      <c r="B233" s="40">
        <v>3</v>
      </c>
      <c r="I233" s="80"/>
      <c r="J233" s="80"/>
      <c r="K233" s="80"/>
    </row>
    <row r="234" spans="1:19" x14ac:dyDescent="0.25">
      <c r="A234" s="46" t="s">
        <v>0</v>
      </c>
      <c r="B234" s="30" t="s">
        <v>1</v>
      </c>
      <c r="C234" s="30" t="s">
        <v>2</v>
      </c>
      <c r="D234" s="30" t="s">
        <v>3</v>
      </c>
      <c r="E234" s="30" t="s">
        <v>4</v>
      </c>
      <c r="F234" s="30" t="s">
        <v>5</v>
      </c>
      <c r="I234" s="80"/>
      <c r="J234" s="80"/>
      <c r="K234" s="80"/>
      <c r="O234" s="41" t="s">
        <v>7</v>
      </c>
      <c r="R234" s="41"/>
      <c r="S234" s="41"/>
    </row>
    <row r="235" spans="1:19" x14ac:dyDescent="0.25">
      <c r="A235" s="32" t="s">
        <v>86</v>
      </c>
      <c r="B235" s="57">
        <f>DATA!AY56</f>
        <v>10.07</v>
      </c>
      <c r="C235" s="57">
        <f>DATA!AZ56</f>
        <v>9.81</v>
      </c>
      <c r="D235" s="57">
        <f>DATA!BA56</f>
        <v>9.4239999999999995</v>
      </c>
      <c r="E235" s="31">
        <f>SUM(B235:D235)</f>
        <v>29.304000000000002</v>
      </c>
      <c r="F235" s="31">
        <f>E235/3</f>
        <v>9.7680000000000007</v>
      </c>
      <c r="H235" s="47"/>
      <c r="I235" s="47"/>
      <c r="J235" s="47" t="s">
        <v>6</v>
      </c>
      <c r="K235" s="47"/>
      <c r="L235" s="47"/>
      <c r="M235" s="47"/>
      <c r="N235" s="47"/>
      <c r="O235" s="33">
        <v>1</v>
      </c>
      <c r="P235" s="42">
        <f>SUM(F235:F243)/9</f>
        <v>19.092520296296293</v>
      </c>
      <c r="Q235" s="49">
        <f>RANK(P235,P$235:P$236,0)</f>
        <v>1</v>
      </c>
      <c r="R235" s="41"/>
      <c r="S235" s="41"/>
    </row>
    <row r="236" spans="1:19" x14ac:dyDescent="0.25">
      <c r="A236" s="32" t="s">
        <v>87</v>
      </c>
      <c r="B236" s="57">
        <f>DATA!AY57</f>
        <v>18.197600000000001</v>
      </c>
      <c r="C236" s="57">
        <f>DATA!AZ57</f>
        <v>20.056000000000001</v>
      </c>
      <c r="D236" s="57">
        <f>DATA!BA57</f>
        <v>21.805</v>
      </c>
      <c r="E236" s="31">
        <f t="shared" ref="E236:E252" si="77">SUM(B236:D236)</f>
        <v>60.058600000000006</v>
      </c>
      <c r="F236" s="31">
        <f t="shared" ref="F236:F249" si="78">E236/3</f>
        <v>20.019533333333335</v>
      </c>
      <c r="G236" s="31"/>
      <c r="H236" s="30" t="s">
        <v>8</v>
      </c>
      <c r="I236" s="30" t="s">
        <v>9</v>
      </c>
      <c r="J236" s="30" t="s">
        <v>10</v>
      </c>
      <c r="K236" s="30" t="s">
        <v>11</v>
      </c>
      <c r="L236" s="30" t="s">
        <v>12</v>
      </c>
      <c r="M236" s="30" t="s">
        <v>112</v>
      </c>
      <c r="N236" s="50"/>
      <c r="O236" s="33">
        <v>2</v>
      </c>
      <c r="P236" s="42">
        <f>SUM(F244:F252)/9</f>
        <v>17.185166666666664</v>
      </c>
      <c r="Q236" s="49">
        <f>RANK(P236,P$235:P$236,0)</f>
        <v>2</v>
      </c>
      <c r="R236" s="41"/>
      <c r="S236" s="41"/>
    </row>
    <row r="237" spans="1:19" x14ac:dyDescent="0.25">
      <c r="A237" s="32" t="s">
        <v>88</v>
      </c>
      <c r="B237" s="57">
        <f>DATA!AY58</f>
        <v>25.245000000000001</v>
      </c>
      <c r="C237" s="57">
        <f>DATA!AZ58</f>
        <v>21.384</v>
      </c>
      <c r="D237" s="57">
        <f>DATA!BA58</f>
        <v>22.785</v>
      </c>
      <c r="E237" s="31">
        <f t="shared" si="77"/>
        <v>69.414000000000001</v>
      </c>
      <c r="F237" s="31">
        <f t="shared" si="78"/>
        <v>23.138000000000002</v>
      </c>
      <c r="G237" s="31" t="s">
        <v>13</v>
      </c>
      <c r="H237" s="31">
        <f>B233-1</f>
        <v>2</v>
      </c>
      <c r="I237" s="31">
        <f>D256</f>
        <v>5.1604741946721333</v>
      </c>
      <c r="J237" s="31">
        <f>I237/H237</f>
        <v>2.5802370973360667</v>
      </c>
      <c r="K237" s="31">
        <f>J237/$J$16</f>
        <v>3744.197836622172</v>
      </c>
      <c r="L237" s="31">
        <f>FINV(0.05,H237,$H$16)</f>
        <v>3.275897990672394</v>
      </c>
      <c r="M237" s="31" t="str">
        <f>IF(K237&gt;=L237, "S", "NS")</f>
        <v>S</v>
      </c>
      <c r="N237" s="39"/>
      <c r="O237" s="30" t="s">
        <v>14</v>
      </c>
      <c r="P237" s="42">
        <f>SQRT(J242/(3*9))</f>
        <v>0.32666887169533815</v>
      </c>
      <c r="R237" s="41"/>
      <c r="S237" s="41"/>
    </row>
    <row r="238" spans="1:19" x14ac:dyDescent="0.25">
      <c r="A238" s="32" t="s">
        <v>89</v>
      </c>
      <c r="B238" s="57">
        <f>DATA!AY59</f>
        <v>16.236000000000001</v>
      </c>
      <c r="C238" s="57">
        <f>DATA!AZ59</f>
        <v>17.893999999999998</v>
      </c>
      <c r="D238" s="57">
        <f>DATA!BA59</f>
        <v>15.823999999999996</v>
      </c>
      <c r="E238" s="31">
        <f t="shared" si="77"/>
        <v>49.953999999999994</v>
      </c>
      <c r="F238" s="31">
        <f t="shared" si="78"/>
        <v>16.65133333333333</v>
      </c>
      <c r="G238" s="31" t="s">
        <v>15</v>
      </c>
      <c r="H238" s="31">
        <f>D232-1</f>
        <v>17</v>
      </c>
      <c r="I238" s="31">
        <f>B257</f>
        <v>1196.7346871286718</v>
      </c>
      <c r="J238" s="31">
        <f t="shared" ref="J238:J242" si="79">I238/H238</f>
        <v>70.396158066392459</v>
      </c>
      <c r="K238" s="31">
        <f>J238/$J$16</f>
        <v>102152.29562074975</v>
      </c>
      <c r="L238" s="31">
        <f>FINV(0.05,H238,$H$16)</f>
        <v>1.9332068318040869</v>
      </c>
      <c r="M238" s="43" t="str">
        <f t="shared" ref="M238" si="80">IF(K238&gt;=L238, "S", "NS")</f>
        <v>S</v>
      </c>
      <c r="N238" s="30" t="s">
        <v>113</v>
      </c>
      <c r="O238" s="30" t="s">
        <v>16</v>
      </c>
      <c r="P238" s="42">
        <f>SQRT((2*J242)/(3*9))*L243</f>
        <v>0.93885540137780732</v>
      </c>
      <c r="R238" s="41"/>
      <c r="S238" s="41"/>
    </row>
    <row r="239" spans="1:19" x14ac:dyDescent="0.25">
      <c r="A239" s="32" t="s">
        <v>90</v>
      </c>
      <c r="B239" s="57">
        <f>DATA!AY60</f>
        <v>23.132447999999997</v>
      </c>
      <c r="C239" s="57">
        <f>DATA!AZ60</f>
        <v>23.960999999999999</v>
      </c>
      <c r="D239" s="57">
        <f>DATA!BA60</f>
        <v>21.887999999999998</v>
      </c>
      <c r="E239" s="31">
        <f t="shared" si="77"/>
        <v>68.981448</v>
      </c>
      <c r="F239" s="31">
        <f t="shared" si="78"/>
        <v>22.993815999999999</v>
      </c>
      <c r="G239" s="31" t="s">
        <v>108</v>
      </c>
      <c r="H239" s="31">
        <f>B231-1</f>
        <v>1</v>
      </c>
      <c r="I239" s="31">
        <f>(SUM(E235:E243)^2+SUM(E244:E252)^2)/27-B255</f>
        <v>49.112971224225475</v>
      </c>
      <c r="J239" s="31">
        <f t="shared" si="79"/>
        <v>49.112971224225475</v>
      </c>
      <c r="K239" s="31">
        <f>J239/$J$16</f>
        <v>71268.132993547595</v>
      </c>
      <c r="L239" s="31">
        <f>FINV(0.05,H239,$H$16)</f>
        <v>4.1300177456520188</v>
      </c>
      <c r="M239" s="31" t="str">
        <f>IF(K239&gt;=L239, "S", "NS")</f>
        <v>S</v>
      </c>
      <c r="N239" s="39"/>
      <c r="O239" s="33">
        <v>1</v>
      </c>
      <c r="P239" s="42">
        <f>(F235+F244)/2</f>
        <v>8.5860000000000003</v>
      </c>
      <c r="Q239" s="49">
        <f>RANK(P239,P$239:P$247,0)</f>
        <v>9</v>
      </c>
      <c r="R239" s="51">
        <v>9</v>
      </c>
      <c r="S239" s="41"/>
    </row>
    <row r="240" spans="1:19" x14ac:dyDescent="0.25">
      <c r="A240" s="32" t="s">
        <v>91</v>
      </c>
      <c r="B240" s="57">
        <f>DATA!AY61</f>
        <v>24.196000000000002</v>
      </c>
      <c r="C240" s="57">
        <f>DATA!AZ61</f>
        <v>27.94</v>
      </c>
      <c r="D240" s="57">
        <f>DATA!BA61</f>
        <v>22.004999999999999</v>
      </c>
      <c r="E240" s="31">
        <f t="shared" si="77"/>
        <v>74.141000000000005</v>
      </c>
      <c r="F240" s="31">
        <f t="shared" si="78"/>
        <v>24.713666666666668</v>
      </c>
      <c r="G240" s="31" t="s">
        <v>109</v>
      </c>
      <c r="H240" s="31">
        <f>B232-1</f>
        <v>8</v>
      </c>
      <c r="I240" s="31">
        <f>((E235+E244)^2+(E236+E245)^2+(E237+E246)^2+(E238+E247)^2+(E239+E248)^2+(E240+E249)^2+(E241+E250)^2+(E242+E251)^2+(E243+E252)^2/6)-B255</f>
        <v>88898.649773006473</v>
      </c>
      <c r="J240" s="31">
        <f t="shared" si="79"/>
        <v>11112.331221625809</v>
      </c>
      <c r="K240" s="31">
        <f>J240/$J$16</f>
        <v>16125171.81572064</v>
      </c>
      <c r="L240" s="31">
        <f>FINV(0.05,H240,$H$16)</f>
        <v>2.2253399674380931</v>
      </c>
      <c r="M240" s="31" t="str">
        <f>IF(K240&gt;=L240, "S", "NS")</f>
        <v>S</v>
      </c>
      <c r="N240" s="39"/>
      <c r="O240" s="33">
        <v>2</v>
      </c>
      <c r="P240" s="42">
        <f t="shared" ref="P240:P247" si="81">(F236+F245)/2</f>
        <v>18.2591</v>
      </c>
      <c r="Q240" s="49">
        <f t="shared" ref="Q240:Q247" si="82">RANK(P240,P$239:P$247,0)</f>
        <v>5</v>
      </c>
      <c r="R240" s="52">
        <v>5</v>
      </c>
      <c r="S240" s="41"/>
    </row>
    <row r="241" spans="1:19" x14ac:dyDescent="0.25">
      <c r="A241" s="32" t="s">
        <v>92</v>
      </c>
      <c r="B241" s="57">
        <f>DATA!AY62</f>
        <v>18.705999999999996</v>
      </c>
      <c r="C241" s="57">
        <f>DATA!AZ62</f>
        <v>16.154</v>
      </c>
      <c r="D241" s="57">
        <f>DATA!BA62</f>
        <v>17.543999999999997</v>
      </c>
      <c r="E241" s="31">
        <f t="shared" si="77"/>
        <v>52.403999999999996</v>
      </c>
      <c r="F241" s="31">
        <f t="shared" si="78"/>
        <v>17.468</v>
      </c>
      <c r="G241" s="26" t="s">
        <v>110</v>
      </c>
      <c r="H241" s="31">
        <f>H239*H240</f>
        <v>8</v>
      </c>
      <c r="I241" s="31">
        <f>I238-(I239+I240)</f>
        <v>-87751.028057102027</v>
      </c>
      <c r="J241" s="31">
        <f t="shared" si="79"/>
        <v>-10968.878507137753</v>
      </c>
      <c r="K241" s="44">
        <f>J241/$J$16</f>
        <v>-15917006.70415074</v>
      </c>
      <c r="L241" s="31">
        <f>FINV(0.05,H241,$H$16)</f>
        <v>2.2253399674380931</v>
      </c>
      <c r="M241" s="31" t="str">
        <f t="shared" ref="M241" si="83">IF(K241&gt;=L241, "S", "NS")</f>
        <v>NS</v>
      </c>
      <c r="N241" s="39"/>
      <c r="O241" s="33">
        <v>3</v>
      </c>
      <c r="P241" s="42">
        <f t="shared" si="81"/>
        <v>23.002250000000004</v>
      </c>
      <c r="Q241" s="49">
        <f t="shared" si="82"/>
        <v>2</v>
      </c>
      <c r="R241" s="52">
        <v>2</v>
      </c>
      <c r="S241" s="41"/>
    </row>
    <row r="242" spans="1:19" x14ac:dyDescent="0.25">
      <c r="A242" s="32" t="s">
        <v>93</v>
      </c>
      <c r="B242" s="57">
        <f>DATA!AY63</f>
        <v>22.3</v>
      </c>
      <c r="C242" s="57">
        <f>DATA!AZ63</f>
        <v>21.462</v>
      </c>
      <c r="D242" s="57">
        <f>DATA!BA63</f>
        <v>20.543999999999997</v>
      </c>
      <c r="E242" s="31">
        <f t="shared" si="77"/>
        <v>64.305999999999997</v>
      </c>
      <c r="F242" s="31">
        <f t="shared" si="78"/>
        <v>21.435333333333332</v>
      </c>
      <c r="G242" s="45" t="s">
        <v>23</v>
      </c>
      <c r="H242" s="31">
        <f>((B233-1)*(B231*B232-1))</f>
        <v>34</v>
      </c>
      <c r="I242" s="31">
        <f>D257</f>
        <v>97.962122492459457</v>
      </c>
      <c r="J242" s="31">
        <f t="shared" si="79"/>
        <v>2.881238896837043</v>
      </c>
      <c r="O242" s="33">
        <v>4</v>
      </c>
      <c r="P242" s="42">
        <f t="shared" si="81"/>
        <v>15.828666666666665</v>
      </c>
      <c r="Q242" s="49">
        <f t="shared" si="82"/>
        <v>7</v>
      </c>
      <c r="R242" s="52">
        <v>7</v>
      </c>
      <c r="S242" s="41"/>
    </row>
    <row r="243" spans="1:19" x14ac:dyDescent="0.25">
      <c r="A243" s="32" t="s">
        <v>94</v>
      </c>
      <c r="B243" s="57">
        <f>DATA!AY64</f>
        <v>17.38</v>
      </c>
      <c r="C243" s="57">
        <f>DATA!AZ64</f>
        <v>14.719999999999997</v>
      </c>
      <c r="D243" s="57">
        <f>DATA!BA64</f>
        <v>14.834999999999997</v>
      </c>
      <c r="E243" s="31">
        <f t="shared" si="77"/>
        <v>46.934999999999988</v>
      </c>
      <c r="F243" s="31">
        <f t="shared" si="78"/>
        <v>15.644999999999996</v>
      </c>
      <c r="G243" s="44" t="s">
        <v>4</v>
      </c>
      <c r="H243" s="31">
        <f>SUM(H237:H242)-H238</f>
        <v>53</v>
      </c>
      <c r="I243" s="31">
        <f>B256</f>
        <v>1299.8572838158034</v>
      </c>
      <c r="K243" s="31" t="s">
        <v>111</v>
      </c>
      <c r="L243" s="41">
        <f>TINV(0.05,34)</f>
        <v>2.0322445093177191</v>
      </c>
      <c r="O243" s="33">
        <v>5</v>
      </c>
      <c r="P243" s="42">
        <f t="shared" si="81"/>
        <v>21.312741333333332</v>
      </c>
      <c r="Q243" s="49">
        <f t="shared" si="82"/>
        <v>3</v>
      </c>
      <c r="R243" s="51">
        <v>3</v>
      </c>
    </row>
    <row r="244" spans="1:19" x14ac:dyDescent="0.25">
      <c r="A244" s="32" t="s">
        <v>95</v>
      </c>
      <c r="B244" s="57">
        <f>DATA!AY65</f>
        <v>7.6380000000000008</v>
      </c>
      <c r="C244" s="57">
        <f>DATA!AZ65</f>
        <v>7.6840000000000002</v>
      </c>
      <c r="D244" s="57">
        <f>DATA!BA65</f>
        <v>6.8899999999999988</v>
      </c>
      <c r="E244" s="31">
        <f t="shared" si="77"/>
        <v>22.212</v>
      </c>
      <c r="F244" s="31">
        <f t="shared" si="78"/>
        <v>7.4039999999999999</v>
      </c>
      <c r="G244" s="34" t="s">
        <v>14</v>
      </c>
      <c r="H244" s="31">
        <f>SQRT(J242/3)</f>
        <v>0.9800066150860145</v>
      </c>
      <c r="O244" s="33">
        <v>6</v>
      </c>
      <c r="P244" s="42">
        <f t="shared" si="81"/>
        <v>24.677166666666665</v>
      </c>
      <c r="Q244" s="49">
        <f t="shared" si="82"/>
        <v>1</v>
      </c>
      <c r="R244" s="52">
        <v>1</v>
      </c>
    </row>
    <row r="245" spans="1:19" x14ac:dyDescent="0.25">
      <c r="A245" s="32" t="s">
        <v>96</v>
      </c>
      <c r="B245" s="57">
        <f>DATA!AY66</f>
        <v>16.715999999999998</v>
      </c>
      <c r="C245" s="57">
        <f>DATA!AZ66</f>
        <v>15.795000000000002</v>
      </c>
      <c r="D245" s="57">
        <f>DATA!BA66</f>
        <v>16.984999999999999</v>
      </c>
      <c r="E245" s="31">
        <f t="shared" si="77"/>
        <v>49.495999999999995</v>
      </c>
      <c r="F245" s="31">
        <f t="shared" si="78"/>
        <v>16.498666666666665</v>
      </c>
      <c r="G245" s="34" t="s">
        <v>16</v>
      </c>
      <c r="H245" s="31">
        <f>(SQRT((2*J242)/3))*L243</f>
        <v>2.8165662041334216</v>
      </c>
      <c r="O245" s="33">
        <v>7</v>
      </c>
      <c r="P245" s="42">
        <f t="shared" si="81"/>
        <v>16.800166666666669</v>
      </c>
      <c r="Q245" s="49">
        <f t="shared" si="82"/>
        <v>6</v>
      </c>
      <c r="R245" s="52">
        <v>6</v>
      </c>
    </row>
    <row r="246" spans="1:19" x14ac:dyDescent="0.25">
      <c r="A246" s="32" t="s">
        <v>97</v>
      </c>
      <c r="B246" s="57">
        <f>DATA!AY67</f>
        <v>24.964500000000001</v>
      </c>
      <c r="C246" s="57">
        <f>DATA!AZ67</f>
        <v>22.275000000000002</v>
      </c>
      <c r="D246" s="57">
        <f>DATA!BA67</f>
        <v>21.36</v>
      </c>
      <c r="E246" s="31">
        <f t="shared" si="77"/>
        <v>68.599500000000006</v>
      </c>
      <c r="F246" s="31">
        <f t="shared" si="78"/>
        <v>22.866500000000002</v>
      </c>
      <c r="G246" s="34" t="s">
        <v>29</v>
      </c>
      <c r="H246" s="31">
        <f>((SQRT(J242))/F253)*100</f>
        <v>9.3579353657002695</v>
      </c>
      <c r="O246" s="33">
        <v>8</v>
      </c>
      <c r="P246" s="42">
        <f t="shared" si="81"/>
        <v>19.836666666666666</v>
      </c>
      <c r="Q246" s="49">
        <f t="shared" si="82"/>
        <v>4</v>
      </c>
      <c r="R246" s="51">
        <v>4</v>
      </c>
    </row>
    <row r="247" spans="1:19" x14ac:dyDescent="0.25">
      <c r="A247" s="32" t="s">
        <v>98</v>
      </c>
      <c r="B247" s="57">
        <f>DATA!AY68</f>
        <v>16.895999999999997</v>
      </c>
      <c r="C247" s="57">
        <f>DATA!AZ68</f>
        <v>13.607999999999999</v>
      </c>
      <c r="D247" s="57">
        <f>DATA!BA68</f>
        <v>14.513999999999999</v>
      </c>
      <c r="E247" s="31">
        <f t="shared" si="77"/>
        <v>45.018000000000001</v>
      </c>
      <c r="F247" s="31">
        <f t="shared" si="78"/>
        <v>15.006</v>
      </c>
      <c r="O247" s="33">
        <v>9</v>
      </c>
      <c r="P247" s="42">
        <f t="shared" si="81"/>
        <v>14.946833333333331</v>
      </c>
      <c r="Q247" s="49">
        <f t="shared" si="82"/>
        <v>8</v>
      </c>
      <c r="R247" s="52">
        <v>8</v>
      </c>
    </row>
    <row r="248" spans="1:19" x14ac:dyDescent="0.25">
      <c r="A248" s="32" t="s">
        <v>99</v>
      </c>
      <c r="B248" s="57">
        <f>DATA!AY69</f>
        <v>16.875</v>
      </c>
      <c r="C248" s="57">
        <f>DATA!AZ69</f>
        <v>23.75</v>
      </c>
      <c r="D248" s="57">
        <f>DATA!BA69</f>
        <v>18.27</v>
      </c>
      <c r="E248" s="31">
        <f t="shared" si="77"/>
        <v>58.894999999999996</v>
      </c>
      <c r="F248" s="31">
        <f t="shared" si="78"/>
        <v>19.631666666666664</v>
      </c>
      <c r="O248" s="30" t="s">
        <v>14</v>
      </c>
      <c r="P248" s="42">
        <f>SQRT(J242/(3*2))</f>
        <v>0.69296932313499549</v>
      </c>
      <c r="Q248" s="49"/>
    </row>
    <row r="249" spans="1:19" x14ac:dyDescent="0.25">
      <c r="A249" s="32" t="s">
        <v>100</v>
      </c>
      <c r="B249" s="57">
        <f>DATA!AY70</f>
        <v>23.75</v>
      </c>
      <c r="C249" s="57">
        <f>DATA!AZ70</f>
        <v>26.75</v>
      </c>
      <c r="D249" s="57">
        <f>DATA!BA70</f>
        <v>23.421999999999997</v>
      </c>
      <c r="E249" s="31">
        <f t="shared" si="77"/>
        <v>73.921999999999997</v>
      </c>
      <c r="F249" s="31">
        <f t="shared" si="78"/>
        <v>24.640666666666664</v>
      </c>
      <c r="N249" s="30" t="s">
        <v>109</v>
      </c>
      <c r="O249" s="30" t="s">
        <v>16</v>
      </c>
      <c r="P249" s="42">
        <f>SQRT((2*J242)/(3*2))*L243</f>
        <v>1.9916130626035964</v>
      </c>
      <c r="Q249" s="49"/>
    </row>
    <row r="250" spans="1:19" x14ac:dyDescent="0.25">
      <c r="A250" s="32" t="s">
        <v>101</v>
      </c>
      <c r="B250" s="57">
        <f>DATA!AY71</f>
        <v>16.605</v>
      </c>
      <c r="C250" s="57">
        <f>DATA!AZ71</f>
        <v>14.32</v>
      </c>
      <c r="D250" s="57">
        <f>DATA!BA71</f>
        <v>17.472000000000001</v>
      </c>
      <c r="E250" s="31">
        <f t="shared" si="77"/>
        <v>48.397000000000006</v>
      </c>
      <c r="F250" s="31">
        <f>E250/3</f>
        <v>16.132333333333335</v>
      </c>
      <c r="Q250" s="49"/>
    </row>
    <row r="251" spans="1:19" x14ac:dyDescent="0.25">
      <c r="A251" s="32" t="s">
        <v>102</v>
      </c>
      <c r="B251" s="57">
        <f>DATA!AY72</f>
        <v>18.675000000000001</v>
      </c>
      <c r="C251" s="57">
        <f>DATA!AZ72</f>
        <v>17.466000000000001</v>
      </c>
      <c r="D251" s="57">
        <f>DATA!BA72</f>
        <v>18.572999999999997</v>
      </c>
      <c r="E251" s="31">
        <f t="shared" si="77"/>
        <v>54.713999999999999</v>
      </c>
      <c r="F251" s="31">
        <f t="shared" ref="F251:F252" si="84">E251/3</f>
        <v>18.238</v>
      </c>
    </row>
    <row r="252" spans="1:19" x14ac:dyDescent="0.25">
      <c r="A252" s="32" t="s">
        <v>103</v>
      </c>
      <c r="B252" s="57">
        <f>DATA!AY73</f>
        <v>12.816000000000001</v>
      </c>
      <c r="C252" s="57">
        <f>DATA!AZ73</f>
        <v>15.440000000000001</v>
      </c>
      <c r="D252" s="57">
        <f>DATA!BA73</f>
        <v>14.49</v>
      </c>
      <c r="E252" s="31">
        <f t="shared" si="77"/>
        <v>42.746000000000002</v>
      </c>
      <c r="F252" s="31">
        <f t="shared" si="84"/>
        <v>14.248666666666667</v>
      </c>
    </row>
    <row r="253" spans="1:19" x14ac:dyDescent="0.25">
      <c r="A253" s="30" t="s">
        <v>4</v>
      </c>
      <c r="B253" s="31">
        <f>SUM(B235:B252)</f>
        <v>330.39854800000001</v>
      </c>
      <c r="C253" s="31">
        <f t="shared" ref="C253:D253" si="85">SUM(C235:C252)</f>
        <v>330.46900000000005</v>
      </c>
      <c r="D253" s="31">
        <f t="shared" si="85"/>
        <v>318.62999999999994</v>
      </c>
      <c r="E253" s="31">
        <f>SUM(E235:E252)</f>
        <v>979.49754800000017</v>
      </c>
      <c r="F253" s="31">
        <f>AVERAGE(B235:D252)</f>
        <v>18.13884348148148</v>
      </c>
    </row>
    <row r="254" spans="1:19" x14ac:dyDescent="0.25">
      <c r="A254" s="30" t="s">
        <v>5</v>
      </c>
      <c r="B254" s="31">
        <f>B253/18</f>
        <v>18.355474888888889</v>
      </c>
      <c r="C254" s="31">
        <f>C253/18</f>
        <v>18.359388888888891</v>
      </c>
      <c r="D254" s="31">
        <f>D253/18</f>
        <v>17.701666666666664</v>
      </c>
    </row>
    <row r="255" spans="1:19" x14ac:dyDescent="0.25">
      <c r="A255" s="30" t="s">
        <v>26</v>
      </c>
      <c r="B255" s="31">
        <f>(E253*E253)/54</f>
        <v>17766.952713666898</v>
      </c>
      <c r="C255" s="31"/>
      <c r="D255" s="31"/>
    </row>
    <row r="256" spans="1:19" x14ac:dyDescent="0.25">
      <c r="A256" s="30" t="s">
        <v>27</v>
      </c>
      <c r="B256" s="31">
        <f>SUMSQ(B235:D252)-B255</f>
        <v>1299.8572838158034</v>
      </c>
      <c r="C256" s="30" t="s">
        <v>28</v>
      </c>
      <c r="D256" s="31">
        <f>(SUMSQ(B253:D253)/18)-B255</f>
        <v>5.1604741946721333</v>
      </c>
    </row>
    <row r="257" spans="1:18" x14ac:dyDescent="0.25">
      <c r="A257" s="30" t="s">
        <v>30</v>
      </c>
      <c r="B257" s="31">
        <f>(SUMSQ(E235:E252)/3)-B255</f>
        <v>1196.7346871286718</v>
      </c>
      <c r="C257" s="30" t="s">
        <v>31</v>
      </c>
      <c r="D257" s="31">
        <f>B256-B257-D256</f>
        <v>97.962122492459457</v>
      </c>
    </row>
    <row r="261" spans="1:18" ht="15.75" x14ac:dyDescent="0.25">
      <c r="C261" s="56" t="s">
        <v>124</v>
      </c>
    </row>
    <row r="262" spans="1:18" ht="15.75" x14ac:dyDescent="0.25">
      <c r="C262" s="65" t="s">
        <v>117</v>
      </c>
    </row>
    <row r="263" spans="1:18" x14ac:dyDescent="0.25">
      <c r="A263" s="36" t="s">
        <v>104</v>
      </c>
      <c r="B263" s="38">
        <v>2</v>
      </c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5"/>
      <c r="N263" s="35"/>
      <c r="O263" s="39"/>
      <c r="P263" s="39"/>
    </row>
    <row r="264" spans="1:18" x14ac:dyDescent="0.25">
      <c r="A264" s="36" t="s">
        <v>105</v>
      </c>
      <c r="B264" s="38">
        <v>9</v>
      </c>
      <c r="C264" s="39" t="s">
        <v>107</v>
      </c>
      <c r="D264" s="39">
        <v>18</v>
      </c>
      <c r="E264" s="39"/>
      <c r="F264" s="39"/>
      <c r="G264" s="39"/>
      <c r="H264" s="39"/>
      <c r="I264" s="39"/>
      <c r="J264" s="39"/>
      <c r="K264" s="39"/>
      <c r="L264" s="39"/>
      <c r="M264" s="35"/>
      <c r="N264" s="35"/>
      <c r="O264" s="39"/>
      <c r="P264" s="39"/>
    </row>
    <row r="265" spans="1:18" x14ac:dyDescent="0.25">
      <c r="A265" s="37" t="s">
        <v>106</v>
      </c>
      <c r="B265" s="40">
        <v>3</v>
      </c>
    </row>
    <row r="266" spans="1:18" x14ac:dyDescent="0.25">
      <c r="A266" s="46" t="s">
        <v>0</v>
      </c>
      <c r="B266" s="30" t="s">
        <v>1</v>
      </c>
      <c r="C266" s="30" t="s">
        <v>2</v>
      </c>
      <c r="D266" s="30" t="s">
        <v>3</v>
      </c>
      <c r="E266" s="30" t="s">
        <v>4</v>
      </c>
      <c r="F266" s="30" t="s">
        <v>5</v>
      </c>
      <c r="O266" s="41" t="s">
        <v>7</v>
      </c>
      <c r="R266" s="41"/>
    </row>
    <row r="267" spans="1:18" x14ac:dyDescent="0.25">
      <c r="A267" s="32" t="s">
        <v>86</v>
      </c>
      <c r="B267" s="57">
        <f>DATA!AY80</f>
        <v>60.368000000000009</v>
      </c>
      <c r="C267" s="57">
        <f>DATA!AZ80</f>
        <v>50.435000000000002</v>
      </c>
      <c r="D267" s="57">
        <f>DATA!BA80</f>
        <v>66.254000000000005</v>
      </c>
      <c r="E267" s="31">
        <f>SUM(B267:D267)</f>
        <v>177.05700000000002</v>
      </c>
      <c r="F267" s="31">
        <f>E267/3</f>
        <v>59.019000000000005</v>
      </c>
      <c r="H267" s="47"/>
      <c r="I267" s="47"/>
      <c r="J267" s="47" t="s">
        <v>6</v>
      </c>
      <c r="K267" s="47"/>
      <c r="L267" s="47"/>
      <c r="M267" s="47"/>
      <c r="N267" s="47"/>
      <c r="O267" s="33">
        <v>1</v>
      </c>
      <c r="P267" s="42">
        <f>SUM(F267:F275)/9</f>
        <v>105.6007037037037</v>
      </c>
      <c r="Q267" s="49">
        <f>RANK(P267,P$267:P$268,0)</f>
        <v>1</v>
      </c>
      <c r="R267" s="41"/>
    </row>
    <row r="268" spans="1:18" x14ac:dyDescent="0.25">
      <c r="A268" s="32" t="s">
        <v>87</v>
      </c>
      <c r="B268" s="57">
        <f>DATA!AY81</f>
        <v>106.765</v>
      </c>
      <c r="C268" s="57">
        <f>DATA!AZ81</f>
        <v>104.483</v>
      </c>
      <c r="D268" s="57">
        <f>DATA!BA81</f>
        <v>109.72500000000001</v>
      </c>
      <c r="E268" s="31">
        <f t="shared" ref="E268:E284" si="86">SUM(B268:D268)</f>
        <v>320.97300000000001</v>
      </c>
      <c r="F268" s="31">
        <f t="shared" ref="F268:F281" si="87">E268/3</f>
        <v>106.991</v>
      </c>
      <c r="G268" s="31"/>
      <c r="H268" s="30" t="s">
        <v>8</v>
      </c>
      <c r="I268" s="30" t="s">
        <v>9</v>
      </c>
      <c r="J268" s="30" t="s">
        <v>10</v>
      </c>
      <c r="K268" s="30" t="s">
        <v>11</v>
      </c>
      <c r="L268" s="30" t="s">
        <v>12</v>
      </c>
      <c r="M268" s="30" t="s">
        <v>112</v>
      </c>
      <c r="N268" s="50"/>
      <c r="O268" s="33">
        <v>2</v>
      </c>
      <c r="P268" s="42">
        <f>SUM(F276:F284)/9</f>
        <v>99.177814814814823</v>
      </c>
      <c r="Q268" s="49">
        <f>RANK(P268,P$267:P$268,0)</f>
        <v>2</v>
      </c>
      <c r="R268" s="41"/>
    </row>
    <row r="269" spans="1:18" x14ac:dyDescent="0.25">
      <c r="A269" s="32" t="s">
        <v>88</v>
      </c>
      <c r="B269" s="57">
        <f>DATA!AY82</f>
        <v>121.10000000000001</v>
      </c>
      <c r="C269" s="57">
        <f>DATA!AZ82</f>
        <v>110.572</v>
      </c>
      <c r="D269" s="57">
        <f>DATA!BA82</f>
        <v>136.53</v>
      </c>
      <c r="E269" s="31">
        <f t="shared" si="86"/>
        <v>368.202</v>
      </c>
      <c r="F269" s="31">
        <f t="shared" si="87"/>
        <v>122.73399999999999</v>
      </c>
      <c r="G269" s="31" t="s">
        <v>13</v>
      </c>
      <c r="H269" s="31">
        <f>B265-1</f>
        <v>2</v>
      </c>
      <c r="I269" s="31">
        <f>D288</f>
        <v>144.81869248161092</v>
      </c>
      <c r="J269" s="31">
        <f>I269/H269</f>
        <v>72.409346240805462</v>
      </c>
      <c r="K269" s="31">
        <f>J269/$J$16</f>
        <v>105073.64529637947</v>
      </c>
      <c r="L269" s="31">
        <f>FINV(0.05,H269,$H$16)</f>
        <v>3.275897990672394</v>
      </c>
      <c r="M269" s="31" t="str">
        <f>IF(K269&gt;=L269, "S", "NS")</f>
        <v>S</v>
      </c>
      <c r="N269" s="39"/>
      <c r="O269" s="30" t="s">
        <v>14</v>
      </c>
      <c r="P269" s="42">
        <f>SQRT(J274/(3*9))</f>
        <v>1.5910889152698433</v>
      </c>
      <c r="R269" s="41"/>
    </row>
    <row r="270" spans="1:18" x14ac:dyDescent="0.25">
      <c r="A270" s="32" t="s">
        <v>89</v>
      </c>
      <c r="B270" s="57">
        <f>DATA!AY83</f>
        <v>100.27800000000002</v>
      </c>
      <c r="C270" s="57">
        <f>DATA!AZ83</f>
        <v>97.440000000000012</v>
      </c>
      <c r="D270" s="57">
        <f>DATA!BA83</f>
        <v>105.43500000000002</v>
      </c>
      <c r="E270" s="31">
        <f t="shared" si="86"/>
        <v>303.15300000000002</v>
      </c>
      <c r="F270" s="31">
        <f t="shared" si="87"/>
        <v>101.051</v>
      </c>
      <c r="G270" s="31" t="s">
        <v>15</v>
      </c>
      <c r="H270" s="31">
        <f>D264-1</f>
        <v>17</v>
      </c>
      <c r="I270" s="31">
        <f>B289</f>
        <v>19330.596692370484</v>
      </c>
      <c r="J270" s="31">
        <f t="shared" ref="J270:J274" si="88">I270/H270</f>
        <v>1137.0939230806166</v>
      </c>
      <c r="K270" s="31">
        <f>J270/$J$16</f>
        <v>1650043.9479884505</v>
      </c>
      <c r="L270" s="31">
        <f>FINV(0.05,H270,$H$16)</f>
        <v>1.9332068318040869</v>
      </c>
      <c r="M270" s="43" t="str">
        <f t="shared" ref="M270" si="89">IF(K270&gt;=L270, "S", "NS")</f>
        <v>S</v>
      </c>
      <c r="N270" s="30" t="s">
        <v>113</v>
      </c>
      <c r="O270" s="30" t="s">
        <v>16</v>
      </c>
      <c r="P270" s="42">
        <f>SQRT((2*J274)/(3*9))*L275</f>
        <v>4.5728336906450533</v>
      </c>
      <c r="R270" s="41"/>
    </row>
    <row r="271" spans="1:18" x14ac:dyDescent="0.25">
      <c r="A271" s="32" t="s">
        <v>90</v>
      </c>
      <c r="B271" s="57">
        <f>DATA!AY84</f>
        <v>113.72400000000002</v>
      </c>
      <c r="C271" s="57">
        <f>DATA!AZ84</f>
        <v>121.95300000000002</v>
      </c>
      <c r="D271" s="57">
        <f>DATA!BA84</f>
        <v>115.93799999999999</v>
      </c>
      <c r="E271" s="31">
        <f t="shared" si="86"/>
        <v>351.61500000000001</v>
      </c>
      <c r="F271" s="31">
        <f t="shared" si="87"/>
        <v>117.205</v>
      </c>
      <c r="G271" s="31" t="s">
        <v>108</v>
      </c>
      <c r="H271" s="31">
        <f>B263-1</f>
        <v>1</v>
      </c>
      <c r="I271" s="31">
        <f>(SUM(E267:E275)^2+SUM(E276:E284)^2)/27-B287</f>
        <v>556.9222726667067</v>
      </c>
      <c r="J271" s="31">
        <f t="shared" si="88"/>
        <v>556.9222726667067</v>
      </c>
      <c r="K271" s="31">
        <f>J271/$J$16</f>
        <v>808153.31685535924</v>
      </c>
      <c r="L271" s="31">
        <f>FINV(0.05,H271,$H$16)</f>
        <v>4.1300177456520188</v>
      </c>
      <c r="M271" s="31" t="str">
        <f>IF(K271&gt;=L271, "S", "NS")</f>
        <v>S</v>
      </c>
      <c r="N271" s="39"/>
      <c r="O271" s="33">
        <v>1</v>
      </c>
      <c r="P271" s="42">
        <f>(F267+F276)/2</f>
        <v>56.142333333333326</v>
      </c>
      <c r="Q271" s="49">
        <f>RANK(P271,P$271:P$279,0)</f>
        <v>9</v>
      </c>
      <c r="R271" s="51">
        <v>9</v>
      </c>
    </row>
    <row r="272" spans="1:18" x14ac:dyDescent="0.25">
      <c r="A272" s="32" t="s">
        <v>91</v>
      </c>
      <c r="B272" s="57">
        <f>DATA!AY85</f>
        <v>123.97499999999999</v>
      </c>
      <c r="C272" s="57">
        <f>DATA!AZ85</f>
        <v>136.935</v>
      </c>
      <c r="D272" s="57">
        <f>DATA!BA85</f>
        <v>120.75399999999999</v>
      </c>
      <c r="E272" s="31">
        <f t="shared" si="86"/>
        <v>381.66399999999999</v>
      </c>
      <c r="F272" s="31">
        <f t="shared" si="87"/>
        <v>127.22133333333333</v>
      </c>
      <c r="G272" s="31" t="s">
        <v>109</v>
      </c>
      <c r="H272" s="31">
        <f>B264-1</f>
        <v>8</v>
      </c>
      <c r="I272" s="31">
        <f>((E267+E276)^2+(E268+E277)^2+(E269+E278)^2+(E270+E279)^2+(E271+E280)^2+(E272+E281)^2+(E273+E282)^2+(E274+E283)^2+(E275+E284)^2/6)-B287</f>
        <v>2675765.1424603704</v>
      </c>
      <c r="J272" s="31">
        <f t="shared" si="88"/>
        <v>334470.6428075463</v>
      </c>
      <c r="K272" s="31">
        <f>J272/$J$16</f>
        <v>485352395.91221619</v>
      </c>
      <c r="L272" s="31">
        <f>FINV(0.05,H272,$H$16)</f>
        <v>2.2253399674380931</v>
      </c>
      <c r="M272" s="31" t="str">
        <f>IF(K272&gt;=L272, "S", "NS")</f>
        <v>S</v>
      </c>
      <c r="N272" s="39"/>
      <c r="O272" s="33">
        <v>2</v>
      </c>
      <c r="P272" s="42">
        <f t="shared" ref="P272:P279" si="90">(F268+F277)/2</f>
        <v>104.33750000000001</v>
      </c>
      <c r="Q272" s="49">
        <f t="shared" ref="Q272:Q279" si="91">RANK(P272,P$271:P$279,0)</f>
        <v>5</v>
      </c>
      <c r="R272" s="52">
        <v>5</v>
      </c>
    </row>
    <row r="273" spans="1:18" x14ac:dyDescent="0.25">
      <c r="A273" s="32" t="s">
        <v>92</v>
      </c>
      <c r="B273" s="57">
        <f>DATA!AY86</f>
        <v>110.188</v>
      </c>
      <c r="C273" s="57">
        <f>DATA!AZ86</f>
        <v>101.25</v>
      </c>
      <c r="D273" s="57">
        <f>DATA!BA86</f>
        <v>103.01600000000001</v>
      </c>
      <c r="E273" s="31">
        <f t="shared" si="86"/>
        <v>314.45400000000001</v>
      </c>
      <c r="F273" s="31">
        <f t="shared" si="87"/>
        <v>104.818</v>
      </c>
      <c r="G273" s="26" t="s">
        <v>110</v>
      </c>
      <c r="H273" s="31">
        <f>H271*H272</f>
        <v>8</v>
      </c>
      <c r="I273" s="31">
        <f>I270-(I271+I272)</f>
        <v>-2656991.4680406665</v>
      </c>
      <c r="J273" s="31">
        <f t="shared" si="88"/>
        <v>-332123.93350508332</v>
      </c>
      <c r="K273" s="44">
        <f>J273/$J$16</f>
        <v>-481947071.68734765</v>
      </c>
      <c r="L273" s="31">
        <f>FINV(0.05,H273,$H$16)</f>
        <v>2.2253399674380931</v>
      </c>
      <c r="M273" s="31" t="str">
        <f t="shared" ref="M273" si="92">IF(K273&gt;=L273, "S", "NS")</f>
        <v>NS</v>
      </c>
      <c r="N273" s="39"/>
      <c r="O273" s="33">
        <v>3</v>
      </c>
      <c r="P273" s="42">
        <f t="shared" si="90"/>
        <v>117.6645</v>
      </c>
      <c r="Q273" s="49">
        <f t="shared" si="91"/>
        <v>2</v>
      </c>
      <c r="R273" s="52">
        <v>2</v>
      </c>
    </row>
    <row r="274" spans="1:18" x14ac:dyDescent="0.25">
      <c r="A274" s="32" t="s">
        <v>93</v>
      </c>
      <c r="B274" s="57">
        <f>DATA!AY87</f>
        <v>125.316</v>
      </c>
      <c r="C274" s="57">
        <f>DATA!AZ87</f>
        <v>100.64</v>
      </c>
      <c r="D274" s="57">
        <f>DATA!BA87</f>
        <v>112.14400000000001</v>
      </c>
      <c r="E274" s="31">
        <f t="shared" si="86"/>
        <v>338.1</v>
      </c>
      <c r="F274" s="31">
        <f t="shared" si="87"/>
        <v>112.7</v>
      </c>
      <c r="G274" s="45" t="s">
        <v>23</v>
      </c>
      <c r="H274" s="31">
        <f>((B265-1)*(B263*B264-1))</f>
        <v>34</v>
      </c>
      <c r="I274" s="31">
        <f>D289</f>
        <v>2323.9756935184123</v>
      </c>
      <c r="J274" s="31">
        <f t="shared" si="88"/>
        <v>68.3522262799533</v>
      </c>
      <c r="O274" s="33">
        <v>4</v>
      </c>
      <c r="P274" s="42">
        <f t="shared" si="90"/>
        <v>98.279666666666657</v>
      </c>
      <c r="Q274" s="49">
        <f t="shared" si="91"/>
        <v>7</v>
      </c>
      <c r="R274" s="52">
        <v>7</v>
      </c>
    </row>
    <row r="275" spans="1:18" x14ac:dyDescent="0.25">
      <c r="A275" s="32" t="s">
        <v>94</v>
      </c>
      <c r="B275" s="57">
        <f>DATA!AY88</f>
        <v>100.367</v>
      </c>
      <c r="C275" s="57">
        <f>DATA!AZ88</f>
        <v>104.004</v>
      </c>
      <c r="D275" s="57">
        <f>DATA!BA88</f>
        <v>91.63</v>
      </c>
      <c r="E275" s="31">
        <f t="shared" si="86"/>
        <v>296.00099999999998</v>
      </c>
      <c r="F275" s="31">
        <f t="shared" si="87"/>
        <v>98.666999999999987</v>
      </c>
      <c r="G275" s="44" t="s">
        <v>4</v>
      </c>
      <c r="H275" s="31">
        <f>SUM(H269:H274)-H270</f>
        <v>53</v>
      </c>
      <c r="I275" s="31">
        <f>B288</f>
        <v>21799.391078370507</v>
      </c>
      <c r="K275" s="31" t="s">
        <v>111</v>
      </c>
      <c r="L275" s="41">
        <f>TINV(0.05,34)</f>
        <v>2.0322445093177191</v>
      </c>
      <c r="O275" s="33">
        <v>5</v>
      </c>
      <c r="P275" s="42">
        <f t="shared" si="90"/>
        <v>113.956</v>
      </c>
      <c r="Q275" s="49">
        <f t="shared" si="91"/>
        <v>3</v>
      </c>
      <c r="R275" s="51">
        <v>3</v>
      </c>
    </row>
    <row r="276" spans="1:18" x14ac:dyDescent="0.25">
      <c r="A276" s="32" t="s">
        <v>95</v>
      </c>
      <c r="B276" s="57">
        <f>DATA!AY89</f>
        <v>51.099999999999994</v>
      </c>
      <c r="C276" s="57">
        <f>DATA!AZ89</f>
        <v>40.824999999999996</v>
      </c>
      <c r="D276" s="57">
        <f>DATA!BA89</f>
        <v>67.872</v>
      </c>
      <c r="E276" s="31">
        <f t="shared" si="86"/>
        <v>159.79699999999997</v>
      </c>
      <c r="F276" s="31">
        <f t="shared" si="87"/>
        <v>53.265666666666654</v>
      </c>
      <c r="G276" s="34" t="s">
        <v>14</v>
      </c>
      <c r="H276" s="31">
        <f>SQRT(J274/3)</f>
        <v>4.7732667458095301</v>
      </c>
      <c r="O276" s="33">
        <v>6</v>
      </c>
      <c r="P276" s="42">
        <f t="shared" si="90"/>
        <v>124.142</v>
      </c>
      <c r="Q276" s="49">
        <f t="shared" si="91"/>
        <v>1</v>
      </c>
      <c r="R276" s="52">
        <v>1</v>
      </c>
    </row>
    <row r="277" spans="1:18" x14ac:dyDescent="0.25">
      <c r="A277" s="32" t="s">
        <v>96</v>
      </c>
      <c r="B277" s="57">
        <f>DATA!AY90</f>
        <v>102.39600000000002</v>
      </c>
      <c r="C277" s="57">
        <f>DATA!AZ90</f>
        <v>106.40600000000001</v>
      </c>
      <c r="D277" s="57">
        <f>DATA!BA90</f>
        <v>96.25</v>
      </c>
      <c r="E277" s="31">
        <f t="shared" si="86"/>
        <v>305.05200000000002</v>
      </c>
      <c r="F277" s="31">
        <f t="shared" si="87"/>
        <v>101.68400000000001</v>
      </c>
      <c r="G277" s="34" t="s">
        <v>16</v>
      </c>
      <c r="H277" s="31">
        <f>(SQRT((2*J274)/3))*L275</f>
        <v>13.718501071935162</v>
      </c>
      <c r="O277" s="33">
        <v>7</v>
      </c>
      <c r="P277" s="42">
        <f t="shared" si="90"/>
        <v>102.57066666666667</v>
      </c>
      <c r="Q277" s="49">
        <f t="shared" si="91"/>
        <v>6</v>
      </c>
      <c r="R277" s="52">
        <v>6</v>
      </c>
    </row>
    <row r="278" spans="1:18" x14ac:dyDescent="0.25">
      <c r="A278" s="32" t="s">
        <v>97</v>
      </c>
      <c r="B278" s="57">
        <f>DATA!AY91</f>
        <v>122.98</v>
      </c>
      <c r="C278" s="57">
        <f>DATA!AZ91</f>
        <v>103.12500000000001</v>
      </c>
      <c r="D278" s="57">
        <f>DATA!BA91</f>
        <v>111.68</v>
      </c>
      <c r="E278" s="31">
        <f t="shared" si="86"/>
        <v>337.78500000000003</v>
      </c>
      <c r="F278" s="31">
        <f t="shared" si="87"/>
        <v>112.59500000000001</v>
      </c>
      <c r="G278" s="34" t="s">
        <v>29</v>
      </c>
      <c r="H278" s="31">
        <f>((SQRT(J274))/F285)*100</f>
        <v>8.0746169877905594</v>
      </c>
      <c r="O278" s="33">
        <v>8</v>
      </c>
      <c r="P278" s="42">
        <f t="shared" si="90"/>
        <v>110.03466666666667</v>
      </c>
      <c r="Q278" s="49">
        <f t="shared" si="91"/>
        <v>4</v>
      </c>
      <c r="R278" s="51">
        <v>4</v>
      </c>
    </row>
    <row r="279" spans="1:18" x14ac:dyDescent="0.25">
      <c r="A279" s="32" t="s">
        <v>98</v>
      </c>
      <c r="B279" s="57">
        <f>DATA!AY92</f>
        <v>99.015000000000001</v>
      </c>
      <c r="C279" s="57">
        <f>DATA!AZ92</f>
        <v>91.26</v>
      </c>
      <c r="D279" s="57">
        <f>DATA!BA92</f>
        <v>96.25</v>
      </c>
      <c r="E279" s="31">
        <f t="shared" si="86"/>
        <v>286.52499999999998</v>
      </c>
      <c r="F279" s="31">
        <f t="shared" si="87"/>
        <v>95.508333333333326</v>
      </c>
      <c r="O279" s="33">
        <v>9</v>
      </c>
      <c r="P279" s="42">
        <f t="shared" si="90"/>
        <v>94.375999999999991</v>
      </c>
      <c r="Q279" s="49">
        <f t="shared" si="91"/>
        <v>8</v>
      </c>
      <c r="R279" s="52">
        <v>8</v>
      </c>
    </row>
    <row r="280" spans="1:18" x14ac:dyDescent="0.25">
      <c r="A280" s="32" t="s">
        <v>99</v>
      </c>
      <c r="B280" s="57">
        <f>DATA!AY93</f>
        <v>108.12</v>
      </c>
      <c r="C280" s="57">
        <f>DATA!AZ93</f>
        <v>114.00300000000001</v>
      </c>
      <c r="D280" s="57">
        <f>DATA!BA93</f>
        <v>109.99800000000002</v>
      </c>
      <c r="E280" s="31">
        <f t="shared" si="86"/>
        <v>332.12100000000004</v>
      </c>
      <c r="F280" s="31">
        <f t="shared" si="87"/>
        <v>110.70700000000001</v>
      </c>
      <c r="O280" s="30" t="s">
        <v>14</v>
      </c>
      <c r="P280" s="42">
        <f>SQRT(J274/(3*2))</f>
        <v>3.3752092843741632</v>
      </c>
      <c r="Q280" s="49"/>
    </row>
    <row r="281" spans="1:18" x14ac:dyDescent="0.25">
      <c r="A281" s="32" t="s">
        <v>100</v>
      </c>
      <c r="B281" s="57">
        <f>DATA!AY94</f>
        <v>132.13200000000001</v>
      </c>
      <c r="C281" s="57">
        <f>DATA!AZ94</f>
        <v>115.80800000000001</v>
      </c>
      <c r="D281" s="57">
        <f>DATA!BA94</f>
        <v>115.24799999999999</v>
      </c>
      <c r="E281" s="31">
        <f t="shared" si="86"/>
        <v>363.18799999999999</v>
      </c>
      <c r="F281" s="31">
        <f t="shared" si="87"/>
        <v>121.06266666666666</v>
      </c>
      <c r="N281" s="30" t="s">
        <v>109</v>
      </c>
      <c r="O281" s="30" t="s">
        <v>16</v>
      </c>
      <c r="P281" s="42">
        <f>SQRT((2*J274)/(3*2))*L275</f>
        <v>9.7004451356802743</v>
      </c>
      <c r="Q281" s="49"/>
    </row>
    <row r="282" spans="1:18" x14ac:dyDescent="0.25">
      <c r="A282" s="32" t="s">
        <v>101</v>
      </c>
      <c r="B282" s="57">
        <f>DATA!AY95</f>
        <v>102.38400000000001</v>
      </c>
      <c r="C282" s="57">
        <f>DATA!AZ95</f>
        <v>104.80000000000001</v>
      </c>
      <c r="D282" s="57">
        <f>DATA!BA95</f>
        <v>93.786000000000016</v>
      </c>
      <c r="E282" s="31">
        <f t="shared" si="86"/>
        <v>300.97000000000003</v>
      </c>
      <c r="F282" s="31">
        <f>E282/3</f>
        <v>100.32333333333334</v>
      </c>
      <c r="Q282" s="49"/>
    </row>
    <row r="283" spans="1:18" x14ac:dyDescent="0.25">
      <c r="A283" s="32" t="s">
        <v>102</v>
      </c>
      <c r="B283" s="57">
        <f>DATA!AY96</f>
        <v>99.852000000000004</v>
      </c>
      <c r="C283" s="57">
        <f>DATA!AZ96</f>
        <v>115.56700000000001</v>
      </c>
      <c r="D283" s="57">
        <f>DATA!BA96</f>
        <v>106.68899999999999</v>
      </c>
      <c r="E283" s="31">
        <f t="shared" si="86"/>
        <v>322.108</v>
      </c>
      <c r="F283" s="31">
        <f t="shared" ref="F283:F284" si="93">E283/3</f>
        <v>107.36933333333333</v>
      </c>
    </row>
    <row r="284" spans="1:18" x14ac:dyDescent="0.25">
      <c r="A284" s="32" t="s">
        <v>103</v>
      </c>
      <c r="B284" s="57">
        <f>DATA!AY97</f>
        <v>101.745</v>
      </c>
      <c r="C284" s="57">
        <f>DATA!AZ97</f>
        <v>90.896000000000001</v>
      </c>
      <c r="D284" s="57">
        <f>DATA!BA97</f>
        <v>77.614000000000004</v>
      </c>
      <c r="E284" s="31">
        <f t="shared" si="86"/>
        <v>270.255</v>
      </c>
      <c r="F284" s="31">
        <f t="shared" si="93"/>
        <v>90.084999999999994</v>
      </c>
    </row>
    <row r="285" spans="1:18" x14ac:dyDescent="0.25">
      <c r="A285" s="30" t="s">
        <v>4</v>
      </c>
      <c r="B285" s="31">
        <f>SUM(B267:B284)</f>
        <v>1881.8050000000003</v>
      </c>
      <c r="C285" s="31">
        <f t="shared" ref="C285:D285" si="94">SUM(C267:C284)</f>
        <v>1810.4019999999998</v>
      </c>
      <c r="D285" s="31">
        <f t="shared" si="94"/>
        <v>1836.8130000000003</v>
      </c>
      <c r="E285" s="31">
        <f>SUM(E267:E284)</f>
        <v>5529.02</v>
      </c>
      <c r="F285" s="31">
        <f>AVERAGE(B267:D284)</f>
        <v>102.38925925925922</v>
      </c>
    </row>
    <row r="286" spans="1:18" x14ac:dyDescent="0.25">
      <c r="A286" s="30" t="s">
        <v>5</v>
      </c>
      <c r="B286" s="31">
        <f>B285/18</f>
        <v>104.54472222222223</v>
      </c>
      <c r="C286" s="31">
        <f>C285/18</f>
        <v>100.57788888888888</v>
      </c>
      <c r="D286" s="31">
        <f>D285/18</f>
        <v>102.04516666666669</v>
      </c>
    </row>
    <row r="287" spans="1:18" x14ac:dyDescent="0.25">
      <c r="A287" s="30" t="s">
        <v>26</v>
      </c>
      <c r="B287" s="31">
        <f>(E285*E285)/54</f>
        <v>566112.26222962968</v>
      </c>
      <c r="C287" s="31"/>
      <c r="D287" s="31"/>
    </row>
    <row r="288" spans="1:18" x14ac:dyDescent="0.25">
      <c r="A288" s="30" t="s">
        <v>27</v>
      </c>
      <c r="B288" s="31">
        <f>SUMSQ(B267:D284)-B287</f>
        <v>21799.391078370507</v>
      </c>
      <c r="C288" s="30" t="s">
        <v>28</v>
      </c>
      <c r="D288" s="31">
        <f>(SUMSQ(B285:D285)/18)-B287</f>
        <v>144.81869248161092</v>
      </c>
    </row>
    <row r="289" spans="1:18" x14ac:dyDescent="0.25">
      <c r="A289" s="30" t="s">
        <v>30</v>
      </c>
      <c r="B289" s="31">
        <f>(SUMSQ(E267:E284)/3)-B287</f>
        <v>19330.596692370484</v>
      </c>
      <c r="C289" s="30" t="s">
        <v>31</v>
      </c>
      <c r="D289" s="31">
        <f>B288-B289-D288</f>
        <v>2323.9756935184123</v>
      </c>
    </row>
    <row r="290" spans="1:18" x14ac:dyDescent="0.25">
      <c r="A290" s="50"/>
      <c r="B290" s="39"/>
      <c r="C290" s="50"/>
      <c r="D290" s="39"/>
    </row>
    <row r="291" spans="1:18" x14ac:dyDescent="0.25">
      <c r="A291" s="50"/>
      <c r="B291" s="39"/>
      <c r="C291" s="50"/>
      <c r="D291" s="39"/>
    </row>
    <row r="292" spans="1:18" x14ac:dyDescent="0.25">
      <c r="A292" s="50"/>
      <c r="B292" s="39"/>
      <c r="C292" s="50"/>
      <c r="D292" s="39"/>
    </row>
    <row r="293" spans="1:18" ht="15.75" x14ac:dyDescent="0.25">
      <c r="C293" s="56" t="s">
        <v>124</v>
      </c>
    </row>
    <row r="294" spans="1:18" ht="15.75" x14ac:dyDescent="0.25">
      <c r="C294" s="65" t="s">
        <v>119</v>
      </c>
    </row>
    <row r="295" spans="1:18" x14ac:dyDescent="0.25">
      <c r="A295" s="36" t="s">
        <v>104</v>
      </c>
      <c r="B295" s="38">
        <v>2</v>
      </c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5"/>
      <c r="N295" s="35"/>
      <c r="O295" s="39"/>
      <c r="P295" s="39"/>
    </row>
    <row r="296" spans="1:18" x14ac:dyDescent="0.25">
      <c r="A296" s="36" t="s">
        <v>105</v>
      </c>
      <c r="B296" s="38">
        <v>9</v>
      </c>
      <c r="C296" s="39" t="s">
        <v>107</v>
      </c>
      <c r="D296" s="39">
        <v>18</v>
      </c>
      <c r="E296" s="39"/>
      <c r="F296" s="39"/>
      <c r="G296" s="39"/>
      <c r="H296" s="39"/>
      <c r="I296" s="39"/>
      <c r="J296" s="39"/>
      <c r="K296" s="39"/>
      <c r="L296" s="39"/>
      <c r="M296" s="35"/>
      <c r="N296" s="35"/>
      <c r="O296" s="39"/>
      <c r="P296" s="39"/>
    </row>
    <row r="297" spans="1:18" x14ac:dyDescent="0.25">
      <c r="A297" s="37" t="s">
        <v>106</v>
      </c>
      <c r="B297" s="40">
        <v>3</v>
      </c>
    </row>
    <row r="298" spans="1:18" x14ac:dyDescent="0.25">
      <c r="A298" s="46" t="s">
        <v>0</v>
      </c>
      <c r="B298" s="30" t="s">
        <v>1</v>
      </c>
      <c r="C298" s="30" t="s">
        <v>2</v>
      </c>
      <c r="D298" s="30" t="s">
        <v>3</v>
      </c>
      <c r="E298" s="30" t="s">
        <v>4</v>
      </c>
      <c r="F298" s="30" t="s">
        <v>5</v>
      </c>
      <c r="O298" s="41" t="s">
        <v>7</v>
      </c>
      <c r="R298" s="41"/>
    </row>
    <row r="299" spans="1:18" x14ac:dyDescent="0.25">
      <c r="A299" s="32" t="s">
        <v>86</v>
      </c>
      <c r="B299" s="58">
        <f>B235+B267</f>
        <v>70.438000000000017</v>
      </c>
      <c r="C299" s="58">
        <f t="shared" ref="C299:D299" si="95">C235+C267</f>
        <v>60.245000000000005</v>
      </c>
      <c r="D299" s="58">
        <f t="shared" si="95"/>
        <v>75.677999999999997</v>
      </c>
      <c r="E299" s="31">
        <f>SUM(B299:D299)</f>
        <v>206.36100000000002</v>
      </c>
      <c r="F299" s="31">
        <f>E299/3</f>
        <v>68.787000000000006</v>
      </c>
      <c r="H299" s="47"/>
      <c r="I299" s="47"/>
      <c r="J299" s="47" t="s">
        <v>6</v>
      </c>
      <c r="K299" s="47"/>
      <c r="L299" s="47"/>
      <c r="M299" s="47"/>
      <c r="N299" s="47"/>
      <c r="O299" s="33">
        <v>1</v>
      </c>
      <c r="P299" s="42">
        <f>SUM(F299:F307)/9</f>
        <v>124.693224</v>
      </c>
      <c r="Q299" s="49">
        <f>RANK(P299,P$299:P$300,0)</f>
        <v>1</v>
      </c>
      <c r="R299" s="41"/>
    </row>
    <row r="300" spans="1:18" x14ac:dyDescent="0.25">
      <c r="A300" s="32" t="s">
        <v>87</v>
      </c>
      <c r="B300" s="58">
        <f t="shared" ref="B300:D300" si="96">B236+B268</f>
        <v>124.96260000000001</v>
      </c>
      <c r="C300" s="58">
        <f t="shared" si="96"/>
        <v>124.539</v>
      </c>
      <c r="D300" s="58">
        <f t="shared" si="96"/>
        <v>131.53</v>
      </c>
      <c r="E300" s="31">
        <f t="shared" ref="E300:E316" si="97">SUM(B300:D300)</f>
        <v>381.03160000000003</v>
      </c>
      <c r="F300" s="31">
        <f t="shared" ref="F300:F313" si="98">E300/3</f>
        <v>127.01053333333334</v>
      </c>
      <c r="G300" s="31"/>
      <c r="H300" s="30" t="s">
        <v>8</v>
      </c>
      <c r="I300" s="30" t="s">
        <v>9</v>
      </c>
      <c r="J300" s="30" t="s">
        <v>10</v>
      </c>
      <c r="K300" s="30" t="s">
        <v>11</v>
      </c>
      <c r="L300" s="30" t="s">
        <v>12</v>
      </c>
      <c r="M300" s="30" t="s">
        <v>112</v>
      </c>
      <c r="N300" s="50"/>
      <c r="O300" s="33">
        <v>2</v>
      </c>
      <c r="P300" s="42">
        <f>SUM(F308:F316)/9</f>
        <v>116.36298148148151</v>
      </c>
      <c r="Q300" s="49">
        <f>RANK(P300,P$299:P$300,0)</f>
        <v>2</v>
      </c>
      <c r="R300" s="41"/>
    </row>
    <row r="301" spans="1:18" x14ac:dyDescent="0.25">
      <c r="A301" s="32" t="s">
        <v>88</v>
      </c>
      <c r="B301" s="58">
        <f t="shared" ref="B301:D301" si="99">B237+B269</f>
        <v>146.345</v>
      </c>
      <c r="C301" s="58">
        <f t="shared" si="99"/>
        <v>131.95600000000002</v>
      </c>
      <c r="D301" s="58">
        <f t="shared" si="99"/>
        <v>159.315</v>
      </c>
      <c r="E301" s="31">
        <f t="shared" si="97"/>
        <v>437.61600000000004</v>
      </c>
      <c r="F301" s="31">
        <f t="shared" si="98"/>
        <v>145.87200000000001</v>
      </c>
      <c r="G301" s="31" t="s">
        <v>13</v>
      </c>
      <c r="H301" s="31">
        <f>B297-1</f>
        <v>2</v>
      </c>
      <c r="I301" s="31">
        <f>D320</f>
        <v>157.82287773012649</v>
      </c>
      <c r="J301" s="31">
        <f>I301/H301</f>
        <v>78.911438865063246</v>
      </c>
      <c r="K301" s="31">
        <f>J301/$J$16</f>
        <v>114508.87168018652</v>
      </c>
      <c r="L301" s="31">
        <f>FINV(0.05,H301,$H$16)</f>
        <v>3.275897990672394</v>
      </c>
      <c r="M301" s="31" t="str">
        <f>IF(K301&gt;=L301, "S", "NS")</f>
        <v>S</v>
      </c>
      <c r="N301" s="39"/>
      <c r="O301" s="30" t="s">
        <v>14</v>
      </c>
      <c r="P301" s="42">
        <f>SQRT(J306/(3*9))</f>
        <v>1.672580674384589</v>
      </c>
      <c r="R301" s="41"/>
    </row>
    <row r="302" spans="1:18" x14ac:dyDescent="0.25">
      <c r="A302" s="32" t="s">
        <v>89</v>
      </c>
      <c r="B302" s="58">
        <f t="shared" ref="B302:D302" si="100">B238+B270</f>
        <v>116.51400000000002</v>
      </c>
      <c r="C302" s="58">
        <f t="shared" si="100"/>
        <v>115.334</v>
      </c>
      <c r="D302" s="58">
        <f t="shared" si="100"/>
        <v>121.25900000000001</v>
      </c>
      <c r="E302" s="31">
        <f t="shared" si="97"/>
        <v>353.10700000000003</v>
      </c>
      <c r="F302" s="31">
        <f t="shared" si="98"/>
        <v>117.70233333333334</v>
      </c>
      <c r="G302" s="31" t="s">
        <v>15</v>
      </c>
      <c r="H302" s="31">
        <f>D296-1</f>
        <v>17</v>
      </c>
      <c r="I302" s="31">
        <f>B321</f>
        <v>29748.5297580841</v>
      </c>
      <c r="J302" s="31">
        <f t="shared" ref="J302:J306" si="101">I302/H302</f>
        <v>1749.9135151814176</v>
      </c>
      <c r="K302" s="31">
        <f>J302/$J$16</f>
        <v>2539310.2070281515</v>
      </c>
      <c r="L302" s="31">
        <f>FINV(0.05,H302,$H$16)</f>
        <v>1.9332068318040869</v>
      </c>
      <c r="M302" s="43" t="str">
        <f t="shared" ref="M302" si="102">IF(K302&gt;=L302, "S", "NS")</f>
        <v>S</v>
      </c>
      <c r="N302" s="30" t="s">
        <v>113</v>
      </c>
      <c r="O302" s="30" t="s">
        <v>16</v>
      </c>
      <c r="P302" s="42">
        <f>SQRT((2*J306)/(3*9))*L307</f>
        <v>4.8070432675037056</v>
      </c>
      <c r="R302" s="41"/>
    </row>
    <row r="303" spans="1:18" x14ac:dyDescent="0.25">
      <c r="A303" s="32" t="s">
        <v>90</v>
      </c>
      <c r="B303" s="58">
        <f t="shared" ref="B303:D303" si="103">B239+B271</f>
        <v>136.856448</v>
      </c>
      <c r="C303" s="58">
        <f t="shared" si="103"/>
        <v>145.91400000000002</v>
      </c>
      <c r="D303" s="58">
        <f t="shared" si="103"/>
        <v>137.82599999999999</v>
      </c>
      <c r="E303" s="31">
        <f t="shared" si="97"/>
        <v>420.59644800000001</v>
      </c>
      <c r="F303" s="31">
        <f t="shared" si="98"/>
        <v>140.19881599999999</v>
      </c>
      <c r="G303" s="31" t="s">
        <v>108</v>
      </c>
      <c r="H303" s="31">
        <f>B295-1</f>
        <v>1</v>
      </c>
      <c r="I303" s="31">
        <f>(SUM(E299:E307)^2+SUM(E308:E316)^2)/27-B319</f>
        <v>936.80469563393854</v>
      </c>
      <c r="J303" s="31">
        <f t="shared" si="101"/>
        <v>936.80469563393854</v>
      </c>
      <c r="K303" s="31">
        <f>J303/$J$16</f>
        <v>1359403.0247652219</v>
      </c>
      <c r="L303" s="31">
        <f>FINV(0.05,H303,$H$16)</f>
        <v>4.1300177456520188</v>
      </c>
      <c r="M303" s="31" t="str">
        <f>IF(K303&gt;=L303, "S", "NS")</f>
        <v>S</v>
      </c>
      <c r="N303" s="39"/>
      <c r="O303" s="33">
        <v>1</v>
      </c>
      <c r="P303" s="42">
        <f>(F299+F308)/2</f>
        <v>64.728333333333339</v>
      </c>
      <c r="Q303" s="49">
        <f>RANK(P303,P$303:P$311,0)</f>
        <v>9</v>
      </c>
      <c r="R303" s="51">
        <v>9</v>
      </c>
    </row>
    <row r="304" spans="1:18" x14ac:dyDescent="0.25">
      <c r="A304" s="32" t="s">
        <v>91</v>
      </c>
      <c r="B304" s="58">
        <f t="shared" ref="B304:D304" si="104">B240+B272</f>
        <v>148.17099999999999</v>
      </c>
      <c r="C304" s="58">
        <f t="shared" si="104"/>
        <v>164.875</v>
      </c>
      <c r="D304" s="58">
        <f t="shared" si="104"/>
        <v>142.75899999999999</v>
      </c>
      <c r="E304" s="31">
        <f t="shared" si="97"/>
        <v>455.80499999999995</v>
      </c>
      <c r="F304" s="31">
        <f t="shared" si="98"/>
        <v>151.93499999999997</v>
      </c>
      <c r="G304" s="31" t="s">
        <v>109</v>
      </c>
      <c r="H304" s="31">
        <f>B296-1</f>
        <v>8</v>
      </c>
      <c r="I304" s="31">
        <f>((E299+E308)^2+(E300+E309)^2+(E301+E310)^2+(E302+E311)^2+(E303+E312)^2+(E304+E313)^2+(E305+E314)^2+(E306+E315)^2+(E307+E316)^2/6)-B319</f>
        <v>3736427.1805318715</v>
      </c>
      <c r="J304" s="31">
        <f t="shared" si="101"/>
        <v>467053.39756648394</v>
      </c>
      <c r="K304" s="31">
        <f>J304/$J$16</f>
        <v>677744042.42188799</v>
      </c>
      <c r="L304" s="31">
        <f>FINV(0.05,H304,$H$16)</f>
        <v>2.2253399674380931</v>
      </c>
      <c r="M304" s="31" t="str">
        <f>IF(K304&gt;=L304, "S", "NS")</f>
        <v>S</v>
      </c>
      <c r="N304" s="39"/>
      <c r="O304" s="33">
        <v>2</v>
      </c>
      <c r="P304" s="42">
        <f t="shared" ref="P304:P311" si="105">(F300+F309)/2</f>
        <v>122.5966</v>
      </c>
      <c r="Q304" s="49">
        <f t="shared" ref="Q304:Q311" si="106">RANK(P304,P$303:P$311,0)</f>
        <v>5</v>
      </c>
      <c r="R304" s="52">
        <v>5</v>
      </c>
    </row>
    <row r="305" spans="1:18" x14ac:dyDescent="0.25">
      <c r="A305" s="32" t="s">
        <v>92</v>
      </c>
      <c r="B305" s="58">
        <f t="shared" ref="B305:D305" si="107">B241+B273</f>
        <v>128.89400000000001</v>
      </c>
      <c r="C305" s="58">
        <f t="shared" si="107"/>
        <v>117.404</v>
      </c>
      <c r="D305" s="58">
        <f t="shared" si="107"/>
        <v>120.56</v>
      </c>
      <c r="E305" s="31">
        <f t="shared" si="97"/>
        <v>366.858</v>
      </c>
      <c r="F305" s="31">
        <f t="shared" si="98"/>
        <v>122.286</v>
      </c>
      <c r="G305" s="26" t="s">
        <v>110</v>
      </c>
      <c r="H305" s="31">
        <f>H303*H304</f>
        <v>8</v>
      </c>
      <c r="I305" s="31">
        <f>I302-(I303+I304)</f>
        <v>-3707615.4554694216</v>
      </c>
      <c r="J305" s="31">
        <f t="shared" si="101"/>
        <v>-463451.9319336777</v>
      </c>
      <c r="K305" s="44">
        <f>J305/$J$16</f>
        <v>-672517933.61004889</v>
      </c>
      <c r="L305" s="31">
        <f>FINV(0.05,H305,$H$16)</f>
        <v>2.2253399674380931</v>
      </c>
      <c r="M305" s="31" t="str">
        <f t="shared" ref="M305" si="108">IF(K305&gt;=L305, "S", "NS")</f>
        <v>NS</v>
      </c>
      <c r="N305" s="39"/>
      <c r="O305" s="33">
        <v>3</v>
      </c>
      <c r="P305" s="42">
        <f t="shared" si="105"/>
        <v>140.66675000000004</v>
      </c>
      <c r="Q305" s="49">
        <f t="shared" si="106"/>
        <v>2</v>
      </c>
      <c r="R305" s="52">
        <v>2</v>
      </c>
    </row>
    <row r="306" spans="1:18" x14ac:dyDescent="0.25">
      <c r="A306" s="32" t="s">
        <v>93</v>
      </c>
      <c r="B306" s="58">
        <f t="shared" ref="B306:D306" si="109">B242+B274</f>
        <v>147.61600000000001</v>
      </c>
      <c r="C306" s="58">
        <f t="shared" si="109"/>
        <v>122.102</v>
      </c>
      <c r="D306" s="58">
        <f t="shared" si="109"/>
        <v>132.68799999999999</v>
      </c>
      <c r="E306" s="31">
        <f t="shared" si="97"/>
        <v>402.40600000000001</v>
      </c>
      <c r="F306" s="31">
        <f t="shared" si="98"/>
        <v>134.13533333333334</v>
      </c>
      <c r="G306" s="45" t="s">
        <v>23</v>
      </c>
      <c r="H306" s="31">
        <f>((B297-1)*(B295*B296-1))</f>
        <v>34</v>
      </c>
      <c r="I306" s="31">
        <f>D321</f>
        <v>2568.1289711141726</v>
      </c>
      <c r="J306" s="31">
        <f t="shared" si="101"/>
        <v>75.533205032769786</v>
      </c>
      <c r="O306" s="33">
        <v>4</v>
      </c>
      <c r="P306" s="42">
        <f t="shared" si="105"/>
        <v>114.10833333333335</v>
      </c>
      <c r="Q306" s="49">
        <f t="shared" si="106"/>
        <v>7</v>
      </c>
      <c r="R306" s="52">
        <v>7</v>
      </c>
    </row>
    <row r="307" spans="1:18" x14ac:dyDescent="0.25">
      <c r="A307" s="32" t="s">
        <v>94</v>
      </c>
      <c r="B307" s="58">
        <f t="shared" ref="B307:D307" si="110">B243+B275</f>
        <v>117.747</v>
      </c>
      <c r="C307" s="58">
        <f t="shared" si="110"/>
        <v>118.724</v>
      </c>
      <c r="D307" s="58">
        <f t="shared" si="110"/>
        <v>106.46499999999999</v>
      </c>
      <c r="E307" s="31">
        <f t="shared" si="97"/>
        <v>342.93599999999998</v>
      </c>
      <c r="F307" s="31">
        <f t="shared" si="98"/>
        <v>114.312</v>
      </c>
      <c r="G307" s="44" t="s">
        <v>4</v>
      </c>
      <c r="H307" s="31">
        <f>SUM(H301:H306)-H302</f>
        <v>53</v>
      </c>
      <c r="I307" s="31">
        <f>B320</f>
        <v>32474.481606928399</v>
      </c>
      <c r="K307" s="31" t="s">
        <v>111</v>
      </c>
      <c r="L307" s="41">
        <f>TINV(0.05,34)</f>
        <v>2.0322445093177191</v>
      </c>
      <c r="O307" s="33">
        <v>5</v>
      </c>
      <c r="P307" s="42">
        <f t="shared" si="105"/>
        <v>135.26874133333334</v>
      </c>
      <c r="Q307" s="49">
        <f t="shared" si="106"/>
        <v>3</v>
      </c>
      <c r="R307" s="51">
        <v>3</v>
      </c>
    </row>
    <row r="308" spans="1:18" x14ac:dyDescent="0.25">
      <c r="A308" s="32" t="s">
        <v>95</v>
      </c>
      <c r="B308" s="58">
        <f t="shared" ref="B308:D308" si="111">B244+B276</f>
        <v>58.737999999999992</v>
      </c>
      <c r="C308" s="58">
        <f t="shared" si="111"/>
        <v>48.508999999999993</v>
      </c>
      <c r="D308" s="58">
        <f t="shared" si="111"/>
        <v>74.762</v>
      </c>
      <c r="E308" s="31">
        <f t="shared" si="97"/>
        <v>182.00899999999999</v>
      </c>
      <c r="F308" s="31">
        <f t="shared" si="98"/>
        <v>60.669666666666664</v>
      </c>
      <c r="G308" s="34" t="s">
        <v>14</v>
      </c>
      <c r="H308" s="31">
        <f>SQRT(J306/3)</f>
        <v>5.0177420231537671</v>
      </c>
      <c r="O308" s="33">
        <v>6</v>
      </c>
      <c r="P308" s="42">
        <f t="shared" si="105"/>
        <v>148.81916666666666</v>
      </c>
      <c r="Q308" s="49">
        <f t="shared" si="106"/>
        <v>1</v>
      </c>
      <c r="R308" s="52">
        <v>1</v>
      </c>
    </row>
    <row r="309" spans="1:18" x14ac:dyDescent="0.25">
      <c r="A309" s="32" t="s">
        <v>96</v>
      </c>
      <c r="B309" s="58">
        <f t="shared" ref="B309:D309" si="112">B245+B277</f>
        <v>119.11200000000001</v>
      </c>
      <c r="C309" s="58">
        <f t="shared" si="112"/>
        <v>122.20100000000001</v>
      </c>
      <c r="D309" s="58">
        <f t="shared" si="112"/>
        <v>113.235</v>
      </c>
      <c r="E309" s="31">
        <f t="shared" si="97"/>
        <v>354.548</v>
      </c>
      <c r="F309" s="31">
        <f t="shared" si="98"/>
        <v>118.18266666666666</v>
      </c>
      <c r="G309" s="34" t="s">
        <v>16</v>
      </c>
      <c r="H309" s="31">
        <f>(SQRT((2*J306)/3))*L307</f>
        <v>14.421129802511116</v>
      </c>
      <c r="O309" s="33">
        <v>7</v>
      </c>
      <c r="P309" s="42">
        <f t="shared" si="105"/>
        <v>119.37083333333334</v>
      </c>
      <c r="Q309" s="49">
        <f t="shared" si="106"/>
        <v>6</v>
      </c>
      <c r="R309" s="52">
        <v>6</v>
      </c>
    </row>
    <row r="310" spans="1:18" x14ac:dyDescent="0.25">
      <c r="A310" s="32" t="s">
        <v>97</v>
      </c>
      <c r="B310" s="58">
        <f t="shared" ref="B310:D310" si="113">B246+B278</f>
        <v>147.94450000000001</v>
      </c>
      <c r="C310" s="58">
        <f t="shared" si="113"/>
        <v>125.40000000000002</v>
      </c>
      <c r="D310" s="58">
        <f t="shared" si="113"/>
        <v>133.04000000000002</v>
      </c>
      <c r="E310" s="31">
        <f t="shared" si="97"/>
        <v>406.38450000000006</v>
      </c>
      <c r="F310" s="31">
        <f t="shared" si="98"/>
        <v>135.46150000000003</v>
      </c>
      <c r="G310" s="34" t="s">
        <v>29</v>
      </c>
      <c r="H310" s="31">
        <f>((SQRT(J306))/F317)*100</f>
        <v>7.2107532813905824</v>
      </c>
      <c r="O310" s="33">
        <v>8</v>
      </c>
      <c r="P310" s="42">
        <f t="shared" si="105"/>
        <v>129.87133333333333</v>
      </c>
      <c r="Q310" s="49">
        <f t="shared" si="106"/>
        <v>4</v>
      </c>
      <c r="R310" s="51">
        <v>4</v>
      </c>
    </row>
    <row r="311" spans="1:18" x14ac:dyDescent="0.25">
      <c r="A311" s="32" t="s">
        <v>98</v>
      </c>
      <c r="B311" s="58">
        <f t="shared" ref="B311:D311" si="114">B247+B279</f>
        <v>115.911</v>
      </c>
      <c r="C311" s="58">
        <f t="shared" si="114"/>
        <v>104.86800000000001</v>
      </c>
      <c r="D311" s="58">
        <f t="shared" si="114"/>
        <v>110.764</v>
      </c>
      <c r="E311" s="31">
        <f t="shared" si="97"/>
        <v>331.54300000000001</v>
      </c>
      <c r="F311" s="31">
        <f t="shared" si="98"/>
        <v>110.51433333333334</v>
      </c>
      <c r="O311" s="33">
        <v>9</v>
      </c>
      <c r="P311" s="42">
        <f t="shared" si="105"/>
        <v>109.32283333333334</v>
      </c>
      <c r="Q311" s="49">
        <f t="shared" si="106"/>
        <v>8</v>
      </c>
      <c r="R311" s="52">
        <v>8</v>
      </c>
    </row>
    <row r="312" spans="1:18" x14ac:dyDescent="0.25">
      <c r="A312" s="32" t="s">
        <v>99</v>
      </c>
      <c r="B312" s="58">
        <f t="shared" ref="B312:D312" si="115">B248+B280</f>
        <v>124.995</v>
      </c>
      <c r="C312" s="58">
        <f t="shared" si="115"/>
        <v>137.75300000000001</v>
      </c>
      <c r="D312" s="58">
        <f t="shared" si="115"/>
        <v>128.26800000000003</v>
      </c>
      <c r="E312" s="31">
        <f t="shared" si="97"/>
        <v>391.01600000000008</v>
      </c>
      <c r="F312" s="31">
        <f t="shared" si="98"/>
        <v>130.33866666666668</v>
      </c>
      <c r="O312" s="30" t="s">
        <v>14</v>
      </c>
      <c r="P312" s="42">
        <f>SQRT(J306/(3*2))</f>
        <v>3.5480794108167353</v>
      </c>
      <c r="Q312" s="49"/>
    </row>
    <row r="313" spans="1:18" x14ac:dyDescent="0.25">
      <c r="A313" s="32" t="s">
        <v>100</v>
      </c>
      <c r="B313" s="58">
        <f t="shared" ref="B313:D313" si="116">B249+B281</f>
        <v>155.88200000000001</v>
      </c>
      <c r="C313" s="58">
        <f t="shared" si="116"/>
        <v>142.55799999999999</v>
      </c>
      <c r="D313" s="58">
        <f t="shared" si="116"/>
        <v>138.66999999999999</v>
      </c>
      <c r="E313" s="31">
        <f t="shared" si="97"/>
        <v>437.11</v>
      </c>
      <c r="F313" s="31">
        <f t="shared" si="98"/>
        <v>145.70333333333335</v>
      </c>
      <c r="N313" s="30" t="s">
        <v>109</v>
      </c>
      <c r="O313" s="30" t="s">
        <v>16</v>
      </c>
      <c r="P313" s="42">
        <f>SQRT((2*J306)/(3*2))*L307</f>
        <v>10.197278675727027</v>
      </c>
      <c r="Q313" s="49"/>
    </row>
    <row r="314" spans="1:18" x14ac:dyDescent="0.25">
      <c r="A314" s="32" t="s">
        <v>101</v>
      </c>
      <c r="B314" s="58">
        <f t="shared" ref="B314:D314" si="117">B250+B282</f>
        <v>118.98900000000002</v>
      </c>
      <c r="C314" s="58">
        <f t="shared" si="117"/>
        <v>119.12</v>
      </c>
      <c r="D314" s="58">
        <f t="shared" si="117"/>
        <v>111.25800000000001</v>
      </c>
      <c r="E314" s="31">
        <f t="shared" si="97"/>
        <v>349.36700000000008</v>
      </c>
      <c r="F314" s="31">
        <f>E314/3</f>
        <v>116.45566666666669</v>
      </c>
      <c r="Q314" s="49"/>
    </row>
    <row r="315" spans="1:18" x14ac:dyDescent="0.25">
      <c r="A315" s="32" t="s">
        <v>102</v>
      </c>
      <c r="B315" s="58">
        <f t="shared" ref="B315:D315" si="118">B251+B283</f>
        <v>118.527</v>
      </c>
      <c r="C315" s="58">
        <f t="shared" si="118"/>
        <v>133.03300000000002</v>
      </c>
      <c r="D315" s="58">
        <f t="shared" si="118"/>
        <v>125.26199999999999</v>
      </c>
      <c r="E315" s="31">
        <f t="shared" si="97"/>
        <v>376.822</v>
      </c>
      <c r="F315" s="31">
        <f t="shared" ref="F315:F316" si="119">E315/3</f>
        <v>125.60733333333333</v>
      </c>
    </row>
    <row r="316" spans="1:18" x14ac:dyDescent="0.25">
      <c r="A316" s="32" t="s">
        <v>103</v>
      </c>
      <c r="B316" s="58">
        <f t="shared" ref="B316:D316" si="120">B252+B284</f>
        <v>114.56100000000001</v>
      </c>
      <c r="C316" s="58">
        <f t="shared" si="120"/>
        <v>106.336</v>
      </c>
      <c r="D316" s="58">
        <f t="shared" si="120"/>
        <v>92.103999999999999</v>
      </c>
      <c r="E316" s="31">
        <f t="shared" si="97"/>
        <v>313.00099999999998</v>
      </c>
      <c r="F316" s="31">
        <f t="shared" si="119"/>
        <v>104.33366666666666</v>
      </c>
    </row>
    <row r="317" spans="1:18" x14ac:dyDescent="0.25">
      <c r="A317" s="30" t="s">
        <v>4</v>
      </c>
      <c r="B317" s="31">
        <f>SUM(B299:B316)</f>
        <v>2212.2035480000009</v>
      </c>
      <c r="C317" s="31">
        <f t="shared" ref="C317:D317" si="121">SUM(C299:C316)</f>
        <v>2140.8709999999996</v>
      </c>
      <c r="D317" s="31">
        <f t="shared" si="121"/>
        <v>2155.4429999999998</v>
      </c>
      <c r="E317" s="31">
        <f>SUM(E299:E316)</f>
        <v>6508.5175480000007</v>
      </c>
      <c r="F317" s="31">
        <f>AVERAGE(B299:D316)</f>
        <v>120.52810274074075</v>
      </c>
    </row>
    <row r="318" spans="1:18" x14ac:dyDescent="0.25">
      <c r="A318" s="30" t="s">
        <v>5</v>
      </c>
      <c r="B318" s="31">
        <f>B317/18</f>
        <v>122.90019711111115</v>
      </c>
      <c r="C318" s="31">
        <f>C317/18</f>
        <v>118.93727777777775</v>
      </c>
      <c r="D318" s="31">
        <f>D317/18</f>
        <v>119.74683333333331</v>
      </c>
    </row>
    <row r="319" spans="1:18" x14ac:dyDescent="0.25">
      <c r="A319" s="30" t="s">
        <v>26</v>
      </c>
      <c r="B319" s="31">
        <f>(E317*E317)/54</f>
        <v>784459.27171525813</v>
      </c>
      <c r="C319" s="31"/>
      <c r="D319" s="31"/>
    </row>
    <row r="320" spans="1:18" x14ac:dyDescent="0.25">
      <c r="A320" s="30" t="s">
        <v>27</v>
      </c>
      <c r="B320" s="31">
        <f>SUMSQ(B299:D316)-B319</f>
        <v>32474.481606928399</v>
      </c>
      <c r="C320" s="30" t="s">
        <v>28</v>
      </c>
      <c r="D320" s="31">
        <f>(SUMSQ(B317:D317)/18)-B319</f>
        <v>157.82287773012649</v>
      </c>
    </row>
    <row r="321" spans="1:4" x14ac:dyDescent="0.25">
      <c r="A321" s="30" t="s">
        <v>30</v>
      </c>
      <c r="B321" s="31">
        <f>(SUMSQ(E299:E316)/3)-B319</f>
        <v>29748.5297580841</v>
      </c>
      <c r="C321" s="30" t="s">
        <v>31</v>
      </c>
      <c r="D321" s="31">
        <f>B320-B321-D320</f>
        <v>2568.1289711141726</v>
      </c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6"/>
  <sheetViews>
    <sheetView topLeftCell="A217" workbookViewId="0">
      <selection activeCell="I233" sqref="I233"/>
    </sheetView>
  </sheetViews>
  <sheetFormatPr defaultColWidth="8.85546875" defaultRowHeight="15" x14ac:dyDescent="0.25"/>
  <cols>
    <col min="1" max="1" width="17.7109375" style="37" bestFit="1" customWidth="1"/>
    <col min="2" max="2" width="11.28515625" style="41" bestFit="1" customWidth="1"/>
    <col min="3" max="3" width="11.42578125" style="41" customWidth="1"/>
    <col min="4" max="4" width="9.5703125" style="41" bestFit="1" customWidth="1"/>
    <col min="5" max="6" width="9.140625" style="41" bestFit="1" customWidth="1"/>
    <col min="7" max="7" width="10.7109375" style="41" bestFit="1" customWidth="1"/>
    <col min="8" max="8" width="9.140625" style="41" bestFit="1" customWidth="1"/>
    <col min="9" max="9" width="13.42578125" style="41" customWidth="1"/>
    <col min="10" max="10" width="11.28515625" style="41" bestFit="1" customWidth="1"/>
    <col min="11" max="11" width="12.28515625" style="41" bestFit="1" customWidth="1"/>
    <col min="12" max="12" width="9.140625" style="41" bestFit="1" customWidth="1"/>
    <col min="13" max="13" width="9.5703125" style="41" bestFit="1" customWidth="1"/>
    <col min="14" max="14" width="9.5703125" style="41" customWidth="1"/>
    <col min="15" max="15" width="9.140625" style="41" bestFit="1" customWidth="1"/>
    <col min="16" max="16" width="12.28515625" style="41" bestFit="1" customWidth="1"/>
    <col min="17" max="17" width="9.85546875" style="37" customWidth="1"/>
    <col min="18" max="16384" width="8.85546875" style="37"/>
  </cols>
  <sheetData>
    <row r="2" spans="1:21" ht="18.75" x14ac:dyDescent="0.3">
      <c r="C2" s="112">
        <v>2019</v>
      </c>
    </row>
    <row r="3" spans="1:21" ht="15.75" x14ac:dyDescent="0.25">
      <c r="C3" s="56" t="s">
        <v>130</v>
      </c>
    </row>
    <row r="4" spans="1:21" x14ac:dyDescent="0.25">
      <c r="C4" s="48"/>
    </row>
    <row r="5" spans="1:21" x14ac:dyDescent="0.25">
      <c r="A5" s="36" t="s">
        <v>104</v>
      </c>
      <c r="B5" s="38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9"/>
      <c r="P5" s="39"/>
    </row>
    <row r="6" spans="1:21" x14ac:dyDescent="0.25">
      <c r="A6" s="36" t="s">
        <v>105</v>
      </c>
      <c r="B6" s="38">
        <v>9</v>
      </c>
      <c r="C6" s="39" t="s">
        <v>107</v>
      </c>
      <c r="D6" s="39">
        <v>18</v>
      </c>
      <c r="E6" s="39"/>
      <c r="F6" s="39"/>
      <c r="G6" s="39"/>
      <c r="H6" s="39"/>
      <c r="I6" s="39"/>
      <c r="J6" s="39"/>
      <c r="K6" s="39"/>
      <c r="L6" s="39"/>
      <c r="M6" s="35"/>
      <c r="N6" s="35"/>
      <c r="O6" s="39"/>
      <c r="P6" s="39"/>
    </row>
    <row r="7" spans="1:21" x14ac:dyDescent="0.25">
      <c r="A7" s="37" t="s">
        <v>106</v>
      </c>
      <c r="B7" s="40">
        <v>3</v>
      </c>
    </row>
    <row r="8" spans="1:21" x14ac:dyDescent="0.25">
      <c r="A8" s="46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30" t="s">
        <v>5</v>
      </c>
      <c r="O8" s="41" t="s">
        <v>7</v>
      </c>
      <c r="S8" s="53"/>
      <c r="T8" s="53"/>
      <c r="U8" s="53"/>
    </row>
    <row r="9" spans="1:21" x14ac:dyDescent="0.25">
      <c r="A9" s="32" t="s">
        <v>86</v>
      </c>
      <c r="B9" s="55">
        <v>206.67500000000001</v>
      </c>
      <c r="C9" s="55">
        <v>200.5</v>
      </c>
      <c r="D9" s="55">
        <v>191.42099999999999</v>
      </c>
      <c r="E9" s="42">
        <f t="shared" ref="E9:E26" si="0">SUM(B9:D9)</f>
        <v>598.596</v>
      </c>
      <c r="F9" s="42">
        <f>E9/3</f>
        <v>199.53200000000001</v>
      </c>
      <c r="H9" s="47"/>
      <c r="I9" s="47"/>
      <c r="J9" s="47" t="s">
        <v>6</v>
      </c>
      <c r="K9" s="47"/>
      <c r="L9" s="47"/>
      <c r="M9" s="47"/>
      <c r="N9" s="47"/>
      <c r="O9" s="33">
        <v>1</v>
      </c>
      <c r="P9" s="42">
        <f>SUM(F9:F17)/9</f>
        <v>225.91392592592592</v>
      </c>
      <c r="Q9" s="49">
        <f>RANK(P9,P$9:P$10,0)</f>
        <v>1</v>
      </c>
      <c r="S9" s="53"/>
      <c r="T9" s="53"/>
      <c r="U9" s="53"/>
    </row>
    <row r="10" spans="1:21" x14ac:dyDescent="0.25">
      <c r="A10" s="32" t="s">
        <v>87</v>
      </c>
      <c r="B10" s="55">
        <v>224.15</v>
      </c>
      <c r="C10" s="55">
        <v>231.15</v>
      </c>
      <c r="D10" s="55">
        <v>232.56</v>
      </c>
      <c r="E10" s="42">
        <f t="shared" si="0"/>
        <v>687.86</v>
      </c>
      <c r="F10" s="42">
        <f t="shared" ref="F10:F23" si="1">E10/3</f>
        <v>229.28666666666666</v>
      </c>
      <c r="G10" s="31"/>
      <c r="H10" s="30" t="s">
        <v>8</v>
      </c>
      <c r="I10" s="30" t="s">
        <v>9</v>
      </c>
      <c r="J10" s="30" t="s">
        <v>10</v>
      </c>
      <c r="K10" s="30" t="s">
        <v>11</v>
      </c>
      <c r="L10" s="30" t="s">
        <v>12</v>
      </c>
      <c r="M10" s="30" t="s">
        <v>112</v>
      </c>
      <c r="N10" s="50"/>
      <c r="O10" s="33">
        <v>2</v>
      </c>
      <c r="P10" s="42">
        <f>SUM(F18:F26)/9</f>
        <v>219.17566666666664</v>
      </c>
      <c r="Q10" s="49">
        <f>RANK(P10,P$9:P$10,0)</f>
        <v>2</v>
      </c>
      <c r="S10" s="53"/>
      <c r="T10" s="53"/>
      <c r="U10" s="53"/>
    </row>
    <row r="11" spans="1:21" x14ac:dyDescent="0.25">
      <c r="A11" s="32" t="s">
        <v>88</v>
      </c>
      <c r="B11" s="55">
        <v>246.58</v>
      </c>
      <c r="C11" s="55">
        <v>245.26</v>
      </c>
      <c r="D11" s="55">
        <v>232.54</v>
      </c>
      <c r="E11" s="42">
        <f t="shared" si="0"/>
        <v>724.38</v>
      </c>
      <c r="F11" s="42">
        <f t="shared" si="1"/>
        <v>241.46</v>
      </c>
      <c r="G11" s="31" t="s">
        <v>13</v>
      </c>
      <c r="H11" s="31">
        <f>B7-1</f>
        <v>2</v>
      </c>
      <c r="I11" s="31">
        <f>D30</f>
        <v>266.62896803673357</v>
      </c>
      <c r="J11" s="31">
        <f>I11/H11</f>
        <v>133.31448401836678</v>
      </c>
      <c r="K11" s="31">
        <f>J11/$J$16</f>
        <v>1.8470678341874811</v>
      </c>
      <c r="L11" s="31">
        <f>FINV(0.05,H11,$H$16)</f>
        <v>3.275897990672394</v>
      </c>
      <c r="M11" s="31" t="str">
        <f>IF(K11&gt;=L11, "S", "NS")</f>
        <v>NS</v>
      </c>
      <c r="N11" s="39"/>
      <c r="O11" s="30" t="s">
        <v>14</v>
      </c>
      <c r="P11" s="42">
        <f>SQRT(J16/(3*9))</f>
        <v>1.6349909884389482</v>
      </c>
      <c r="S11" s="53"/>
      <c r="T11" s="53"/>
      <c r="U11" s="53"/>
    </row>
    <row r="12" spans="1:21" x14ac:dyDescent="0.25">
      <c r="A12" s="32" t="s">
        <v>89</v>
      </c>
      <c r="B12" s="55">
        <v>216.45</v>
      </c>
      <c r="C12" s="55">
        <v>220.15</v>
      </c>
      <c r="D12" s="55">
        <v>215.65</v>
      </c>
      <c r="E12" s="42">
        <f t="shared" si="0"/>
        <v>652.25</v>
      </c>
      <c r="F12" s="42">
        <f t="shared" si="1"/>
        <v>217.41666666666666</v>
      </c>
      <c r="G12" s="31" t="s">
        <v>15</v>
      </c>
      <c r="H12" s="31">
        <f>D6-1</f>
        <v>17</v>
      </c>
      <c r="I12" s="31">
        <f>B31</f>
        <v>10627.105186091736</v>
      </c>
      <c r="J12" s="31">
        <f t="shared" ref="J12:J16" si="2">I12/H12</f>
        <v>625.12383447598449</v>
      </c>
      <c r="K12" s="31">
        <f>J12/$J$16</f>
        <v>8.661070367158711</v>
      </c>
      <c r="L12" s="31">
        <f>FINV(0.05,H12,$H$16)</f>
        <v>1.9332068318040869</v>
      </c>
      <c r="M12" s="43" t="str">
        <f t="shared" ref="M12" si="3">IF(K12&gt;=L12, "S", "NS")</f>
        <v>S</v>
      </c>
      <c r="N12" s="30" t="s">
        <v>113</v>
      </c>
      <c r="O12" s="30" t="s">
        <v>16</v>
      </c>
      <c r="P12" s="42">
        <f>SQRT((2*J16)/(3*9))*L17</f>
        <v>4.6990094670898293</v>
      </c>
      <c r="S12" s="53"/>
      <c r="T12" s="53"/>
      <c r="U12" s="53"/>
    </row>
    <row r="13" spans="1:21" x14ac:dyDescent="0.25">
      <c r="A13" s="32" t="s">
        <v>90</v>
      </c>
      <c r="B13" s="55">
        <v>235.16</v>
      </c>
      <c r="C13" s="55">
        <v>245.16</v>
      </c>
      <c r="D13" s="55">
        <v>208.15</v>
      </c>
      <c r="E13" s="42">
        <f t="shared" si="0"/>
        <v>688.47</v>
      </c>
      <c r="F13" s="42">
        <f t="shared" si="1"/>
        <v>229.49</v>
      </c>
      <c r="G13" s="31" t="s">
        <v>108</v>
      </c>
      <c r="H13" s="31">
        <f>B5-1</f>
        <v>1</v>
      </c>
      <c r="I13" s="31">
        <f>(SUM(E9:E17)^2+SUM(E18:E26)^2)/27-B29</f>
        <v>612.95586090674624</v>
      </c>
      <c r="J13" s="31">
        <f t="shared" si="2"/>
        <v>612.95586090674624</v>
      </c>
      <c r="K13" s="31">
        <f>J13/$J$16</f>
        <v>8.4924834896526846</v>
      </c>
      <c r="L13" s="31">
        <f>FINV(0.05,H13,$H$16)</f>
        <v>4.1300177456520188</v>
      </c>
      <c r="M13" s="31" t="str">
        <f>IF(K13&gt;=L13, "S", "NS")</f>
        <v>S</v>
      </c>
      <c r="N13" s="39"/>
      <c r="O13" s="33">
        <v>1</v>
      </c>
      <c r="P13" s="42">
        <f>(F9+F18)/2</f>
        <v>195.5615</v>
      </c>
      <c r="Q13" s="49">
        <f>RANK(P13,P$13:P$21,0)</f>
        <v>9</v>
      </c>
      <c r="R13" s="51">
        <v>9</v>
      </c>
      <c r="S13" s="54"/>
      <c r="T13" s="54"/>
      <c r="U13" s="54"/>
    </row>
    <row r="14" spans="1:21" x14ac:dyDescent="0.25">
      <c r="A14" s="32" t="s">
        <v>91</v>
      </c>
      <c r="B14" s="55">
        <v>228.15</v>
      </c>
      <c r="C14" s="55">
        <v>265.14999999999998</v>
      </c>
      <c r="D14" s="55">
        <v>251.15</v>
      </c>
      <c r="E14" s="42">
        <f t="shared" si="0"/>
        <v>744.44999999999993</v>
      </c>
      <c r="F14" s="42">
        <f t="shared" si="1"/>
        <v>248.14999999999998</v>
      </c>
      <c r="G14" s="31" t="s">
        <v>109</v>
      </c>
      <c r="H14" s="31">
        <f>B6-1</f>
        <v>8</v>
      </c>
      <c r="I14" s="31">
        <f>((E9+E18)^2+(E10+E19)^2+(E11+E20)^2+(E12+E21)^2+(E13+E22)^2+(E14+E23)^2+(E15+E24)^2+(E16+E25)^2+(E17+E26)^2/6)-B29</f>
        <v>12090055.788415426</v>
      </c>
      <c r="J14" s="31">
        <f t="shared" si="2"/>
        <v>1511256.9735519283</v>
      </c>
      <c r="K14" s="31">
        <f>J14/$J$16</f>
        <v>20938.416148801327</v>
      </c>
      <c r="L14" s="31">
        <f>FINV(0.05,H14,$H$16)</f>
        <v>2.2253399674380931</v>
      </c>
      <c r="M14" s="31" t="str">
        <f>IF(K14&gt;=L14, "S", "NS")</f>
        <v>S</v>
      </c>
      <c r="N14" s="39"/>
      <c r="O14" s="33">
        <v>2</v>
      </c>
      <c r="P14" s="42">
        <f t="shared" ref="P14:P21" si="4">(F10+F19)/2</f>
        <v>225.18833333333333</v>
      </c>
      <c r="Q14" s="49">
        <f t="shared" ref="Q14:Q21" si="5">RANK(P14,P$13:P$21,0)</f>
        <v>5</v>
      </c>
      <c r="R14" s="52">
        <v>5</v>
      </c>
      <c r="S14" s="53"/>
      <c r="T14" s="53"/>
      <c r="U14" s="53"/>
    </row>
    <row r="15" spans="1:21" x14ac:dyDescent="0.25">
      <c r="A15" s="32" t="s">
        <v>92</v>
      </c>
      <c r="B15" s="55">
        <v>226.15</v>
      </c>
      <c r="C15" s="55">
        <v>221.15</v>
      </c>
      <c r="D15" s="55">
        <v>218.16</v>
      </c>
      <c r="E15" s="42">
        <f t="shared" si="0"/>
        <v>665.46</v>
      </c>
      <c r="F15" s="42">
        <f t="shared" si="1"/>
        <v>221.82000000000002</v>
      </c>
      <c r="G15" s="26" t="s">
        <v>110</v>
      </c>
      <c r="H15" s="31">
        <f>H13*H14</f>
        <v>8</v>
      </c>
      <c r="I15" s="31">
        <f>I12-(I13+I14)</f>
        <v>-12080041.639090242</v>
      </c>
      <c r="J15" s="31">
        <f t="shared" si="2"/>
        <v>-1510005.2048862802</v>
      </c>
      <c r="K15" s="44">
        <f>J15/$J$16</f>
        <v>-20921.072934707321</v>
      </c>
      <c r="L15" s="31">
        <f>FINV(0.05,H15,$H$16)</f>
        <v>2.2253399674380931</v>
      </c>
      <c r="M15" s="31" t="str">
        <f t="shared" ref="M15" si="6">IF(K15&gt;=L15, "S", "NS")</f>
        <v>NS</v>
      </c>
      <c r="N15" s="39"/>
      <c r="O15" s="33">
        <v>3</v>
      </c>
      <c r="P15" s="42">
        <f t="shared" si="4"/>
        <v>239.70500000000001</v>
      </c>
      <c r="Q15" s="49">
        <f t="shared" si="5"/>
        <v>2</v>
      </c>
      <c r="R15" s="52">
        <v>2</v>
      </c>
      <c r="S15" s="53"/>
      <c r="T15" s="53"/>
      <c r="U15" s="53"/>
    </row>
    <row r="16" spans="1:21" x14ac:dyDescent="0.25">
      <c r="A16" s="32" t="s">
        <v>93</v>
      </c>
      <c r="B16" s="55">
        <v>236.15</v>
      </c>
      <c r="C16" s="55">
        <v>229.56</v>
      </c>
      <c r="D16" s="55">
        <v>231.15</v>
      </c>
      <c r="E16" s="42">
        <f t="shared" si="0"/>
        <v>696.86</v>
      </c>
      <c r="F16" s="42">
        <f t="shared" si="1"/>
        <v>232.28666666666666</v>
      </c>
      <c r="G16" s="45" t="s">
        <v>23</v>
      </c>
      <c r="H16" s="31">
        <f>((B7-1)*(B5*B6-1))</f>
        <v>34</v>
      </c>
      <c r="I16" s="31">
        <f>D31</f>
        <v>2453.9934986298904</v>
      </c>
      <c r="J16" s="31">
        <f t="shared" si="2"/>
        <v>72.176279371467359</v>
      </c>
      <c r="O16" s="33">
        <v>4</v>
      </c>
      <c r="P16" s="42">
        <f t="shared" si="4"/>
        <v>214.75</v>
      </c>
      <c r="Q16" s="49">
        <f t="shared" si="5"/>
        <v>7</v>
      </c>
      <c r="R16" s="52">
        <v>7</v>
      </c>
      <c r="S16" s="53"/>
      <c r="T16" s="53"/>
      <c r="U16" s="53"/>
    </row>
    <row r="17" spans="1:21" x14ac:dyDescent="0.25">
      <c r="A17" s="32" t="s">
        <v>94</v>
      </c>
      <c r="B17" s="55">
        <v>216.54</v>
      </c>
      <c r="C17" s="55">
        <v>214.56</v>
      </c>
      <c r="D17" s="55">
        <v>210.25</v>
      </c>
      <c r="E17" s="42">
        <f t="shared" si="0"/>
        <v>641.35</v>
      </c>
      <c r="F17" s="42">
        <f t="shared" si="1"/>
        <v>213.78333333333333</v>
      </c>
      <c r="G17" s="44" t="s">
        <v>4</v>
      </c>
      <c r="H17" s="31">
        <f>SUM(H11:H16)-H12</f>
        <v>53</v>
      </c>
      <c r="I17" s="31">
        <f>B30</f>
        <v>13347.72765275836</v>
      </c>
      <c r="K17" s="31" t="s">
        <v>111</v>
      </c>
      <c r="L17" s="41">
        <f>TINV(0.05,34)</f>
        <v>2.0322445093177191</v>
      </c>
      <c r="O17" s="33">
        <v>5</v>
      </c>
      <c r="P17" s="42">
        <f t="shared" si="4"/>
        <v>225.57666666666665</v>
      </c>
      <c r="Q17" s="49">
        <f t="shared" si="5"/>
        <v>4</v>
      </c>
      <c r="R17" s="51">
        <v>3</v>
      </c>
      <c r="S17" s="109"/>
      <c r="T17" s="109"/>
      <c r="U17" s="109"/>
    </row>
    <row r="18" spans="1:21" x14ac:dyDescent="0.25">
      <c r="A18" s="32" t="s">
        <v>95</v>
      </c>
      <c r="B18" s="55">
        <v>181.69299999999998</v>
      </c>
      <c r="C18" s="55">
        <v>192.54</v>
      </c>
      <c r="D18" s="55">
        <v>200.54</v>
      </c>
      <c r="E18" s="42">
        <f t="shared" si="0"/>
        <v>574.77299999999991</v>
      </c>
      <c r="F18" s="42">
        <f t="shared" si="1"/>
        <v>191.59099999999998</v>
      </c>
      <c r="G18" s="34" t="s">
        <v>14</v>
      </c>
      <c r="H18" s="31">
        <f>SQRT(J16/3)</f>
        <v>4.904972965316845</v>
      </c>
      <c r="O18" s="33">
        <v>6</v>
      </c>
      <c r="P18" s="42">
        <f t="shared" si="4"/>
        <v>241.88499999999999</v>
      </c>
      <c r="Q18" s="49">
        <f t="shared" si="5"/>
        <v>1</v>
      </c>
      <c r="R18" s="52">
        <v>1</v>
      </c>
      <c r="S18" s="109"/>
      <c r="T18" s="109"/>
      <c r="U18" s="109"/>
    </row>
    <row r="19" spans="1:21" x14ac:dyDescent="0.25">
      <c r="A19" s="32" t="s">
        <v>96</v>
      </c>
      <c r="B19" s="55">
        <v>225.15</v>
      </c>
      <c r="C19" s="55">
        <v>219.56</v>
      </c>
      <c r="D19" s="55">
        <v>218.56</v>
      </c>
      <c r="E19" s="42">
        <f t="shared" si="0"/>
        <v>663.27</v>
      </c>
      <c r="F19" s="42">
        <f t="shared" si="1"/>
        <v>221.09</v>
      </c>
      <c r="G19" s="34" t="s">
        <v>16</v>
      </c>
      <c r="H19" s="31">
        <f>(SQRT((2*J16)/3))*L17</f>
        <v>14.097028401269487</v>
      </c>
      <c r="O19" s="33">
        <v>7</v>
      </c>
      <c r="P19" s="42">
        <f t="shared" si="4"/>
        <v>219.32500000000002</v>
      </c>
      <c r="Q19" s="49">
        <f t="shared" si="5"/>
        <v>6</v>
      </c>
      <c r="R19" s="52">
        <v>6</v>
      </c>
      <c r="S19" s="109"/>
      <c r="T19" s="109"/>
      <c r="U19" s="109"/>
    </row>
    <row r="20" spans="1:21" x14ac:dyDescent="0.25">
      <c r="A20" s="32" t="s">
        <v>97</v>
      </c>
      <c r="B20" s="55">
        <v>238.54</v>
      </c>
      <c r="C20" s="55">
        <v>240.15</v>
      </c>
      <c r="D20" s="55">
        <v>235.16</v>
      </c>
      <c r="E20" s="42">
        <f t="shared" si="0"/>
        <v>713.85</v>
      </c>
      <c r="F20" s="42">
        <f t="shared" si="1"/>
        <v>237.95000000000002</v>
      </c>
      <c r="G20" s="34" t="s">
        <v>29</v>
      </c>
      <c r="H20" s="31">
        <f>((SQRT(J16))/F27)*100</f>
        <v>3.8175066445361518</v>
      </c>
      <c r="O20" s="33">
        <v>8</v>
      </c>
      <c r="P20" s="42">
        <f t="shared" si="4"/>
        <v>229.44333333333333</v>
      </c>
      <c r="Q20" s="49">
        <f t="shared" si="5"/>
        <v>3</v>
      </c>
      <c r="R20" s="51">
        <v>4</v>
      </c>
      <c r="S20" s="109"/>
      <c r="T20" s="109"/>
      <c r="U20" s="109"/>
    </row>
    <row r="21" spans="1:21" x14ac:dyDescent="0.25">
      <c r="A21" s="32" t="s">
        <v>98</v>
      </c>
      <c r="B21" s="55">
        <v>216.54</v>
      </c>
      <c r="C21" s="55">
        <v>209.56</v>
      </c>
      <c r="D21" s="55">
        <v>210.15</v>
      </c>
      <c r="E21" s="42">
        <f t="shared" si="0"/>
        <v>636.25</v>
      </c>
      <c r="F21" s="42">
        <f t="shared" si="1"/>
        <v>212.08333333333334</v>
      </c>
      <c r="O21" s="33">
        <v>9</v>
      </c>
      <c r="P21" s="42">
        <f t="shared" si="4"/>
        <v>211.46833333333333</v>
      </c>
      <c r="Q21" s="49">
        <f t="shared" si="5"/>
        <v>8</v>
      </c>
      <c r="R21" s="52">
        <v>8</v>
      </c>
      <c r="S21" s="109"/>
      <c r="T21" s="109"/>
      <c r="U21" s="109"/>
    </row>
    <row r="22" spans="1:21" x14ac:dyDescent="0.25">
      <c r="A22" s="32" t="s">
        <v>99</v>
      </c>
      <c r="B22" s="55">
        <v>206.58</v>
      </c>
      <c r="C22" s="55">
        <v>235.16</v>
      </c>
      <c r="D22" s="55">
        <v>223.25</v>
      </c>
      <c r="E22" s="42">
        <f t="shared" si="0"/>
        <v>664.99</v>
      </c>
      <c r="F22" s="42">
        <f t="shared" si="1"/>
        <v>221.66333333333333</v>
      </c>
      <c r="O22" s="30" t="s">
        <v>14</v>
      </c>
      <c r="P22" s="42">
        <f>SQRT(J16/(3*2))</f>
        <v>3.4683396453122293</v>
      </c>
      <c r="Q22" s="49"/>
      <c r="S22" s="109"/>
      <c r="T22" s="109"/>
      <c r="U22" s="109"/>
    </row>
    <row r="23" spans="1:21" x14ac:dyDescent="0.25">
      <c r="A23" s="32" t="s">
        <v>100</v>
      </c>
      <c r="B23" s="55">
        <v>232.56</v>
      </c>
      <c r="C23" s="55">
        <v>238.15</v>
      </c>
      <c r="D23" s="55">
        <v>236.15</v>
      </c>
      <c r="E23" s="42">
        <f t="shared" si="0"/>
        <v>706.86</v>
      </c>
      <c r="F23" s="42">
        <f t="shared" si="1"/>
        <v>235.62</v>
      </c>
      <c r="G23" s="59"/>
      <c r="I23" s="113"/>
      <c r="J23" s="113"/>
      <c r="K23" s="113"/>
      <c r="N23" s="30" t="s">
        <v>109</v>
      </c>
      <c r="O23" s="30" t="s">
        <v>16</v>
      </c>
      <c r="P23" s="42">
        <f>SQRT((2*J16)/(3*2))*L17</f>
        <v>9.9681043771170099</v>
      </c>
      <c r="Q23" s="49"/>
      <c r="S23" s="109"/>
      <c r="T23" s="109"/>
      <c r="U23" s="109"/>
    </row>
    <row r="24" spans="1:21" x14ac:dyDescent="0.25">
      <c r="A24" s="32" t="s">
        <v>101</v>
      </c>
      <c r="B24" s="55">
        <v>223.15</v>
      </c>
      <c r="C24" s="55">
        <v>209.15</v>
      </c>
      <c r="D24" s="55">
        <v>218.19</v>
      </c>
      <c r="E24" s="42">
        <f t="shared" si="0"/>
        <v>650.49</v>
      </c>
      <c r="F24" s="42">
        <f>E24/3</f>
        <v>216.83</v>
      </c>
      <c r="G24" s="59"/>
      <c r="I24" s="113"/>
      <c r="J24" s="113"/>
      <c r="K24" s="113"/>
      <c r="Q24" s="49"/>
      <c r="S24" s="109"/>
      <c r="T24" s="109"/>
      <c r="U24" s="109"/>
    </row>
    <row r="25" spans="1:21" x14ac:dyDescent="0.25">
      <c r="A25" s="32" t="s">
        <v>102</v>
      </c>
      <c r="B25" s="55">
        <v>218.6</v>
      </c>
      <c r="C25" s="55">
        <v>230.15</v>
      </c>
      <c r="D25" s="55">
        <v>231.05</v>
      </c>
      <c r="E25" s="42">
        <f t="shared" si="0"/>
        <v>679.8</v>
      </c>
      <c r="F25" s="42">
        <f t="shared" ref="F25:F26" si="7">E25/3</f>
        <v>226.6</v>
      </c>
      <c r="G25" s="59"/>
      <c r="I25" s="113"/>
      <c r="J25" s="113"/>
      <c r="K25" s="113"/>
      <c r="S25" s="109"/>
      <c r="T25" s="109"/>
      <c r="U25" s="109"/>
    </row>
    <row r="26" spans="1:21" x14ac:dyDescent="0.25">
      <c r="A26" s="32" t="s">
        <v>103</v>
      </c>
      <c r="B26" s="55">
        <v>209.16</v>
      </c>
      <c r="C26" s="55">
        <v>214.15</v>
      </c>
      <c r="D26" s="55">
        <v>204.15</v>
      </c>
      <c r="E26" s="42">
        <f t="shared" si="0"/>
        <v>627.46</v>
      </c>
      <c r="F26" s="42">
        <f t="shared" si="7"/>
        <v>209.15333333333334</v>
      </c>
      <c r="G26" s="59"/>
      <c r="I26" s="113"/>
      <c r="J26" s="113"/>
      <c r="K26" s="113"/>
    </row>
    <row r="27" spans="1:21" x14ac:dyDescent="0.25">
      <c r="A27" s="30" t="s">
        <v>4</v>
      </c>
      <c r="B27" s="31">
        <f>SUM(B9:B26)</f>
        <v>3987.9780000000001</v>
      </c>
      <c r="C27" s="31">
        <f>SUM(C9:C26)</f>
        <v>4061.21</v>
      </c>
      <c r="D27" s="31">
        <f>SUM(D9:D26)</f>
        <v>3968.2310000000007</v>
      </c>
      <c r="E27" s="31">
        <f>SUM(E9:E26)</f>
        <v>12017.419000000002</v>
      </c>
      <c r="F27" s="31">
        <f>AVERAGE(B9:D26)</f>
        <v>222.5447962962962</v>
      </c>
      <c r="G27" s="59"/>
      <c r="I27" s="113"/>
      <c r="J27" s="113"/>
      <c r="K27" s="113"/>
    </row>
    <row r="28" spans="1:21" x14ac:dyDescent="0.25">
      <c r="A28" s="30" t="s">
        <v>5</v>
      </c>
      <c r="B28" s="31">
        <f>B27/18</f>
        <v>221.55433333333335</v>
      </c>
      <c r="C28" s="31">
        <f>C27/18</f>
        <v>225.62277777777777</v>
      </c>
      <c r="D28" s="31">
        <f>D27/18</f>
        <v>220.45727777777782</v>
      </c>
      <c r="G28" s="59"/>
      <c r="I28" s="113"/>
      <c r="J28" s="113"/>
      <c r="K28" s="113"/>
    </row>
    <row r="29" spans="1:21" x14ac:dyDescent="0.25">
      <c r="A29" s="30" t="s">
        <v>26</v>
      </c>
      <c r="B29" s="31">
        <f>(E27*E27)/54</f>
        <v>2674414.0633622413</v>
      </c>
      <c r="C29" s="31"/>
      <c r="D29" s="31"/>
      <c r="G29" s="59"/>
      <c r="I29" s="113"/>
      <c r="J29" s="113"/>
      <c r="K29" s="113"/>
    </row>
    <row r="30" spans="1:21" x14ac:dyDescent="0.25">
      <c r="A30" s="30" t="s">
        <v>27</v>
      </c>
      <c r="B30" s="31">
        <f>SUMSQ(B9:D26)-B29</f>
        <v>13347.72765275836</v>
      </c>
      <c r="C30" s="30" t="s">
        <v>28</v>
      </c>
      <c r="D30" s="31">
        <f>(SUMSQ(B27:D27)/18)-B29</f>
        <v>266.62896803673357</v>
      </c>
      <c r="G30" s="59"/>
      <c r="I30" s="113"/>
      <c r="J30" s="113"/>
      <c r="K30" s="113"/>
    </row>
    <row r="31" spans="1:21" x14ac:dyDescent="0.25">
      <c r="A31" s="30" t="s">
        <v>30</v>
      </c>
      <c r="B31" s="31">
        <f>(SUMSQ(E9:E26)/3)-B29</f>
        <v>10627.105186091736</v>
      </c>
      <c r="C31" s="30" t="s">
        <v>31</v>
      </c>
      <c r="D31" s="31">
        <f>B30-B31-D30</f>
        <v>2453.9934986298904</v>
      </c>
      <c r="G31" s="59"/>
      <c r="I31" s="113"/>
      <c r="J31" s="113"/>
      <c r="K31" s="113"/>
    </row>
    <row r="32" spans="1:21" x14ac:dyDescent="0.25">
      <c r="I32" s="113"/>
      <c r="J32" s="113"/>
      <c r="K32" s="113"/>
    </row>
    <row r="33" spans="1:20" x14ac:dyDescent="0.25">
      <c r="I33" s="113"/>
      <c r="J33" s="113"/>
      <c r="K33" s="113"/>
    </row>
    <row r="34" spans="1:20" ht="15.75" x14ac:dyDescent="0.25">
      <c r="C34" s="56" t="s">
        <v>136</v>
      </c>
      <c r="I34" s="113"/>
      <c r="J34" s="113"/>
      <c r="K34" s="113"/>
    </row>
    <row r="35" spans="1:20" ht="15.75" x14ac:dyDescent="0.25">
      <c r="C35" s="110"/>
      <c r="I35" s="113"/>
      <c r="J35" s="113"/>
      <c r="K35" s="113"/>
    </row>
    <row r="36" spans="1:20" x14ac:dyDescent="0.25">
      <c r="I36" s="113"/>
      <c r="J36" s="113"/>
      <c r="K36" s="113"/>
    </row>
    <row r="37" spans="1:20" x14ac:dyDescent="0.25">
      <c r="A37" s="36" t="s">
        <v>104</v>
      </c>
      <c r="B37" s="38">
        <v>2</v>
      </c>
      <c r="C37" s="39"/>
      <c r="D37" s="39"/>
      <c r="E37" s="39"/>
      <c r="F37" s="39"/>
      <c r="G37" s="39"/>
      <c r="H37" s="39"/>
      <c r="I37" s="113"/>
      <c r="J37" s="113"/>
      <c r="K37" s="113"/>
      <c r="M37" s="35"/>
      <c r="N37" s="35"/>
      <c r="O37" s="39"/>
      <c r="P37" s="39"/>
    </row>
    <row r="38" spans="1:20" x14ac:dyDescent="0.25">
      <c r="A38" s="36" t="s">
        <v>105</v>
      </c>
      <c r="B38" s="38">
        <v>9</v>
      </c>
      <c r="C38" s="39" t="s">
        <v>107</v>
      </c>
      <c r="D38" s="39">
        <v>18</v>
      </c>
      <c r="E38" s="39"/>
      <c r="F38" s="39"/>
      <c r="G38" s="39"/>
      <c r="H38" s="39"/>
      <c r="I38" s="113"/>
      <c r="J38" s="113"/>
      <c r="K38" s="113"/>
      <c r="M38" s="35"/>
      <c r="N38" s="35"/>
      <c r="O38" s="39"/>
      <c r="P38" s="39"/>
    </row>
    <row r="39" spans="1:20" x14ac:dyDescent="0.25">
      <c r="A39" s="37" t="s">
        <v>106</v>
      </c>
      <c r="B39" s="40">
        <v>3</v>
      </c>
      <c r="I39" s="113"/>
      <c r="J39" s="113"/>
      <c r="K39" s="113"/>
    </row>
    <row r="40" spans="1:20" s="41" customFormat="1" x14ac:dyDescent="0.25">
      <c r="A40" s="46" t="s">
        <v>0</v>
      </c>
      <c r="B40" s="30" t="s">
        <v>1</v>
      </c>
      <c r="C40" s="30" t="s">
        <v>2</v>
      </c>
      <c r="D40" s="30" t="s">
        <v>3</v>
      </c>
      <c r="E40" s="30" t="s">
        <v>4</v>
      </c>
      <c r="F40" s="30" t="s">
        <v>5</v>
      </c>
      <c r="I40" s="113"/>
      <c r="J40" s="113"/>
      <c r="K40" s="113"/>
      <c r="O40" s="41" t="s">
        <v>7</v>
      </c>
      <c r="Q40" s="37"/>
    </row>
    <row r="41" spans="1:20" s="41" customFormat="1" x14ac:dyDescent="0.25">
      <c r="A41" s="32" t="s">
        <v>86</v>
      </c>
      <c r="B41" s="114">
        <v>10.299999999999999</v>
      </c>
      <c r="C41" s="114">
        <v>10.899999999999999</v>
      </c>
      <c r="D41" s="114">
        <v>12.5</v>
      </c>
      <c r="E41" s="31">
        <f>SUM(B41:D41)</f>
        <v>33.699999999999996</v>
      </c>
      <c r="F41" s="69">
        <f>E41/3</f>
        <v>11.233333333333333</v>
      </c>
      <c r="H41" s="47"/>
      <c r="I41" s="47"/>
      <c r="J41" s="47" t="s">
        <v>6</v>
      </c>
      <c r="K41" s="47"/>
      <c r="L41" s="47"/>
      <c r="M41" s="47"/>
      <c r="N41" s="47"/>
      <c r="O41" s="33">
        <v>1</v>
      </c>
      <c r="P41" s="42">
        <f>SUM(F41:F49)/9</f>
        <v>16.522222222222226</v>
      </c>
      <c r="Q41" s="49">
        <f>RANK(P41,P$41:P$42,0)</f>
        <v>1</v>
      </c>
      <c r="S41" s="33">
        <v>1</v>
      </c>
      <c r="T41" s="78">
        <v>0.49481481481481482</v>
      </c>
    </row>
    <row r="42" spans="1:20" s="41" customFormat="1" x14ac:dyDescent="0.25">
      <c r="A42" s="32" t="s">
        <v>87</v>
      </c>
      <c r="B42" s="114">
        <v>18.5</v>
      </c>
      <c r="C42" s="114">
        <v>17.8</v>
      </c>
      <c r="D42" s="114">
        <v>16.8</v>
      </c>
      <c r="E42" s="31">
        <f>SUM(B42:D42)</f>
        <v>53.099999999999994</v>
      </c>
      <c r="F42" s="69">
        <f>E42/3</f>
        <v>17.7</v>
      </c>
      <c r="G42" s="31"/>
      <c r="H42" s="30" t="s">
        <v>8</v>
      </c>
      <c r="I42" s="30" t="s">
        <v>9</v>
      </c>
      <c r="J42" s="30" t="s">
        <v>10</v>
      </c>
      <c r="K42" s="30" t="s">
        <v>11</v>
      </c>
      <c r="L42" s="30" t="s">
        <v>12</v>
      </c>
      <c r="M42" s="30" t="s">
        <v>112</v>
      </c>
      <c r="N42" s="50"/>
      <c r="O42" s="33">
        <v>2</v>
      </c>
      <c r="P42" s="42">
        <f>SUM(F50:F58)/9</f>
        <v>15.064814814814817</v>
      </c>
      <c r="Q42" s="49">
        <f>RANK(P42,P$41:P$42,0)</f>
        <v>2</v>
      </c>
      <c r="S42" s="33">
        <v>2</v>
      </c>
      <c r="T42" s="78">
        <v>0.47185185185185191</v>
      </c>
    </row>
    <row r="43" spans="1:20" s="41" customFormat="1" x14ac:dyDescent="0.25">
      <c r="A43" s="32" t="s">
        <v>88</v>
      </c>
      <c r="B43" s="114">
        <v>17.899999999999999</v>
      </c>
      <c r="C43" s="114">
        <v>18.5</v>
      </c>
      <c r="D43" s="114">
        <v>18.3</v>
      </c>
      <c r="E43" s="31">
        <f>SUM(B43:D43)</f>
        <v>54.7</v>
      </c>
      <c r="F43" s="69">
        <f>E43/3</f>
        <v>18.233333333333334</v>
      </c>
      <c r="G43" s="31" t="s">
        <v>13</v>
      </c>
      <c r="H43" s="31">
        <f>B39-1</f>
        <v>2</v>
      </c>
      <c r="I43" s="31">
        <f>D62</f>
        <v>1.1603703703767678</v>
      </c>
      <c r="J43" s="31">
        <f>I43/H43</f>
        <v>0.58018518518838391</v>
      </c>
      <c r="K43" s="31">
        <f>J43/$J$16</f>
        <v>8.0384468448749385E-3</v>
      </c>
      <c r="L43" s="31">
        <f>FINV(0.05,H43,$H$16)</f>
        <v>3.275897990672394</v>
      </c>
      <c r="M43" s="31" t="str">
        <f>IF(K43&gt;=L43, "S", "NS")</f>
        <v>NS</v>
      </c>
      <c r="N43" s="39"/>
      <c r="O43" s="30" t="s">
        <v>14</v>
      </c>
      <c r="P43" s="42">
        <f>SQRT(J48/(3*9))</f>
        <v>0.32395235809528794</v>
      </c>
      <c r="Q43" s="37"/>
      <c r="S43" s="30" t="s">
        <v>14</v>
      </c>
      <c r="T43" s="78">
        <v>5.6687808435969388E-3</v>
      </c>
    </row>
    <row r="44" spans="1:20" s="41" customFormat="1" x14ac:dyDescent="0.25">
      <c r="A44" s="32" t="s">
        <v>89</v>
      </c>
      <c r="B44" s="114">
        <v>15.8</v>
      </c>
      <c r="C44" s="114">
        <v>15.5</v>
      </c>
      <c r="D44" s="114">
        <v>14.899999999999999</v>
      </c>
      <c r="E44" s="31">
        <f>SUM(B44:D44)</f>
        <v>46.2</v>
      </c>
      <c r="F44" s="69">
        <f>E44/3</f>
        <v>15.4</v>
      </c>
      <c r="G44" s="31" t="s">
        <v>15</v>
      </c>
      <c r="H44" s="31">
        <f>D38-1</f>
        <v>17</v>
      </c>
      <c r="I44" s="31">
        <f>B63</f>
        <v>367.93523148148597</v>
      </c>
      <c r="J44" s="31">
        <f t="shared" ref="J44:J48" si="8">I44/H44</f>
        <v>21.643248910675645</v>
      </c>
      <c r="K44" s="31">
        <f>J44/$J$16</f>
        <v>0.29986650876370374</v>
      </c>
      <c r="L44" s="31">
        <f>FINV(0.05,H44,$H$16)</f>
        <v>1.9332068318040869</v>
      </c>
      <c r="M44" s="43" t="str">
        <f t="shared" ref="M44" si="9">IF(K44&gt;=L44, "S", "NS")</f>
        <v>NS</v>
      </c>
      <c r="N44" s="30" t="s">
        <v>113</v>
      </c>
      <c r="O44" s="30" t="s">
        <v>16</v>
      </c>
      <c r="P44" s="42">
        <f>SQRT((2*J48)/(3*9))*L49</f>
        <v>0.93104806591579237</v>
      </c>
      <c r="Q44" s="37"/>
      <c r="S44" s="30" t="s">
        <v>16</v>
      </c>
      <c r="T44" s="78">
        <v>1.6292233344908466E-2</v>
      </c>
    </row>
    <row r="45" spans="1:20" s="41" customFormat="1" x14ac:dyDescent="0.25">
      <c r="A45" s="32" t="s">
        <v>90</v>
      </c>
      <c r="B45" s="114">
        <v>17.3</v>
      </c>
      <c r="C45" s="114">
        <v>17.899999999999999</v>
      </c>
      <c r="D45" s="114">
        <v>16.5</v>
      </c>
      <c r="E45" s="31">
        <f t="shared" ref="E45:E58" si="10">SUM(B45:D45)</f>
        <v>51.7</v>
      </c>
      <c r="F45" s="69">
        <f t="shared" ref="F45:F55" si="11">E45/3</f>
        <v>17.233333333333334</v>
      </c>
      <c r="G45" s="31" t="s">
        <v>108</v>
      </c>
      <c r="H45" s="31">
        <f>B37-1</f>
        <v>1</v>
      </c>
      <c r="I45" s="31">
        <f>(SUM(E41:E49)^2+SUM(E50:E58)^2)/27-B61</f>
        <v>28.67449074074284</v>
      </c>
      <c r="J45" s="31">
        <f t="shared" si="8"/>
        <v>28.67449074074284</v>
      </c>
      <c r="K45" s="31">
        <f>J45/$J$16</f>
        <v>0.39728413532048046</v>
      </c>
      <c r="L45" s="31">
        <f>FINV(0.05,H45,$H$16)</f>
        <v>4.1300177456520188</v>
      </c>
      <c r="M45" s="31" t="str">
        <f>IF(K45&gt;=L45, "S", "NS")</f>
        <v>NS</v>
      </c>
      <c r="N45" s="39"/>
      <c r="O45" s="33">
        <v>1</v>
      </c>
      <c r="P45" s="42">
        <f>(F41+F50)/2</f>
        <v>10.541666666666666</v>
      </c>
      <c r="Q45" s="49">
        <f>RANK(P45,P$45:P$53,0)</f>
        <v>9</v>
      </c>
      <c r="R45" s="51">
        <v>9</v>
      </c>
      <c r="S45" s="33">
        <v>1</v>
      </c>
      <c r="T45" s="78">
        <v>0.38166666666666665</v>
      </c>
    </row>
    <row r="46" spans="1:20" s="41" customFormat="1" x14ac:dyDescent="0.25">
      <c r="A46" s="32" t="s">
        <v>91</v>
      </c>
      <c r="B46" s="114">
        <v>19.8</v>
      </c>
      <c r="C46" s="114">
        <v>18.899999999999999</v>
      </c>
      <c r="D46" s="114">
        <v>18.5</v>
      </c>
      <c r="E46" s="31">
        <f t="shared" si="10"/>
        <v>57.2</v>
      </c>
      <c r="F46" s="69">
        <f t="shared" si="11"/>
        <v>19.066666666666666</v>
      </c>
      <c r="G46" s="31" t="s">
        <v>109</v>
      </c>
      <c r="H46" s="31">
        <f>B38-1</f>
        <v>8</v>
      </c>
      <c r="I46" s="31">
        <f>((E41+E50)^2+(E42+E51)^2+(E43+E52)^2+(E44+E53)^2+(E45+E54)^2+(E46+E55)^2+(E47+E56)^2+(E48+E57)^2+(E49+E58)^2/6)-B61</f>
        <v>63711.918148148165</v>
      </c>
      <c r="J46" s="31">
        <f t="shared" si="8"/>
        <v>7963.9897685185206</v>
      </c>
      <c r="K46" s="31">
        <f>J46/$J$16</f>
        <v>110.34081886557921</v>
      </c>
      <c r="L46" s="31">
        <f>FINV(0.05,H46,$H$16)</f>
        <v>2.2253399674380931</v>
      </c>
      <c r="M46" s="31" t="str">
        <f>IF(K46&gt;=L46, "S", "NS")</f>
        <v>S</v>
      </c>
      <c r="N46" s="39"/>
      <c r="O46" s="33">
        <v>2</v>
      </c>
      <c r="P46" s="42">
        <f t="shared" ref="P46:P53" si="12">(F42+F51)/2</f>
        <v>16.758333333333333</v>
      </c>
      <c r="Q46" s="49">
        <f t="shared" ref="Q46:Q53" si="13">RANK(P46,P$45:P$53,0)</f>
        <v>5</v>
      </c>
      <c r="R46" s="52">
        <v>5</v>
      </c>
      <c r="S46" s="33">
        <v>2</v>
      </c>
      <c r="T46" s="78">
        <v>0.49</v>
      </c>
    </row>
    <row r="47" spans="1:20" s="41" customFormat="1" x14ac:dyDescent="0.25">
      <c r="A47" s="32" t="s">
        <v>92</v>
      </c>
      <c r="B47" s="114">
        <v>18.5</v>
      </c>
      <c r="C47" s="114">
        <v>18.899999999999999</v>
      </c>
      <c r="D47" s="114">
        <v>15.5</v>
      </c>
      <c r="E47" s="31">
        <f>SUM(B47:D47)</f>
        <v>52.9</v>
      </c>
      <c r="F47" s="69">
        <f t="shared" si="11"/>
        <v>17.633333333333333</v>
      </c>
      <c r="G47" s="26" t="s">
        <v>110</v>
      </c>
      <c r="H47" s="31">
        <f>H45*H46</f>
        <v>8</v>
      </c>
      <c r="I47" s="31">
        <f>I44-(I45+I46)</f>
        <v>-63372.657407407416</v>
      </c>
      <c r="J47" s="31">
        <f t="shared" si="8"/>
        <v>-7921.582175925927</v>
      </c>
      <c r="K47" s="44">
        <f>J47/$J$16</f>
        <v>-109.75326305137138</v>
      </c>
      <c r="L47" s="31">
        <f>FINV(0.05,H47,$H$16)</f>
        <v>2.2253399674380931</v>
      </c>
      <c r="M47" s="31" t="str">
        <f t="shared" ref="M47" si="14">IF(K47&gt;=L47, "S", "NS")</f>
        <v>NS</v>
      </c>
      <c r="N47" s="39"/>
      <c r="O47" s="33">
        <v>3</v>
      </c>
      <c r="P47" s="42">
        <f t="shared" si="12"/>
        <v>18.258333333333333</v>
      </c>
      <c r="Q47" s="49">
        <f t="shared" si="13"/>
        <v>2</v>
      </c>
      <c r="R47" s="52">
        <v>2</v>
      </c>
      <c r="S47" s="33">
        <v>3</v>
      </c>
      <c r="T47" s="78">
        <v>0.55000000000000004</v>
      </c>
    </row>
    <row r="48" spans="1:20" s="41" customFormat="1" x14ac:dyDescent="0.25">
      <c r="A48" s="32" t="s">
        <v>93</v>
      </c>
      <c r="B48" s="114">
        <v>17.7</v>
      </c>
      <c r="C48" s="114">
        <v>17.099999999999998</v>
      </c>
      <c r="D48" s="114">
        <v>17.3</v>
      </c>
      <c r="E48" s="31">
        <f t="shared" si="10"/>
        <v>52.099999999999994</v>
      </c>
      <c r="F48" s="69">
        <f t="shared" si="11"/>
        <v>17.366666666666664</v>
      </c>
      <c r="G48" s="45" t="s">
        <v>23</v>
      </c>
      <c r="H48" s="31">
        <f>((B39-1)*(B37*B38-1))</f>
        <v>34</v>
      </c>
      <c r="I48" s="31">
        <f>D63</f>
        <v>96.33962962962687</v>
      </c>
      <c r="J48" s="31">
        <f t="shared" si="8"/>
        <v>2.8335185185184373</v>
      </c>
      <c r="O48" s="33">
        <v>4</v>
      </c>
      <c r="P48" s="42">
        <f t="shared" si="12"/>
        <v>14.391666666666667</v>
      </c>
      <c r="Q48" s="49">
        <f t="shared" si="13"/>
        <v>7</v>
      </c>
      <c r="R48" s="52">
        <v>7</v>
      </c>
      <c r="S48" s="33">
        <v>4</v>
      </c>
      <c r="T48" s="78">
        <v>0.42500000000000004</v>
      </c>
    </row>
    <row r="49" spans="1:20" x14ac:dyDescent="0.25">
      <c r="A49" s="32" t="s">
        <v>94</v>
      </c>
      <c r="B49" s="114">
        <v>17.599999999999998</v>
      </c>
      <c r="C49" s="114">
        <v>14</v>
      </c>
      <c r="D49" s="114">
        <v>12.899999999999999</v>
      </c>
      <c r="E49" s="31">
        <f>SUM(B49:D49)</f>
        <v>44.5</v>
      </c>
      <c r="F49" s="69">
        <f t="shared" si="11"/>
        <v>14.833333333333334</v>
      </c>
      <c r="G49" s="44" t="s">
        <v>4</v>
      </c>
      <c r="H49" s="31">
        <f>SUM(H43:H48)-H44</f>
        <v>53</v>
      </c>
      <c r="I49" s="31">
        <f>B62</f>
        <v>465.43523148148961</v>
      </c>
      <c r="K49" s="31" t="s">
        <v>111</v>
      </c>
      <c r="L49" s="41">
        <f>TINV(0.05,34)</f>
        <v>2.0322445093177191</v>
      </c>
      <c r="O49" s="33">
        <v>5</v>
      </c>
      <c r="P49" s="42">
        <f t="shared" si="12"/>
        <v>17.208333333333336</v>
      </c>
      <c r="Q49" s="49">
        <f t="shared" si="13"/>
        <v>3</v>
      </c>
      <c r="R49" s="51">
        <v>3</v>
      </c>
      <c r="S49" s="33">
        <v>5</v>
      </c>
      <c r="T49" s="78">
        <v>0.53666666666666663</v>
      </c>
    </row>
    <row r="50" spans="1:20" x14ac:dyDescent="0.25">
      <c r="A50" s="32" t="s">
        <v>95</v>
      </c>
      <c r="B50" s="114">
        <v>7.9499999999999993</v>
      </c>
      <c r="C50" s="114">
        <v>9.35</v>
      </c>
      <c r="D50" s="114">
        <v>12.25</v>
      </c>
      <c r="E50" s="31">
        <f t="shared" si="10"/>
        <v>29.549999999999997</v>
      </c>
      <c r="F50" s="42">
        <f t="shared" si="11"/>
        <v>9.85</v>
      </c>
      <c r="G50" s="34" t="s">
        <v>14</v>
      </c>
      <c r="H50" s="31">
        <f>SQRT(J48/3)</f>
        <v>0.97185707428586388</v>
      </c>
      <c r="O50" s="33">
        <v>6</v>
      </c>
      <c r="P50" s="42">
        <f t="shared" si="12"/>
        <v>18.725000000000001</v>
      </c>
      <c r="Q50" s="49">
        <f t="shared" si="13"/>
        <v>1</v>
      </c>
      <c r="R50" s="52">
        <v>1</v>
      </c>
      <c r="S50" s="33">
        <v>6</v>
      </c>
      <c r="T50" s="78">
        <v>0.60666666666666669</v>
      </c>
    </row>
    <row r="51" spans="1:20" x14ac:dyDescent="0.25">
      <c r="A51" s="32" t="s">
        <v>96</v>
      </c>
      <c r="B51" s="114">
        <v>15.95</v>
      </c>
      <c r="C51" s="114">
        <v>16.55</v>
      </c>
      <c r="D51" s="114">
        <v>14.95</v>
      </c>
      <c r="E51" s="31">
        <f t="shared" si="10"/>
        <v>47.45</v>
      </c>
      <c r="F51" s="42">
        <f t="shared" si="11"/>
        <v>15.816666666666668</v>
      </c>
      <c r="G51" s="34" t="s">
        <v>16</v>
      </c>
      <c r="H51" s="31">
        <f>(SQRT((2*J48)/3))*L49</f>
        <v>2.793144197747377</v>
      </c>
      <c r="O51" s="33">
        <v>7</v>
      </c>
      <c r="P51" s="42">
        <f t="shared" si="12"/>
        <v>15.675000000000001</v>
      </c>
      <c r="Q51" s="49">
        <f t="shared" si="13"/>
        <v>6</v>
      </c>
      <c r="R51" s="52">
        <v>6</v>
      </c>
      <c r="S51" s="33">
        <v>7</v>
      </c>
      <c r="T51" s="78">
        <v>0.45999999999999996</v>
      </c>
    </row>
    <row r="52" spans="1:20" x14ac:dyDescent="0.25">
      <c r="A52" s="32" t="s">
        <v>97</v>
      </c>
      <c r="B52" s="114">
        <v>18.149999999999999</v>
      </c>
      <c r="C52" s="114">
        <v>18.149999999999999</v>
      </c>
      <c r="D52" s="114">
        <v>18.55</v>
      </c>
      <c r="E52" s="31">
        <f t="shared" si="10"/>
        <v>54.849999999999994</v>
      </c>
      <c r="F52" s="42">
        <f t="shared" si="11"/>
        <v>18.283333333333331</v>
      </c>
      <c r="G52" s="34" t="s">
        <v>29</v>
      </c>
      <c r="H52" s="31">
        <f>((SQRT(J48))/F59)*100</f>
        <v>10.658206582558627</v>
      </c>
      <c r="O52" s="33">
        <v>8</v>
      </c>
      <c r="P52" s="42">
        <f t="shared" si="12"/>
        <v>16.974999999999998</v>
      </c>
      <c r="Q52" s="49">
        <f t="shared" si="13"/>
        <v>4</v>
      </c>
      <c r="R52" s="51">
        <v>4</v>
      </c>
      <c r="S52" s="33">
        <v>8</v>
      </c>
      <c r="T52" s="78">
        <v>0.49166666666666664</v>
      </c>
    </row>
    <row r="53" spans="1:20" x14ac:dyDescent="0.25">
      <c r="A53" s="32" t="s">
        <v>98</v>
      </c>
      <c r="B53" s="114">
        <v>12.85</v>
      </c>
      <c r="C53" s="114">
        <v>13.75</v>
      </c>
      <c r="D53" s="114">
        <v>13.55</v>
      </c>
      <c r="E53" s="31">
        <f t="shared" si="10"/>
        <v>40.150000000000006</v>
      </c>
      <c r="F53" s="42">
        <f t="shared" si="11"/>
        <v>13.383333333333335</v>
      </c>
      <c r="O53" s="33">
        <v>9</v>
      </c>
      <c r="P53" s="42">
        <f t="shared" si="12"/>
        <v>13.608333333333334</v>
      </c>
      <c r="Q53" s="49">
        <f t="shared" si="13"/>
        <v>8</v>
      </c>
      <c r="R53" s="52">
        <v>8</v>
      </c>
      <c r="S53" s="33">
        <v>9</v>
      </c>
      <c r="T53" s="78">
        <v>0.40833333333333333</v>
      </c>
    </row>
    <row r="54" spans="1:20" x14ac:dyDescent="0.25">
      <c r="A54" s="32" t="s">
        <v>99</v>
      </c>
      <c r="B54" s="114">
        <v>17.25</v>
      </c>
      <c r="C54" s="114">
        <v>15.35</v>
      </c>
      <c r="D54" s="114">
        <v>18.95</v>
      </c>
      <c r="E54" s="31">
        <f t="shared" si="10"/>
        <v>51.55</v>
      </c>
      <c r="F54" s="42">
        <f t="shared" si="11"/>
        <v>17.183333333333334</v>
      </c>
      <c r="O54" s="30" t="s">
        <v>14</v>
      </c>
      <c r="P54" s="42">
        <f>SQRT(J48/(3*2))</f>
        <v>0.68720672757165258</v>
      </c>
      <c r="Q54" s="49"/>
      <c r="S54" s="30" t="s">
        <v>14</v>
      </c>
      <c r="T54" s="78">
        <v>1.202530012670338E-2</v>
      </c>
    </row>
    <row r="55" spans="1:20" x14ac:dyDescent="0.25">
      <c r="A55" s="32" t="s">
        <v>100</v>
      </c>
      <c r="B55" s="114">
        <v>19.55</v>
      </c>
      <c r="C55" s="114">
        <v>16.75</v>
      </c>
      <c r="D55" s="114">
        <v>18.850000000000001</v>
      </c>
      <c r="E55" s="31">
        <f t="shared" si="10"/>
        <v>55.15</v>
      </c>
      <c r="F55" s="42">
        <f t="shared" si="11"/>
        <v>18.383333333333333</v>
      </c>
      <c r="G55" s="59"/>
      <c r="H55" s="78"/>
      <c r="I55" s="76"/>
      <c r="J55" s="76"/>
      <c r="K55" s="76"/>
      <c r="N55" s="30" t="s">
        <v>109</v>
      </c>
      <c r="O55" s="30" t="s">
        <v>16</v>
      </c>
      <c r="P55" s="42">
        <f>SQRT((2*J48)/(3*2))*L49</f>
        <v>1.9750512030590295</v>
      </c>
      <c r="Q55" s="49"/>
      <c r="S55" s="30" t="s">
        <v>16</v>
      </c>
      <c r="T55" s="78">
        <v>3.4561046036575102E-2</v>
      </c>
    </row>
    <row r="56" spans="1:20" x14ac:dyDescent="0.25">
      <c r="A56" s="32" t="s">
        <v>101</v>
      </c>
      <c r="B56" s="114">
        <v>13.95</v>
      </c>
      <c r="C56" s="114">
        <v>10.25</v>
      </c>
      <c r="D56" s="114">
        <v>16.95</v>
      </c>
      <c r="E56" s="31">
        <f t="shared" si="10"/>
        <v>41.15</v>
      </c>
      <c r="F56" s="42">
        <f>E56/3</f>
        <v>13.716666666666667</v>
      </c>
      <c r="G56" s="59"/>
      <c r="H56" s="78"/>
      <c r="I56" s="76"/>
      <c r="J56" s="76"/>
      <c r="K56" s="76"/>
      <c r="Q56" s="49"/>
    </row>
    <row r="57" spans="1:20" x14ac:dyDescent="0.25">
      <c r="A57" s="32" t="s">
        <v>102</v>
      </c>
      <c r="B57" s="114">
        <v>17.95</v>
      </c>
      <c r="C57" s="114">
        <v>15.55</v>
      </c>
      <c r="D57" s="114">
        <v>16.25</v>
      </c>
      <c r="E57" s="31">
        <f t="shared" si="10"/>
        <v>49.75</v>
      </c>
      <c r="F57" s="42">
        <f t="shared" ref="F57:F58" si="15">E57/3</f>
        <v>16.583333333333332</v>
      </c>
      <c r="G57" s="59"/>
      <c r="H57" s="78"/>
      <c r="I57" s="76"/>
      <c r="J57" s="76"/>
      <c r="K57" s="76"/>
    </row>
    <row r="58" spans="1:20" x14ac:dyDescent="0.25">
      <c r="A58" s="32" t="s">
        <v>103</v>
      </c>
      <c r="B58" s="114">
        <v>10.85</v>
      </c>
      <c r="C58" s="114">
        <v>16.350000000000001</v>
      </c>
      <c r="D58" s="114">
        <v>9.9499999999999993</v>
      </c>
      <c r="E58" s="31">
        <f t="shared" si="10"/>
        <v>37.150000000000006</v>
      </c>
      <c r="F58" s="42">
        <f t="shared" si="15"/>
        <v>12.383333333333335</v>
      </c>
      <c r="G58" s="59"/>
      <c r="H58" s="78"/>
      <c r="I58" s="76"/>
      <c r="J58" s="76"/>
      <c r="K58" s="76"/>
    </row>
    <row r="59" spans="1:20" x14ac:dyDescent="0.25">
      <c r="A59" s="30" t="s">
        <v>4</v>
      </c>
      <c r="B59" s="31">
        <f>SUM(B41:B58)</f>
        <v>287.84999999999997</v>
      </c>
      <c r="C59" s="31">
        <f>SUM(C41:C58)</f>
        <v>281.55</v>
      </c>
      <c r="D59" s="31">
        <f>SUM(D41:D58)</f>
        <v>283.45</v>
      </c>
      <c r="E59" s="31">
        <f>SUM(E41:E58)</f>
        <v>852.8499999999998</v>
      </c>
      <c r="F59" s="31">
        <f>AVERAGE(B41:D58)</f>
        <v>15.793518518518521</v>
      </c>
      <c r="G59" s="59"/>
      <c r="H59" s="78"/>
      <c r="I59" s="76"/>
      <c r="J59" s="76"/>
      <c r="K59" s="76"/>
    </row>
    <row r="60" spans="1:20" x14ac:dyDescent="0.25">
      <c r="A60" s="30" t="s">
        <v>5</v>
      </c>
      <c r="B60" s="31">
        <f>B59/18</f>
        <v>15.991666666666665</v>
      </c>
      <c r="C60" s="31">
        <f>C59/18</f>
        <v>15.641666666666667</v>
      </c>
      <c r="D60" s="31">
        <f>D59/18</f>
        <v>15.747222222222222</v>
      </c>
      <c r="G60" s="59"/>
      <c r="H60" s="78"/>
      <c r="I60" s="76"/>
      <c r="J60" s="76"/>
      <c r="K60" s="76"/>
    </row>
    <row r="61" spans="1:20" x14ac:dyDescent="0.25">
      <c r="A61" s="30" t="s">
        <v>26</v>
      </c>
      <c r="B61" s="31">
        <f>(E59*E59)/54</f>
        <v>13469.502268518512</v>
      </c>
      <c r="C61" s="31"/>
      <c r="D61" s="31"/>
      <c r="G61" s="59"/>
      <c r="H61" s="78"/>
      <c r="I61" s="76"/>
      <c r="J61" s="76"/>
      <c r="K61" s="76"/>
    </row>
    <row r="62" spans="1:20" x14ac:dyDescent="0.25">
      <c r="A62" s="30" t="s">
        <v>27</v>
      </c>
      <c r="B62" s="31">
        <f>SUMSQ(B41:D58)-B61</f>
        <v>465.43523148148961</v>
      </c>
      <c r="C62" s="30" t="s">
        <v>28</v>
      </c>
      <c r="D62" s="31">
        <f>(SUMSQ(B59:D59)/18)-B61</f>
        <v>1.1603703703767678</v>
      </c>
      <c r="G62" s="59"/>
      <c r="H62" s="78"/>
      <c r="I62" s="76"/>
      <c r="J62" s="76"/>
      <c r="K62" s="76"/>
    </row>
    <row r="63" spans="1:20" x14ac:dyDescent="0.25">
      <c r="A63" s="30" t="s">
        <v>30</v>
      </c>
      <c r="B63" s="31">
        <f>(SUMSQ(E41:E58)/3)-B61</f>
        <v>367.93523148148597</v>
      </c>
      <c r="C63" s="30" t="s">
        <v>31</v>
      </c>
      <c r="D63" s="31">
        <f>B62-B63-D62</f>
        <v>96.33962962962687</v>
      </c>
      <c r="G63" s="59"/>
      <c r="H63" s="78"/>
      <c r="I63" s="76"/>
      <c r="J63" s="76"/>
      <c r="K63" s="76"/>
    </row>
    <row r="64" spans="1:20" x14ac:dyDescent="0.25">
      <c r="I64" s="76"/>
      <c r="J64" s="76"/>
      <c r="K64" s="76"/>
    </row>
    <row r="65" spans="1:19" x14ac:dyDescent="0.25">
      <c r="I65" s="76"/>
      <c r="J65" s="76"/>
      <c r="K65" s="76"/>
    </row>
    <row r="66" spans="1:19" x14ac:dyDescent="0.25">
      <c r="I66" s="76"/>
      <c r="J66" s="76"/>
      <c r="K66" s="76"/>
    </row>
    <row r="67" spans="1:19" ht="15.75" x14ac:dyDescent="0.25">
      <c r="C67" s="56" t="s">
        <v>137</v>
      </c>
      <c r="I67" s="76"/>
      <c r="J67" s="76"/>
      <c r="K67" s="76"/>
    </row>
    <row r="68" spans="1:19" x14ac:dyDescent="0.25">
      <c r="C68" s="48"/>
      <c r="I68" s="76"/>
      <c r="J68" s="76"/>
      <c r="K68" s="76"/>
    </row>
    <row r="69" spans="1:19" x14ac:dyDescent="0.25">
      <c r="A69" s="36" t="s">
        <v>104</v>
      </c>
      <c r="B69" s="38">
        <v>2</v>
      </c>
      <c r="C69" s="39"/>
      <c r="D69" s="39"/>
      <c r="E69" s="39"/>
      <c r="F69" s="39"/>
      <c r="G69" s="39"/>
      <c r="H69" s="39"/>
      <c r="I69" s="76"/>
      <c r="J69" s="76"/>
      <c r="K69" s="76"/>
      <c r="L69" s="39"/>
      <c r="M69" s="35"/>
      <c r="N69" s="35"/>
      <c r="O69" s="39"/>
      <c r="P69" s="39"/>
    </row>
    <row r="70" spans="1:19" x14ac:dyDescent="0.25">
      <c r="A70" s="36" t="s">
        <v>105</v>
      </c>
      <c r="B70" s="38">
        <v>9</v>
      </c>
      <c r="C70" s="39" t="s">
        <v>107</v>
      </c>
      <c r="D70" s="39">
        <v>18</v>
      </c>
      <c r="E70" s="39"/>
      <c r="F70" s="39"/>
      <c r="G70" s="39"/>
      <c r="H70" s="39"/>
      <c r="I70" s="76"/>
      <c r="J70" s="76"/>
      <c r="K70" s="76"/>
      <c r="L70" s="39"/>
      <c r="M70" s="35"/>
      <c r="N70" s="35"/>
      <c r="O70" s="39"/>
      <c r="P70" s="39"/>
    </row>
    <row r="71" spans="1:19" x14ac:dyDescent="0.25">
      <c r="A71" s="37" t="s">
        <v>106</v>
      </c>
      <c r="B71" s="40">
        <v>3</v>
      </c>
      <c r="I71" s="76"/>
      <c r="J71" s="76"/>
      <c r="K71" s="76"/>
    </row>
    <row r="72" spans="1:19" x14ac:dyDescent="0.25">
      <c r="A72" s="46" t="s">
        <v>0</v>
      </c>
      <c r="B72" s="30" t="s">
        <v>1</v>
      </c>
      <c r="C72" s="30" t="s">
        <v>2</v>
      </c>
      <c r="D72" s="30" t="s">
        <v>3</v>
      </c>
      <c r="E72" s="30" t="s">
        <v>4</v>
      </c>
      <c r="F72" s="30" t="s">
        <v>5</v>
      </c>
      <c r="I72" s="76"/>
      <c r="J72" s="76"/>
      <c r="K72" s="76"/>
      <c r="O72" s="41" t="s">
        <v>7</v>
      </c>
      <c r="R72" s="41"/>
      <c r="S72" s="41"/>
    </row>
    <row r="73" spans="1:19" x14ac:dyDescent="0.25">
      <c r="A73" s="32" t="s">
        <v>86</v>
      </c>
      <c r="B73" s="114">
        <v>194.10000000000002</v>
      </c>
      <c r="C73" s="114">
        <v>180.10000000000002</v>
      </c>
      <c r="D73" s="114">
        <v>185.20000000000002</v>
      </c>
      <c r="E73" s="42">
        <f>SUM(B73:D73)</f>
        <v>559.40000000000009</v>
      </c>
      <c r="F73" s="42">
        <f>E73/3</f>
        <v>186.4666666666667</v>
      </c>
      <c r="H73" s="47"/>
      <c r="I73" s="47"/>
      <c r="J73" s="47" t="s">
        <v>6</v>
      </c>
      <c r="K73" s="47"/>
      <c r="L73" s="47"/>
      <c r="M73" s="47"/>
      <c r="N73" s="47"/>
      <c r="O73" s="33">
        <v>1</v>
      </c>
      <c r="P73" s="42">
        <f>SUM(F73:F81)/9</f>
        <v>205.0703703703704</v>
      </c>
      <c r="Q73" s="49">
        <f>RANK(P73,P$73:P$74,0)</f>
        <v>1</v>
      </c>
      <c r="R73" s="41"/>
      <c r="S73" s="41"/>
    </row>
    <row r="74" spans="1:19" x14ac:dyDescent="0.25">
      <c r="A74" s="32" t="s">
        <v>87</v>
      </c>
      <c r="B74" s="114">
        <v>208.60000000000002</v>
      </c>
      <c r="C74" s="114">
        <v>204.40000000000003</v>
      </c>
      <c r="D74" s="114">
        <v>202.10000000000002</v>
      </c>
      <c r="E74" s="42">
        <f t="shared" ref="E74:E90" si="16">SUM(B74:D74)</f>
        <v>615.10000000000014</v>
      </c>
      <c r="F74" s="42">
        <f t="shared" ref="F74:F87" si="17">E74/3</f>
        <v>205.03333333333339</v>
      </c>
      <c r="G74" s="31"/>
      <c r="H74" s="30" t="s">
        <v>8</v>
      </c>
      <c r="I74" s="30" t="s">
        <v>9</v>
      </c>
      <c r="J74" s="30" t="s">
        <v>10</v>
      </c>
      <c r="K74" s="30" t="s">
        <v>11</v>
      </c>
      <c r="L74" s="30" t="s">
        <v>12</v>
      </c>
      <c r="M74" s="30" t="s">
        <v>112</v>
      </c>
      <c r="N74" s="50"/>
      <c r="O74" s="33">
        <v>2</v>
      </c>
      <c r="P74" s="42">
        <f>SUM(F82:F90)/9</f>
        <v>200.66296296296298</v>
      </c>
      <c r="Q74" s="49">
        <f>RANK(P74,P$73:P$74,0)</f>
        <v>2</v>
      </c>
      <c r="R74" s="41"/>
      <c r="S74" s="41"/>
    </row>
    <row r="75" spans="1:19" x14ac:dyDescent="0.25">
      <c r="A75" s="32" t="s">
        <v>88</v>
      </c>
      <c r="B75" s="114">
        <v>215.10000000000002</v>
      </c>
      <c r="C75" s="114">
        <v>214.10000000000002</v>
      </c>
      <c r="D75" s="114">
        <v>216.10000000000002</v>
      </c>
      <c r="E75" s="42">
        <f t="shared" si="16"/>
        <v>645.30000000000007</v>
      </c>
      <c r="F75" s="42">
        <f t="shared" si="17"/>
        <v>215.10000000000002</v>
      </c>
      <c r="G75" s="31" t="s">
        <v>13</v>
      </c>
      <c r="H75" s="31">
        <f>B71-1</f>
        <v>2</v>
      </c>
      <c r="I75" s="31">
        <f>D94</f>
        <v>12.134444444905967</v>
      </c>
      <c r="J75" s="31">
        <f>I75/H75</f>
        <v>6.0672222224529833</v>
      </c>
      <c r="K75" s="31">
        <f>J75/$J$16</f>
        <v>8.4061166290201855E-2</v>
      </c>
      <c r="L75" s="31">
        <f>FINV(0.05,H75,$H$16)</f>
        <v>3.275897990672394</v>
      </c>
      <c r="M75" s="31" t="str">
        <f>IF(K75&gt;=L75, "S", "NS")</f>
        <v>NS</v>
      </c>
      <c r="N75" s="39"/>
      <c r="O75" s="30" t="s">
        <v>14</v>
      </c>
      <c r="P75" s="42">
        <f>SQRT(J80/(3*9))</f>
        <v>0.88647070308628562</v>
      </c>
      <c r="R75" s="41"/>
      <c r="S75" s="41"/>
    </row>
    <row r="76" spans="1:19" x14ac:dyDescent="0.25">
      <c r="A76" s="32" t="s">
        <v>89</v>
      </c>
      <c r="B76" s="114">
        <v>201.40000000000003</v>
      </c>
      <c r="C76" s="114">
        <v>201.90000000000003</v>
      </c>
      <c r="D76" s="114">
        <v>200.50000000000003</v>
      </c>
      <c r="E76" s="42">
        <f t="shared" si="16"/>
        <v>603.80000000000007</v>
      </c>
      <c r="F76" s="42">
        <f t="shared" si="17"/>
        <v>201.26666666666668</v>
      </c>
      <c r="G76" s="31" t="s">
        <v>15</v>
      </c>
      <c r="H76" s="31">
        <f>D70-1</f>
        <v>17</v>
      </c>
      <c r="I76" s="31">
        <f>B95</f>
        <v>4400.2133333343081</v>
      </c>
      <c r="J76" s="31">
        <f t="shared" ref="J76:J80" si="18">I76/H76</f>
        <v>258.83607843142988</v>
      </c>
      <c r="K76" s="31">
        <f>J76/$J$16</f>
        <v>3.586165436698205</v>
      </c>
      <c r="L76" s="31">
        <f>FINV(0.05,H76,$H$16)</f>
        <v>1.9332068318040869</v>
      </c>
      <c r="M76" s="43" t="str">
        <f t="shared" ref="M76" si="19">IF(K76&gt;=L76, "S", "NS")</f>
        <v>S</v>
      </c>
      <c r="N76" s="30" t="s">
        <v>113</v>
      </c>
      <c r="O76" s="30" t="s">
        <v>16</v>
      </c>
      <c r="P76" s="42">
        <f>SQRT((2*J80)/(3*9))*L81</f>
        <v>2.5477413976925884</v>
      </c>
      <c r="R76" s="41"/>
      <c r="S76" s="41"/>
    </row>
    <row r="77" spans="1:19" x14ac:dyDescent="0.25">
      <c r="A77" s="32" t="s">
        <v>90</v>
      </c>
      <c r="B77" s="114">
        <v>210.60000000000002</v>
      </c>
      <c r="C77" s="114">
        <v>210.3</v>
      </c>
      <c r="D77" s="114">
        <v>206.3</v>
      </c>
      <c r="E77" s="42">
        <f t="shared" si="16"/>
        <v>627.20000000000005</v>
      </c>
      <c r="F77" s="42">
        <f t="shared" si="17"/>
        <v>209.06666666666669</v>
      </c>
      <c r="G77" s="31" t="s">
        <v>108</v>
      </c>
      <c r="H77" s="31">
        <f>B69-1</f>
        <v>1</v>
      </c>
      <c r="I77" s="31">
        <f>(SUM(E73:E81)^2+SUM(E82:E90)^2)/27-B93</f>
        <v>262.24074074206874</v>
      </c>
      <c r="J77" s="31">
        <f t="shared" si="18"/>
        <v>262.24074074206874</v>
      </c>
      <c r="K77" s="31">
        <f>J77/$J$16</f>
        <v>3.633336922126488</v>
      </c>
      <c r="L77" s="31">
        <f>FINV(0.05,H77,$H$16)</f>
        <v>4.1300177456520188</v>
      </c>
      <c r="M77" s="31" t="str">
        <f>IF(K77&gt;=L77, "S", "NS")</f>
        <v>NS</v>
      </c>
      <c r="N77" s="39"/>
      <c r="O77" s="33">
        <v>1</v>
      </c>
      <c r="P77" s="42">
        <f>(F73+F82)/2</f>
        <v>184.43333333333334</v>
      </c>
      <c r="Q77" s="49">
        <f>RANK(P77,P$77:P$85,0)</f>
        <v>9</v>
      </c>
      <c r="R77" s="51">
        <v>9</v>
      </c>
      <c r="S77" s="41"/>
    </row>
    <row r="78" spans="1:19" x14ac:dyDescent="0.25">
      <c r="A78" s="32" t="s">
        <v>91</v>
      </c>
      <c r="B78" s="114">
        <v>212.60000000000002</v>
      </c>
      <c r="C78" s="114">
        <v>216.60000000000002</v>
      </c>
      <c r="D78" s="114">
        <v>228.60000000000002</v>
      </c>
      <c r="E78" s="42">
        <f t="shared" si="16"/>
        <v>657.80000000000007</v>
      </c>
      <c r="F78" s="42">
        <f t="shared" si="17"/>
        <v>219.26666666666668</v>
      </c>
      <c r="G78" s="31" t="s">
        <v>109</v>
      </c>
      <c r="H78" s="31">
        <f>B70-1</f>
        <v>8</v>
      </c>
      <c r="I78" s="31">
        <f>((E73+E82)^2+(E74+E83)^2+(E75+E84)^2+(E76+E85)^2+(E77+E86)^2+(E78+E87)^2+(E79+E88)^2+(E80+E89)^2+(E81+E90)^2/6)-B93</f>
        <v>9975415.8866666686</v>
      </c>
      <c r="J78" s="31">
        <f t="shared" si="18"/>
        <v>1246926.9858333336</v>
      </c>
      <c r="K78" s="31">
        <f>J78/$J$16</f>
        <v>17276.132777859249</v>
      </c>
      <c r="L78" s="31">
        <f>FINV(0.05,H78,$H$16)</f>
        <v>2.2253399674380931</v>
      </c>
      <c r="M78" s="31" t="str">
        <f>IF(K78&gt;=L78, "S", "NS")</f>
        <v>S</v>
      </c>
      <c r="N78" s="39"/>
      <c r="O78" s="33">
        <v>2</v>
      </c>
      <c r="P78" s="42">
        <f t="shared" ref="P78:P85" si="20">(F74+F83)/2</f>
        <v>203.66666666666671</v>
      </c>
      <c r="Q78" s="49">
        <f t="shared" ref="Q78:Q84" si="21">RANK(P78,P$77:P$85,0)</f>
        <v>5</v>
      </c>
      <c r="R78" s="52">
        <v>5</v>
      </c>
      <c r="S78" s="41"/>
    </row>
    <row r="79" spans="1:19" x14ac:dyDescent="0.25">
      <c r="A79" s="32" t="s">
        <v>92</v>
      </c>
      <c r="B79" s="114">
        <v>202.20000000000002</v>
      </c>
      <c r="C79" s="114">
        <v>203.70000000000002</v>
      </c>
      <c r="D79" s="114">
        <v>201.90000000000003</v>
      </c>
      <c r="E79" s="42">
        <f t="shared" si="16"/>
        <v>607.80000000000007</v>
      </c>
      <c r="F79" s="42">
        <f t="shared" si="17"/>
        <v>202.60000000000002</v>
      </c>
      <c r="G79" s="26" t="s">
        <v>110</v>
      </c>
      <c r="H79" s="31">
        <f>H77*H78</f>
        <v>8</v>
      </c>
      <c r="I79" s="31">
        <f>I76-(I77+I78)</f>
        <v>-9971277.9140740763</v>
      </c>
      <c r="J79" s="31">
        <f t="shared" si="18"/>
        <v>-1246409.7392592595</v>
      </c>
      <c r="K79" s="44">
        <f>J79/$J$16</f>
        <v>-17268.966343421529</v>
      </c>
      <c r="L79" s="31">
        <f>FINV(0.05,H79,$H$16)</f>
        <v>2.2253399674380931</v>
      </c>
      <c r="M79" s="31" t="str">
        <f t="shared" ref="M79" si="22">IF(K79&gt;=L79, "S", "NS")</f>
        <v>NS</v>
      </c>
      <c r="N79" s="39"/>
      <c r="O79" s="33">
        <v>3</v>
      </c>
      <c r="P79" s="42">
        <f t="shared" si="20"/>
        <v>211.65000000000003</v>
      </c>
      <c r="Q79" s="49">
        <f t="shared" si="21"/>
        <v>2</v>
      </c>
      <c r="R79" s="52">
        <v>2</v>
      </c>
      <c r="S79" s="41"/>
    </row>
    <row r="80" spans="1:19" x14ac:dyDescent="0.25">
      <c r="A80" s="32" t="s">
        <v>93</v>
      </c>
      <c r="B80" s="114">
        <v>204.70000000000002</v>
      </c>
      <c r="C80" s="114">
        <v>208.10000000000002</v>
      </c>
      <c r="D80" s="114">
        <v>210.70000000000002</v>
      </c>
      <c r="E80" s="42">
        <f t="shared" si="16"/>
        <v>623.50000000000011</v>
      </c>
      <c r="F80" s="42">
        <f t="shared" si="17"/>
        <v>207.83333333333337</v>
      </c>
      <c r="G80" s="45" t="s">
        <v>23</v>
      </c>
      <c r="H80" s="31">
        <f>((B71-1)*(B69*B70-1))</f>
        <v>34</v>
      </c>
      <c r="I80" s="31">
        <f>D95</f>
        <v>721.39222222100943</v>
      </c>
      <c r="J80" s="31">
        <f t="shared" si="18"/>
        <v>21.217418300617926</v>
      </c>
      <c r="O80" s="33">
        <v>4</v>
      </c>
      <c r="P80" s="42">
        <f t="shared" si="20"/>
        <v>199.08333333333334</v>
      </c>
      <c r="Q80" s="49">
        <f t="shared" si="21"/>
        <v>7</v>
      </c>
      <c r="R80" s="52">
        <v>7</v>
      </c>
      <c r="S80" s="41"/>
    </row>
    <row r="81" spans="1:18" x14ac:dyDescent="0.25">
      <c r="A81" s="32" t="s">
        <v>94</v>
      </c>
      <c r="B81" s="114">
        <v>202.70000000000002</v>
      </c>
      <c r="C81" s="114">
        <v>201.70000000000002</v>
      </c>
      <c r="D81" s="114">
        <v>192.60000000000002</v>
      </c>
      <c r="E81" s="42">
        <f t="shared" si="16"/>
        <v>597</v>
      </c>
      <c r="F81" s="42">
        <f t="shared" si="17"/>
        <v>199</v>
      </c>
      <c r="G81" s="44" t="s">
        <v>4</v>
      </c>
      <c r="H81" s="31">
        <f>SUM(H75:H80)-H76</f>
        <v>53</v>
      </c>
      <c r="I81" s="31">
        <f>B94</f>
        <v>5133.7400000002235</v>
      </c>
      <c r="K81" s="31" t="s">
        <v>111</v>
      </c>
      <c r="L81" s="41">
        <f>TINV(0.05,34)</f>
        <v>2.0322445093177191</v>
      </c>
      <c r="O81" s="33">
        <v>5</v>
      </c>
      <c r="P81" s="42">
        <f t="shared" si="20"/>
        <v>207.38333333333338</v>
      </c>
      <c r="Q81" s="49">
        <f t="shared" si="21"/>
        <v>3</v>
      </c>
      <c r="R81" s="51">
        <v>3</v>
      </c>
    </row>
    <row r="82" spans="1:18" x14ac:dyDescent="0.25">
      <c r="A82" s="32" t="s">
        <v>95</v>
      </c>
      <c r="B82" s="114">
        <v>179.10000000000002</v>
      </c>
      <c r="C82" s="114">
        <v>180.70000000000002</v>
      </c>
      <c r="D82" s="114">
        <v>187.40000000000003</v>
      </c>
      <c r="E82" s="42">
        <f t="shared" si="16"/>
        <v>547.20000000000005</v>
      </c>
      <c r="F82" s="42">
        <f t="shared" si="17"/>
        <v>182.4</v>
      </c>
      <c r="G82" s="34" t="s">
        <v>14</v>
      </c>
      <c r="H82" s="31">
        <f>SQRT(J80/3)</f>
        <v>2.6594121092588567</v>
      </c>
      <c r="O82" s="33">
        <v>6</v>
      </c>
      <c r="P82" s="42">
        <f t="shared" si="20"/>
        <v>216.41666666666669</v>
      </c>
      <c r="Q82" s="49">
        <f t="shared" si="21"/>
        <v>1</v>
      </c>
      <c r="R82" s="52">
        <v>1</v>
      </c>
    </row>
    <row r="83" spans="1:18" x14ac:dyDescent="0.25">
      <c r="A83" s="32" t="s">
        <v>96</v>
      </c>
      <c r="B83" s="114">
        <v>200.10000000000002</v>
      </c>
      <c r="C83" s="114">
        <v>203.10000000000002</v>
      </c>
      <c r="D83" s="114">
        <v>203.70000000000002</v>
      </c>
      <c r="E83" s="42">
        <f t="shared" si="16"/>
        <v>606.90000000000009</v>
      </c>
      <c r="F83" s="42">
        <f t="shared" si="17"/>
        <v>202.30000000000004</v>
      </c>
      <c r="G83" s="34" t="s">
        <v>16</v>
      </c>
      <c r="H83" s="31">
        <f>(SQRT((2*J80)/3))*L81</f>
        <v>7.6432241930777662</v>
      </c>
      <c r="O83" s="33">
        <v>7</v>
      </c>
      <c r="P83" s="42">
        <f t="shared" si="20"/>
        <v>200.68333333333334</v>
      </c>
      <c r="Q83" s="49">
        <f t="shared" si="21"/>
        <v>6</v>
      </c>
      <c r="R83" s="52">
        <v>6</v>
      </c>
    </row>
    <row r="84" spans="1:18" x14ac:dyDescent="0.25">
      <c r="A84" s="32" t="s">
        <v>97</v>
      </c>
      <c r="B84" s="114">
        <v>210.10000000000002</v>
      </c>
      <c r="C84" s="114">
        <v>205.10000000000002</v>
      </c>
      <c r="D84" s="114">
        <v>209.40000000000003</v>
      </c>
      <c r="E84" s="42">
        <f t="shared" si="16"/>
        <v>624.60000000000014</v>
      </c>
      <c r="F84" s="42">
        <f t="shared" si="17"/>
        <v>208.20000000000005</v>
      </c>
      <c r="G84" s="34" t="s">
        <v>29</v>
      </c>
      <c r="H84" s="31">
        <f>((SQRT(J80))/F91)*100</f>
        <v>2.2705735580842523</v>
      </c>
      <c r="K84" s="78"/>
      <c r="O84" s="33">
        <v>8</v>
      </c>
      <c r="P84" s="42">
        <f t="shared" si="20"/>
        <v>205.75000000000006</v>
      </c>
      <c r="Q84" s="49">
        <f t="shared" si="21"/>
        <v>4</v>
      </c>
      <c r="R84" s="51">
        <v>4</v>
      </c>
    </row>
    <row r="85" spans="1:18" x14ac:dyDescent="0.25">
      <c r="A85" s="32" t="s">
        <v>98</v>
      </c>
      <c r="B85" s="114">
        <v>196.10000000000002</v>
      </c>
      <c r="C85" s="114">
        <v>197.90000000000003</v>
      </c>
      <c r="D85" s="114">
        <v>196.70000000000002</v>
      </c>
      <c r="E85" s="42">
        <f t="shared" si="16"/>
        <v>590.70000000000005</v>
      </c>
      <c r="F85" s="42">
        <f t="shared" si="17"/>
        <v>196.9</v>
      </c>
      <c r="O85" s="33">
        <v>9</v>
      </c>
      <c r="P85" s="42">
        <f t="shared" si="20"/>
        <v>196.73333333333335</v>
      </c>
      <c r="Q85" s="49">
        <f>RANK(P85,P$77:P$85,0)</f>
        <v>8</v>
      </c>
      <c r="R85" s="52">
        <v>8</v>
      </c>
    </row>
    <row r="86" spans="1:18" x14ac:dyDescent="0.25">
      <c r="A86" s="32" t="s">
        <v>99</v>
      </c>
      <c r="B86" s="114">
        <v>206.10000000000002</v>
      </c>
      <c r="C86" s="114">
        <v>208.90000000000003</v>
      </c>
      <c r="D86" s="114">
        <v>202.10000000000002</v>
      </c>
      <c r="E86" s="42">
        <f t="shared" si="16"/>
        <v>617.10000000000014</v>
      </c>
      <c r="F86" s="42">
        <f t="shared" si="17"/>
        <v>205.70000000000005</v>
      </c>
      <c r="O86" s="30" t="s">
        <v>14</v>
      </c>
      <c r="P86" s="42">
        <f>SQRT(J80/(3*2))</f>
        <v>1.8804883364265574</v>
      </c>
      <c r="Q86" s="49"/>
    </row>
    <row r="87" spans="1:18" x14ac:dyDescent="0.25">
      <c r="A87" s="32" t="s">
        <v>100</v>
      </c>
      <c r="B87" s="114">
        <v>211.50000000000003</v>
      </c>
      <c r="C87" s="114">
        <v>216.60000000000002</v>
      </c>
      <c r="D87" s="114">
        <v>212.60000000000002</v>
      </c>
      <c r="E87" s="42">
        <f t="shared" si="16"/>
        <v>640.70000000000005</v>
      </c>
      <c r="F87" s="42">
        <f t="shared" si="17"/>
        <v>213.56666666666669</v>
      </c>
      <c r="G87" s="59"/>
      <c r="H87" s="78"/>
      <c r="N87" s="30" t="s">
        <v>109</v>
      </c>
      <c r="O87" s="30" t="s">
        <v>16</v>
      </c>
      <c r="P87" s="42">
        <f>SQRT((2*J80)/(3*2))*L81</f>
        <v>5.4045756570543659</v>
      </c>
      <c r="Q87" s="49"/>
    </row>
    <row r="88" spans="1:18" x14ac:dyDescent="0.25">
      <c r="A88" s="32" t="s">
        <v>101</v>
      </c>
      <c r="B88" s="114">
        <v>192.10000000000002</v>
      </c>
      <c r="C88" s="114">
        <v>197.50000000000003</v>
      </c>
      <c r="D88" s="114">
        <v>206.70000000000002</v>
      </c>
      <c r="E88" s="42">
        <f t="shared" si="16"/>
        <v>596.30000000000007</v>
      </c>
      <c r="F88" s="42">
        <f>E88/3</f>
        <v>198.76666666666668</v>
      </c>
      <c r="G88" s="59"/>
      <c r="H88" s="78"/>
      <c r="Q88" s="49"/>
    </row>
    <row r="89" spans="1:18" x14ac:dyDescent="0.25">
      <c r="A89" s="32" t="s">
        <v>102</v>
      </c>
      <c r="B89" s="114">
        <v>200.40000000000003</v>
      </c>
      <c r="C89" s="114">
        <v>208.50000000000003</v>
      </c>
      <c r="D89" s="114">
        <v>202.10000000000002</v>
      </c>
      <c r="E89" s="42">
        <f t="shared" si="16"/>
        <v>611.00000000000011</v>
      </c>
      <c r="F89" s="42">
        <f t="shared" ref="F89:F90" si="23">E89/3</f>
        <v>203.66666666666671</v>
      </c>
      <c r="G89" s="59"/>
      <c r="H89" s="78"/>
    </row>
    <row r="90" spans="1:18" x14ac:dyDescent="0.25">
      <c r="A90" s="32" t="s">
        <v>103</v>
      </c>
      <c r="B90" s="114">
        <v>193.70000000000002</v>
      </c>
      <c r="C90" s="114">
        <v>202.90000000000003</v>
      </c>
      <c r="D90" s="114">
        <v>186.8</v>
      </c>
      <c r="E90" s="42">
        <f t="shared" si="16"/>
        <v>583.40000000000009</v>
      </c>
      <c r="F90" s="42">
        <f t="shared" si="23"/>
        <v>194.4666666666667</v>
      </c>
      <c r="G90" s="59"/>
      <c r="H90" s="78"/>
    </row>
    <row r="91" spans="1:18" x14ac:dyDescent="0.25">
      <c r="A91" s="30" t="s">
        <v>4</v>
      </c>
      <c r="B91" s="31">
        <f>SUM(B73:B90)</f>
        <v>3641.2</v>
      </c>
      <c r="C91" s="31">
        <f t="shared" ref="C91:D91" si="24">SUM(C73:C90)</f>
        <v>3662.1000000000004</v>
      </c>
      <c r="D91" s="31">
        <f t="shared" si="24"/>
        <v>3651.5</v>
      </c>
      <c r="E91" s="31">
        <f>SUM(E73:E90)</f>
        <v>10954.8</v>
      </c>
      <c r="F91" s="31">
        <f>AVERAGE(B73:D90)</f>
        <v>202.86666666666673</v>
      </c>
      <c r="G91" s="59"/>
      <c r="H91" s="78"/>
    </row>
    <row r="92" spans="1:18" x14ac:dyDescent="0.25">
      <c r="A92" s="30" t="s">
        <v>5</v>
      </c>
      <c r="B92" s="31">
        <f>B91/18</f>
        <v>202.28888888888889</v>
      </c>
      <c r="C92" s="31">
        <f>C91/18</f>
        <v>203.45000000000002</v>
      </c>
      <c r="D92" s="31">
        <f>D91/18</f>
        <v>202.86111111111111</v>
      </c>
      <c r="G92" s="59"/>
      <c r="H92" s="78"/>
    </row>
    <row r="93" spans="1:18" x14ac:dyDescent="0.25">
      <c r="A93" s="30" t="s">
        <v>26</v>
      </c>
      <c r="B93" s="31">
        <f>(E91*E91)/54</f>
        <v>2222363.7599999998</v>
      </c>
      <c r="C93" s="31"/>
      <c r="D93" s="31"/>
      <c r="G93" s="59"/>
      <c r="H93" s="78"/>
    </row>
    <row r="94" spans="1:18" x14ac:dyDescent="0.25">
      <c r="A94" s="30" t="s">
        <v>27</v>
      </c>
      <c r="B94" s="31">
        <f>SUMSQ(B73:D90)-B93</f>
        <v>5133.7400000002235</v>
      </c>
      <c r="C94" s="30" t="s">
        <v>28</v>
      </c>
      <c r="D94" s="31">
        <f>(SUMSQ(B91:D91)/18)-B93</f>
        <v>12.134444444905967</v>
      </c>
      <c r="G94" s="59"/>
      <c r="H94" s="78"/>
    </row>
    <row r="95" spans="1:18" x14ac:dyDescent="0.25">
      <c r="A95" s="30" t="s">
        <v>30</v>
      </c>
      <c r="B95" s="31">
        <f>(SUMSQ(E73:E90)/3)-B93</f>
        <v>4400.2133333343081</v>
      </c>
      <c r="C95" s="30" t="s">
        <v>31</v>
      </c>
      <c r="D95" s="31">
        <f>B94-B95-D94</f>
        <v>721.39222222100943</v>
      </c>
      <c r="G95" s="59"/>
      <c r="H95" s="78"/>
    </row>
    <row r="99" spans="1:18" ht="15.75" x14ac:dyDescent="0.25">
      <c r="C99" s="56" t="s">
        <v>139</v>
      </c>
    </row>
    <row r="100" spans="1:18" ht="15.75" x14ac:dyDescent="0.25">
      <c r="C100" s="110"/>
    </row>
    <row r="101" spans="1:18" x14ac:dyDescent="0.25">
      <c r="A101" s="36" t="s">
        <v>104</v>
      </c>
      <c r="B101" s="38">
        <v>2</v>
      </c>
      <c r="C101" s="39"/>
      <c r="D101" s="39"/>
      <c r="E101" s="39"/>
      <c r="F101" s="39"/>
      <c r="G101" s="39"/>
      <c r="H101" s="39"/>
      <c r="L101" s="39"/>
      <c r="M101" s="35"/>
      <c r="N101" s="35"/>
      <c r="O101" s="39"/>
      <c r="P101" s="39"/>
    </row>
    <row r="102" spans="1:18" x14ac:dyDescent="0.25">
      <c r="A102" s="36" t="s">
        <v>105</v>
      </c>
      <c r="B102" s="38">
        <v>9</v>
      </c>
      <c r="C102" s="39" t="s">
        <v>107</v>
      </c>
      <c r="D102" s="39">
        <v>18</v>
      </c>
      <c r="E102" s="39"/>
      <c r="F102" s="39"/>
      <c r="G102" s="39"/>
      <c r="H102" s="39"/>
      <c r="L102" s="39"/>
      <c r="M102" s="35"/>
      <c r="N102" s="35"/>
      <c r="O102" s="39"/>
      <c r="P102" s="39"/>
    </row>
    <row r="103" spans="1:18" x14ac:dyDescent="0.25">
      <c r="A103" s="37" t="s">
        <v>106</v>
      </c>
      <c r="B103" s="40">
        <v>3</v>
      </c>
    </row>
    <row r="104" spans="1:18" x14ac:dyDescent="0.25">
      <c r="A104" s="46" t="s">
        <v>0</v>
      </c>
      <c r="B104" s="30" t="s">
        <v>1</v>
      </c>
      <c r="C104" s="30" t="s">
        <v>2</v>
      </c>
      <c r="D104" s="30" t="s">
        <v>3</v>
      </c>
      <c r="E104" s="30" t="s">
        <v>4</v>
      </c>
      <c r="F104" s="30" t="s">
        <v>5</v>
      </c>
      <c r="O104" s="41" t="s">
        <v>7</v>
      </c>
      <c r="R104" s="41"/>
    </row>
    <row r="105" spans="1:18" x14ac:dyDescent="0.25">
      <c r="A105" s="32" t="s">
        <v>86</v>
      </c>
      <c r="B105" s="57">
        <v>0.41099999999999998</v>
      </c>
      <c r="C105" s="57">
        <v>0.41499999999999998</v>
      </c>
      <c r="D105" s="57">
        <v>0.40599999999999997</v>
      </c>
      <c r="E105" s="42">
        <f>SUM(B105:D105)</f>
        <v>1.232</v>
      </c>
      <c r="F105" s="42">
        <f>E105/3</f>
        <v>0.41066666666666668</v>
      </c>
      <c r="H105" s="47"/>
      <c r="I105" s="47"/>
      <c r="J105" s="47" t="s">
        <v>6</v>
      </c>
      <c r="K105" s="47"/>
      <c r="L105" s="47"/>
      <c r="M105" s="47"/>
      <c r="N105" s="47"/>
      <c r="O105" s="33">
        <v>1</v>
      </c>
      <c r="P105" s="42">
        <f>SUM(F105:F113)/9</f>
        <v>0.47114814814814804</v>
      </c>
      <c r="Q105" s="49">
        <f>RANK(P105,P$105:P$106,0)</f>
        <v>1</v>
      </c>
      <c r="R105" s="41"/>
    </row>
    <row r="106" spans="1:18" x14ac:dyDescent="0.25">
      <c r="A106" s="32" t="s">
        <v>87</v>
      </c>
      <c r="B106" s="57">
        <v>0.496</v>
      </c>
      <c r="C106" s="57">
        <v>0.48499999999999999</v>
      </c>
      <c r="D106" s="57">
        <v>0.46399999999999997</v>
      </c>
      <c r="E106" s="42">
        <f t="shared" ref="E106:E122" si="25">SUM(B106:D106)</f>
        <v>1.4449999999999998</v>
      </c>
      <c r="F106" s="42">
        <f t="shared" ref="F106:F119" si="26">E106/3</f>
        <v>0.48166666666666663</v>
      </c>
      <c r="G106" s="31"/>
      <c r="H106" s="30" t="s">
        <v>8</v>
      </c>
      <c r="I106" s="30" t="s">
        <v>9</v>
      </c>
      <c r="J106" s="30" t="s">
        <v>10</v>
      </c>
      <c r="K106" s="30" t="s">
        <v>11</v>
      </c>
      <c r="L106" s="30" t="s">
        <v>12</v>
      </c>
      <c r="M106" s="30" t="s">
        <v>112</v>
      </c>
      <c r="N106" s="50"/>
      <c r="O106" s="33">
        <v>2</v>
      </c>
      <c r="P106" s="42">
        <f>SUM(F114:F122)/9</f>
        <v>0.46462962962962961</v>
      </c>
      <c r="Q106" s="49">
        <f>RANK(P106,P$105:P$106,0)</f>
        <v>2</v>
      </c>
      <c r="R106" s="41"/>
    </row>
    <row r="107" spans="1:18" x14ac:dyDescent="0.25">
      <c r="A107" s="32" t="s">
        <v>88</v>
      </c>
      <c r="B107" s="57">
        <v>0.495</v>
      </c>
      <c r="C107" s="57">
        <v>0.505</v>
      </c>
      <c r="D107" s="57">
        <v>0.51500000000000001</v>
      </c>
      <c r="E107" s="42">
        <f t="shared" si="25"/>
        <v>1.5150000000000001</v>
      </c>
      <c r="F107" s="42">
        <f t="shared" si="26"/>
        <v>0.505</v>
      </c>
      <c r="G107" s="31" t="s">
        <v>13</v>
      </c>
      <c r="H107" s="31">
        <f>B103-1</f>
        <v>2</v>
      </c>
      <c r="I107" s="77">
        <f>D126</f>
        <v>1.2333333339498154E-5</v>
      </c>
      <c r="J107" s="77">
        <f>I107/H107</f>
        <v>6.1666666697490768E-6</v>
      </c>
      <c r="K107" s="77">
        <f>J107/$J$16</f>
        <v>8.5438965868707217E-8</v>
      </c>
      <c r="L107" s="31">
        <f>FINV(0.05,H107,$H$16)</f>
        <v>3.275897990672394</v>
      </c>
      <c r="M107" s="31" t="str">
        <f>IF(K107&gt;=L107, "S", "NS")</f>
        <v>NS</v>
      </c>
      <c r="N107" s="39"/>
      <c r="O107" s="30" t="s">
        <v>14</v>
      </c>
      <c r="P107" s="99">
        <f>SQRT(J112/(3*9))</f>
        <v>2.2262218907902385E-3</v>
      </c>
      <c r="R107" s="41"/>
    </row>
    <row r="108" spans="1:18" x14ac:dyDescent="0.25">
      <c r="A108" s="32" t="s">
        <v>89</v>
      </c>
      <c r="B108" s="57">
        <v>0.44500000000000001</v>
      </c>
      <c r="C108" s="57">
        <v>0.435</v>
      </c>
      <c r="D108" s="57">
        <v>0.441</v>
      </c>
      <c r="E108" s="42">
        <f t="shared" si="25"/>
        <v>1.321</v>
      </c>
      <c r="F108" s="42">
        <f t="shared" si="26"/>
        <v>0.4403333333333333</v>
      </c>
      <c r="G108" s="31" t="s">
        <v>15</v>
      </c>
      <c r="H108" s="31">
        <f>D102-1</f>
        <v>17</v>
      </c>
      <c r="I108" s="77">
        <f>B127</f>
        <v>6.4037333333338609E-2</v>
      </c>
      <c r="J108" s="77">
        <f t="shared" ref="J108:J112" si="27">I108/H108</f>
        <v>3.7669019607846242E-3</v>
      </c>
      <c r="K108" s="77">
        <f>J108/$J$16</f>
        <v>5.2190303983357603E-5</v>
      </c>
      <c r="L108" s="31">
        <f>FINV(0.05,H108,$H$16)</f>
        <v>1.9332068318040869</v>
      </c>
      <c r="M108" s="43" t="str">
        <f t="shared" ref="M108" si="28">IF(K108&gt;=L108, "S", "NS")</f>
        <v>NS</v>
      </c>
      <c r="N108" s="30" t="s">
        <v>113</v>
      </c>
      <c r="O108" s="30" t="s">
        <v>16</v>
      </c>
      <c r="P108" s="99">
        <f>SQRT((2*J112)/(3*9))*L113</f>
        <v>6.398223485411322E-3</v>
      </c>
      <c r="R108" s="41"/>
    </row>
    <row r="109" spans="1:18" x14ac:dyDescent="0.25">
      <c r="A109" s="32" t="s">
        <v>90</v>
      </c>
      <c r="B109" s="57">
        <v>0.50800000000000001</v>
      </c>
      <c r="C109" s="57">
        <v>0.48499999999999999</v>
      </c>
      <c r="D109" s="57">
        <v>0.505</v>
      </c>
      <c r="E109" s="42">
        <f t="shared" si="25"/>
        <v>1.498</v>
      </c>
      <c r="F109" s="42">
        <f t="shared" si="26"/>
        <v>0.49933333333333335</v>
      </c>
      <c r="G109" s="31" t="s">
        <v>108</v>
      </c>
      <c r="H109" s="31">
        <f>B101-1</f>
        <v>1</v>
      </c>
      <c r="I109" s="77">
        <f>(SUM(E105:E113)^2+SUM(E114:E122)^2)/27-B125</f>
        <v>5.7362962963480868E-4</v>
      </c>
      <c r="J109" s="77">
        <f t="shared" si="27"/>
        <v>5.7362962963480868E-4</v>
      </c>
      <c r="K109" s="77">
        <f>J109/$J$16</f>
        <v>7.9476198361864467E-6</v>
      </c>
      <c r="L109" s="31">
        <f>FINV(0.05,H109,$H$16)</f>
        <v>4.1300177456520188</v>
      </c>
      <c r="M109" s="31" t="str">
        <f>IF(K109&gt;=L109, "S", "NS")</f>
        <v>NS</v>
      </c>
      <c r="N109" s="39"/>
      <c r="O109" s="33">
        <v>1</v>
      </c>
      <c r="P109" s="42">
        <f>(F105+F114)/2</f>
        <v>0.40266666666666673</v>
      </c>
      <c r="Q109" s="49">
        <f>RANK(P109,P$109:P$117,0)</f>
        <v>9</v>
      </c>
      <c r="R109" s="51">
        <v>9</v>
      </c>
    </row>
    <row r="110" spans="1:18" x14ac:dyDescent="0.25">
      <c r="A110" s="32" t="s">
        <v>91</v>
      </c>
      <c r="B110" s="57">
        <v>0.51500000000000001</v>
      </c>
      <c r="C110" s="57">
        <v>0.52500000000000002</v>
      </c>
      <c r="D110" s="57">
        <v>0.52500000000000002</v>
      </c>
      <c r="E110" s="42">
        <f t="shared" si="25"/>
        <v>1.5649999999999999</v>
      </c>
      <c r="F110" s="42">
        <f t="shared" si="26"/>
        <v>0.52166666666666661</v>
      </c>
      <c r="G110" s="31" t="s">
        <v>109</v>
      </c>
      <c r="H110" s="31">
        <f>B102-1</f>
        <v>8</v>
      </c>
      <c r="I110" s="31">
        <f>((E105+E114)^2+(E106+E115)^2+(E107+E116)^2+(E108+E117)^2+(E109+E118)^2+(E110+E119)^2+(E111+E120)^2+(E112+E121)^2+(E113+E122)^2/6)-B125</f>
        <v>53.641497999999991</v>
      </c>
      <c r="J110" s="31">
        <f t="shared" si="27"/>
        <v>6.7051872499999989</v>
      </c>
      <c r="K110" s="31">
        <f>J110/$J$16</f>
        <v>9.2900150969138007E-2</v>
      </c>
      <c r="L110" s="31">
        <f>FINV(0.05,H110,$H$16)</f>
        <v>2.2253399674380931</v>
      </c>
      <c r="M110" s="31" t="str">
        <f>IF(K110&gt;=L110, "S", "NS")</f>
        <v>NS</v>
      </c>
      <c r="N110" s="39"/>
      <c r="O110" s="33">
        <v>2</v>
      </c>
      <c r="P110" s="42">
        <f t="shared" ref="P110:P117" si="29">(F106+F115)/2</f>
        <v>0.47499999999999998</v>
      </c>
      <c r="Q110" s="49">
        <f t="shared" ref="Q110:Q117" si="30">RANK(P110,P$109:P$117,0)</f>
        <v>5</v>
      </c>
      <c r="R110" s="52">
        <v>5</v>
      </c>
    </row>
    <row r="111" spans="1:18" x14ac:dyDescent="0.25">
      <c r="A111" s="32" t="s">
        <v>92</v>
      </c>
      <c r="B111" s="57">
        <v>0.45499999999999996</v>
      </c>
      <c r="C111" s="57">
        <v>0.442</v>
      </c>
      <c r="D111" s="57">
        <v>0.44899999999999995</v>
      </c>
      <c r="E111" s="42">
        <f t="shared" si="25"/>
        <v>1.3460000000000001</v>
      </c>
      <c r="F111" s="42">
        <f t="shared" si="26"/>
        <v>0.44866666666666671</v>
      </c>
      <c r="G111" s="26" t="s">
        <v>110</v>
      </c>
      <c r="H111" s="31">
        <f>H109*H110</f>
        <v>8</v>
      </c>
      <c r="I111" s="31">
        <f>I108-(I109+I110)</f>
        <v>-53.578034296296288</v>
      </c>
      <c r="J111" s="31">
        <f t="shared" si="27"/>
        <v>-6.697254287037036</v>
      </c>
      <c r="K111" s="44">
        <f>J111/$J$16</f>
        <v>-9.2790240025652893E-2</v>
      </c>
      <c r="L111" s="31">
        <f>FINV(0.05,H111,$H$16)</f>
        <v>2.2253399674380931</v>
      </c>
      <c r="M111" s="31" t="str">
        <f t="shared" ref="M111" si="31">IF(K111&gt;=L111, "S", "NS")</f>
        <v>NS</v>
      </c>
      <c r="N111" s="39"/>
      <c r="O111" s="33">
        <v>3</v>
      </c>
      <c r="P111" s="42">
        <f t="shared" si="29"/>
        <v>0.504</v>
      </c>
      <c r="Q111" s="49">
        <f t="shared" si="30"/>
        <v>2</v>
      </c>
      <c r="R111" s="52">
        <v>2</v>
      </c>
    </row>
    <row r="112" spans="1:18" x14ac:dyDescent="0.25">
      <c r="A112" s="32" t="s">
        <v>93</v>
      </c>
      <c r="B112" s="57">
        <v>0.48499999999999999</v>
      </c>
      <c r="C112" s="57">
        <v>0.48499999999999999</v>
      </c>
      <c r="D112" s="57">
        <v>0.49799999999999994</v>
      </c>
      <c r="E112" s="42">
        <f t="shared" si="25"/>
        <v>1.468</v>
      </c>
      <c r="F112" s="42">
        <f t="shared" si="26"/>
        <v>0.48933333333333334</v>
      </c>
      <c r="G112" s="45" t="s">
        <v>23</v>
      </c>
      <c r="H112" s="31">
        <f>((B103-1)*(B101*B102-1))</f>
        <v>34</v>
      </c>
      <c r="I112" s="31">
        <f>D127</f>
        <v>4.5496666666569041E-3</v>
      </c>
      <c r="J112" s="31">
        <f t="shared" si="27"/>
        <v>1.3381372548990894E-4</v>
      </c>
      <c r="O112" s="33">
        <v>4</v>
      </c>
      <c r="P112" s="42">
        <f t="shared" si="29"/>
        <v>0.4428333333333333</v>
      </c>
      <c r="Q112" s="49">
        <f t="shared" si="30"/>
        <v>7</v>
      </c>
      <c r="R112" s="52">
        <v>7</v>
      </c>
    </row>
    <row r="113" spans="1:18" x14ac:dyDescent="0.25">
      <c r="A113" s="32" t="s">
        <v>94</v>
      </c>
      <c r="B113" s="57">
        <v>0.43799999999999994</v>
      </c>
      <c r="C113" s="57">
        <v>0.44799999999999995</v>
      </c>
      <c r="D113" s="57">
        <v>0.44500000000000001</v>
      </c>
      <c r="E113" s="42">
        <f t="shared" si="25"/>
        <v>1.331</v>
      </c>
      <c r="F113" s="42">
        <f t="shared" si="26"/>
        <v>0.44366666666666665</v>
      </c>
      <c r="G113" s="44" t="s">
        <v>4</v>
      </c>
      <c r="H113" s="31">
        <f>SUM(H107:H112)-H108</f>
        <v>53</v>
      </c>
      <c r="I113" s="31">
        <f>B126</f>
        <v>6.8599333333335011E-2</v>
      </c>
      <c r="K113" s="31" t="s">
        <v>111</v>
      </c>
      <c r="L113" s="41">
        <f>TINV(0.05,34)</f>
        <v>2.0322445093177191</v>
      </c>
      <c r="O113" s="33">
        <v>5</v>
      </c>
      <c r="P113" s="42">
        <f t="shared" si="29"/>
        <v>0.49283333333333335</v>
      </c>
      <c r="Q113" s="49">
        <f t="shared" si="30"/>
        <v>3</v>
      </c>
      <c r="R113" s="51">
        <v>3</v>
      </c>
    </row>
    <row r="114" spans="1:18" x14ac:dyDescent="0.25">
      <c r="A114" s="32" t="s">
        <v>95</v>
      </c>
      <c r="B114" s="57">
        <v>0.40599999999999992</v>
      </c>
      <c r="C114" s="57">
        <v>0.40599999999999992</v>
      </c>
      <c r="D114" s="57">
        <v>0.37200000000000027</v>
      </c>
      <c r="E114" s="42">
        <f t="shared" si="25"/>
        <v>1.1840000000000002</v>
      </c>
      <c r="F114" s="42">
        <f t="shared" si="26"/>
        <v>0.39466666666666672</v>
      </c>
      <c r="G114" s="34" t="s">
        <v>14</v>
      </c>
      <c r="H114" s="31">
        <f>SQRT(J112/3)</f>
        <v>6.6786656723707158E-3</v>
      </c>
      <c r="O114" s="33">
        <v>6</v>
      </c>
      <c r="P114" s="42">
        <f t="shared" si="29"/>
        <v>0.51449999999999996</v>
      </c>
      <c r="Q114" s="49">
        <f t="shared" si="30"/>
        <v>1</v>
      </c>
      <c r="R114" s="52">
        <v>1</v>
      </c>
    </row>
    <row r="115" spans="1:18" x14ac:dyDescent="0.25">
      <c r="A115" s="32" t="s">
        <v>96</v>
      </c>
      <c r="B115" s="57">
        <v>0.46899999999999997</v>
      </c>
      <c r="C115" s="57">
        <v>0.48299999999999993</v>
      </c>
      <c r="D115" s="57">
        <v>0.45299999999999996</v>
      </c>
      <c r="E115" s="42">
        <f t="shared" si="25"/>
        <v>1.4049999999999998</v>
      </c>
      <c r="F115" s="42">
        <f t="shared" si="26"/>
        <v>0.46833333333333327</v>
      </c>
      <c r="G115" s="34" t="s">
        <v>16</v>
      </c>
      <c r="H115" s="31">
        <f>(SQRT((2*J112)/3))*L113</f>
        <v>1.9194670456233968E-2</v>
      </c>
      <c r="O115" s="33">
        <v>7</v>
      </c>
      <c r="P115" s="42">
        <f t="shared" si="29"/>
        <v>0.45000000000000007</v>
      </c>
      <c r="Q115" s="49">
        <f t="shared" si="30"/>
        <v>6</v>
      </c>
      <c r="R115" s="52">
        <v>6</v>
      </c>
    </row>
    <row r="116" spans="1:18" x14ac:dyDescent="0.25">
      <c r="A116" s="32" t="s">
        <v>97</v>
      </c>
      <c r="B116" s="57">
        <v>0.49299999999999994</v>
      </c>
      <c r="C116" s="57">
        <v>0.51300000000000001</v>
      </c>
      <c r="D116" s="57">
        <v>0.503</v>
      </c>
      <c r="E116" s="42">
        <f t="shared" si="25"/>
        <v>1.5089999999999999</v>
      </c>
      <c r="F116" s="42">
        <f t="shared" si="26"/>
        <v>0.503</v>
      </c>
      <c r="G116" s="34" t="s">
        <v>29</v>
      </c>
      <c r="H116" s="31">
        <f>((SQRT(J112))/F123)*100</f>
        <v>2.4723366051249145</v>
      </c>
      <c r="O116" s="33">
        <v>8</v>
      </c>
      <c r="P116" s="42">
        <f t="shared" si="29"/>
        <v>0.48783333333333334</v>
      </c>
      <c r="Q116" s="49">
        <f t="shared" si="30"/>
        <v>4</v>
      </c>
      <c r="R116" s="51">
        <v>4</v>
      </c>
    </row>
    <row r="117" spans="1:18" x14ac:dyDescent="0.25">
      <c r="A117" s="32" t="s">
        <v>98</v>
      </c>
      <c r="B117" s="57">
        <v>0.4459999999999999</v>
      </c>
      <c r="C117" s="57">
        <v>0.43699999999999994</v>
      </c>
      <c r="D117" s="57">
        <v>0.45299999999999996</v>
      </c>
      <c r="E117" s="42">
        <f t="shared" si="25"/>
        <v>1.3359999999999999</v>
      </c>
      <c r="F117" s="42">
        <f t="shared" si="26"/>
        <v>0.4453333333333333</v>
      </c>
      <c r="O117" s="33">
        <v>9</v>
      </c>
      <c r="P117" s="42">
        <f t="shared" si="29"/>
        <v>0.44133333333333336</v>
      </c>
      <c r="Q117" s="49">
        <f t="shared" si="30"/>
        <v>8</v>
      </c>
      <c r="R117" s="52">
        <v>8</v>
      </c>
    </row>
    <row r="118" spans="1:18" x14ac:dyDescent="0.25">
      <c r="A118" s="32" t="s">
        <v>99</v>
      </c>
      <c r="B118" s="57">
        <v>0.49299999999999994</v>
      </c>
      <c r="C118" s="57">
        <v>0.47299999999999998</v>
      </c>
      <c r="D118" s="57">
        <v>0.49299999999999994</v>
      </c>
      <c r="E118" s="42">
        <f t="shared" si="25"/>
        <v>1.4589999999999999</v>
      </c>
      <c r="F118" s="97">
        <f t="shared" si="26"/>
        <v>0.48633333333333328</v>
      </c>
      <c r="G118" s="39"/>
      <c r="H118" s="92"/>
      <c r="I118" s="96"/>
      <c r="J118" s="96"/>
      <c r="K118" s="96"/>
      <c r="O118" s="30" t="s">
        <v>14</v>
      </c>
      <c r="P118" s="99">
        <f>SQRT(J112/(3*2))</f>
        <v>4.7225297862111461E-3</v>
      </c>
      <c r="Q118" s="49"/>
    </row>
    <row r="119" spans="1:18" x14ac:dyDescent="0.25">
      <c r="A119" s="32" t="s">
        <v>100</v>
      </c>
      <c r="B119" s="57">
        <v>0.51300000000000001</v>
      </c>
      <c r="C119" s="57">
        <v>0.49299999999999994</v>
      </c>
      <c r="D119" s="57">
        <v>0.5159999999999999</v>
      </c>
      <c r="E119" s="42">
        <f t="shared" si="25"/>
        <v>1.5219999999999998</v>
      </c>
      <c r="F119" s="97">
        <f t="shared" si="26"/>
        <v>0.5073333333333333</v>
      </c>
      <c r="G119" s="39"/>
      <c r="H119" s="92"/>
      <c r="I119" s="96"/>
      <c r="J119" s="96"/>
      <c r="K119" s="96"/>
      <c r="N119" s="30" t="s">
        <v>109</v>
      </c>
      <c r="O119" s="30" t="s">
        <v>16</v>
      </c>
      <c r="P119" s="99">
        <f>SQRT((2*J112)/(3*2))*L113</f>
        <v>1.357268164224412E-2</v>
      </c>
      <c r="Q119" s="49"/>
    </row>
    <row r="120" spans="1:18" x14ac:dyDescent="0.25">
      <c r="A120" s="32" t="s">
        <v>101</v>
      </c>
      <c r="B120" s="57">
        <v>0.44500000000000001</v>
      </c>
      <c r="C120" s="57">
        <v>0.44600000000000001</v>
      </c>
      <c r="D120" s="57">
        <v>0.46299999999999997</v>
      </c>
      <c r="E120" s="42">
        <f t="shared" si="25"/>
        <v>1.3540000000000001</v>
      </c>
      <c r="F120" s="97">
        <f>E120/3</f>
        <v>0.45133333333333336</v>
      </c>
      <c r="G120" s="39"/>
      <c r="H120" s="92"/>
      <c r="I120" s="96"/>
      <c r="J120" s="96"/>
      <c r="K120" s="96"/>
      <c r="Q120" s="49"/>
    </row>
    <row r="121" spans="1:18" x14ac:dyDescent="0.25">
      <c r="A121" s="32" t="s">
        <v>102</v>
      </c>
      <c r="B121" s="57">
        <v>0.47299999999999998</v>
      </c>
      <c r="C121" s="57">
        <v>0.48299999999999993</v>
      </c>
      <c r="D121" s="57">
        <v>0.503</v>
      </c>
      <c r="E121" s="42">
        <f t="shared" si="25"/>
        <v>1.4590000000000001</v>
      </c>
      <c r="F121" s="97">
        <f t="shared" ref="F121:F122" si="32">E121/3</f>
        <v>0.48633333333333334</v>
      </c>
      <c r="G121" s="39"/>
      <c r="H121" s="92"/>
      <c r="I121" s="96"/>
      <c r="J121" s="96"/>
      <c r="K121" s="96"/>
    </row>
    <row r="122" spans="1:18" x14ac:dyDescent="0.25">
      <c r="A122" s="32" t="s">
        <v>103</v>
      </c>
      <c r="B122" s="57">
        <v>0.43500000000000011</v>
      </c>
      <c r="C122" s="57">
        <v>0.45299999999999996</v>
      </c>
      <c r="D122" s="57">
        <v>0.42899999999999999</v>
      </c>
      <c r="E122" s="42">
        <f t="shared" si="25"/>
        <v>1.3170000000000002</v>
      </c>
      <c r="F122" s="97">
        <f t="shared" si="32"/>
        <v>0.43900000000000006</v>
      </c>
      <c r="G122" s="39"/>
      <c r="H122" s="92"/>
      <c r="I122" s="96"/>
      <c r="J122" s="96"/>
      <c r="K122" s="96"/>
    </row>
    <row r="123" spans="1:18" x14ac:dyDescent="0.25">
      <c r="A123" s="30" t="s">
        <v>4</v>
      </c>
      <c r="B123" s="31">
        <f>SUM(B105:B122)</f>
        <v>8.4210000000000012</v>
      </c>
      <c r="C123" s="31">
        <f t="shared" ref="C123:D123" si="33">SUM(C105:C122)</f>
        <v>8.411999999999999</v>
      </c>
      <c r="D123" s="31">
        <f t="shared" si="33"/>
        <v>8.4329999999999998</v>
      </c>
      <c r="E123" s="31">
        <f>SUM(E105:E122)</f>
        <v>25.265999999999995</v>
      </c>
      <c r="F123" s="43">
        <f>AVERAGE(B105:D122)</f>
        <v>0.46788888888888885</v>
      </c>
      <c r="G123" s="39"/>
      <c r="H123" s="92"/>
      <c r="I123" s="96"/>
      <c r="J123" s="96"/>
      <c r="K123" s="96"/>
    </row>
    <row r="124" spans="1:18" x14ac:dyDescent="0.25">
      <c r="A124" s="30" t="s">
        <v>5</v>
      </c>
      <c r="B124" s="31">
        <f>B123/18</f>
        <v>0.46783333333333338</v>
      </c>
      <c r="C124" s="31">
        <f>C123/18</f>
        <v>0.46733333333333327</v>
      </c>
      <c r="D124" s="31">
        <f>D123/18</f>
        <v>0.46849999999999997</v>
      </c>
      <c r="G124" s="39"/>
      <c r="H124" s="92"/>
      <c r="I124" s="96"/>
      <c r="J124" s="96"/>
      <c r="K124" s="96"/>
    </row>
    <row r="125" spans="1:18" x14ac:dyDescent="0.25">
      <c r="A125" s="30" t="s">
        <v>26</v>
      </c>
      <c r="B125" s="31">
        <f>(E123*E123)/54</f>
        <v>11.82168066666666</v>
      </c>
      <c r="C125" s="31"/>
      <c r="D125" s="31"/>
      <c r="G125" s="39"/>
      <c r="H125" s="92"/>
      <c r="I125" s="96"/>
      <c r="J125" s="96"/>
      <c r="K125" s="96"/>
    </row>
    <row r="126" spans="1:18" x14ac:dyDescent="0.25">
      <c r="A126" s="30" t="s">
        <v>27</v>
      </c>
      <c r="B126" s="31">
        <f>SUMSQ(B105:D122)-B125</f>
        <v>6.8599333333335011E-2</v>
      </c>
      <c r="C126" s="30" t="s">
        <v>28</v>
      </c>
      <c r="D126" s="31">
        <f>(SUMSQ(B123:D123)/18)-B125</f>
        <v>1.2333333339498154E-5</v>
      </c>
      <c r="G126" s="39"/>
      <c r="H126" s="92"/>
      <c r="I126" s="96"/>
      <c r="J126" s="96"/>
      <c r="K126" s="96"/>
    </row>
    <row r="127" spans="1:18" x14ac:dyDescent="0.25">
      <c r="A127" s="30" t="s">
        <v>30</v>
      </c>
      <c r="B127" s="31">
        <f>(SUMSQ(E105:E122)/3)-B125</f>
        <v>6.4037333333338609E-2</v>
      </c>
      <c r="C127" s="30" t="s">
        <v>31</v>
      </c>
      <c r="D127" s="31">
        <f>B126-B127-D126</f>
        <v>4.5496666666569041E-3</v>
      </c>
      <c r="G127" s="39"/>
      <c r="H127" s="92"/>
      <c r="I127" s="96"/>
      <c r="J127" s="96"/>
      <c r="K127" s="96"/>
    </row>
    <row r="128" spans="1:18" x14ac:dyDescent="0.25">
      <c r="A128" s="50"/>
      <c r="B128" s="39"/>
      <c r="C128" s="50"/>
      <c r="D128" s="39"/>
      <c r="G128" s="39"/>
      <c r="H128" s="92"/>
      <c r="I128" s="96"/>
      <c r="J128" s="96"/>
      <c r="K128" s="96"/>
    </row>
    <row r="129" spans="1:18" x14ac:dyDescent="0.25">
      <c r="A129" s="50"/>
      <c r="B129" s="39"/>
      <c r="C129" s="50"/>
      <c r="D129" s="39"/>
      <c r="G129" s="39"/>
      <c r="H129" s="92"/>
      <c r="I129" s="96"/>
      <c r="J129" s="96"/>
      <c r="K129" s="96"/>
    </row>
    <row r="130" spans="1:18" ht="20.25" x14ac:dyDescent="0.3">
      <c r="A130" s="50"/>
      <c r="B130" s="39"/>
      <c r="C130" s="111">
        <v>2020</v>
      </c>
      <c r="D130" s="39"/>
      <c r="G130" s="39"/>
      <c r="H130" s="92"/>
      <c r="I130" s="96"/>
      <c r="J130" s="96"/>
      <c r="K130" s="96"/>
    </row>
    <row r="131" spans="1:18" ht="15.75" x14ac:dyDescent="0.25">
      <c r="C131" s="56" t="s">
        <v>118</v>
      </c>
      <c r="G131" s="39"/>
      <c r="H131" s="92"/>
      <c r="I131" s="96"/>
      <c r="J131" s="96"/>
      <c r="K131" s="96"/>
    </row>
    <row r="132" spans="1:18" ht="15.75" x14ac:dyDescent="0.25">
      <c r="C132" s="110"/>
      <c r="G132" s="39"/>
      <c r="H132" s="92"/>
      <c r="I132" s="96"/>
      <c r="J132" s="96"/>
      <c r="K132" s="96"/>
    </row>
    <row r="133" spans="1:18" x14ac:dyDescent="0.25">
      <c r="A133" s="36" t="s">
        <v>104</v>
      </c>
      <c r="B133" s="38">
        <v>2</v>
      </c>
      <c r="C133" s="39"/>
      <c r="D133" s="39"/>
      <c r="E133" s="39"/>
      <c r="F133" s="39"/>
      <c r="G133" s="39"/>
      <c r="H133" s="92"/>
      <c r="I133" s="96"/>
      <c r="J133" s="96"/>
      <c r="K133" s="96"/>
      <c r="L133" s="39"/>
      <c r="M133" s="35"/>
      <c r="N133" s="35"/>
      <c r="O133" s="39"/>
      <c r="P133" s="39"/>
    </row>
    <row r="134" spans="1:18" x14ac:dyDescent="0.25">
      <c r="A134" s="36" t="s">
        <v>105</v>
      </c>
      <c r="B134" s="38">
        <v>9</v>
      </c>
      <c r="C134" s="39" t="s">
        <v>107</v>
      </c>
      <c r="D134" s="39">
        <v>18</v>
      </c>
      <c r="E134" s="39"/>
      <c r="F134" s="39"/>
      <c r="G134" s="39"/>
      <c r="H134" s="92"/>
      <c r="I134" s="96"/>
      <c r="J134" s="96"/>
      <c r="K134" s="96"/>
      <c r="L134" s="39"/>
      <c r="M134" s="35"/>
      <c r="N134" s="35"/>
      <c r="O134" s="39"/>
      <c r="P134" s="39"/>
    </row>
    <row r="135" spans="1:18" x14ac:dyDescent="0.25">
      <c r="A135" s="37" t="s">
        <v>106</v>
      </c>
      <c r="B135" s="40">
        <v>3</v>
      </c>
      <c r="G135" s="39"/>
      <c r="H135" s="92"/>
      <c r="I135" s="96"/>
      <c r="J135" s="96"/>
      <c r="K135" s="96"/>
    </row>
    <row r="136" spans="1:18" x14ac:dyDescent="0.25">
      <c r="A136" s="46" t="s">
        <v>0</v>
      </c>
      <c r="B136" s="30" t="s">
        <v>1</v>
      </c>
      <c r="C136" s="30" t="s">
        <v>2</v>
      </c>
      <c r="D136" s="30" t="s">
        <v>3</v>
      </c>
      <c r="E136" s="30" t="s">
        <v>4</v>
      </c>
      <c r="F136" s="30" t="s">
        <v>5</v>
      </c>
      <c r="O136" s="41" t="s">
        <v>7</v>
      </c>
      <c r="R136" s="41"/>
    </row>
    <row r="137" spans="1:18" x14ac:dyDescent="0.25">
      <c r="A137" s="32" t="s">
        <v>86</v>
      </c>
      <c r="B137" s="58">
        <v>210.68</v>
      </c>
      <c r="C137" s="58">
        <v>200.92</v>
      </c>
      <c r="D137" s="58">
        <v>191.42099999999999</v>
      </c>
      <c r="E137" s="31">
        <f>SUM(B137:D137)</f>
        <v>603.02099999999996</v>
      </c>
      <c r="F137" s="31">
        <f>E137/3</f>
        <v>201.00699999999998</v>
      </c>
      <c r="H137" s="47"/>
      <c r="I137" s="47"/>
      <c r="J137" s="47" t="s">
        <v>6</v>
      </c>
      <c r="K137" s="47"/>
      <c r="L137" s="47"/>
      <c r="M137" s="47"/>
      <c r="N137" s="47"/>
      <c r="O137" s="33">
        <v>1</v>
      </c>
      <c r="P137" s="42">
        <f>SUM(F137:F145)/9</f>
        <v>228.80406666666664</v>
      </c>
      <c r="Q137" s="75">
        <f>RANK(P137,P$137:P$138,0)</f>
        <v>1</v>
      </c>
      <c r="R137" s="41"/>
    </row>
    <row r="138" spans="1:18" x14ac:dyDescent="0.25">
      <c r="A138" s="32" t="s">
        <v>87</v>
      </c>
      <c r="B138" s="58">
        <v>226.3098</v>
      </c>
      <c r="C138" s="58">
        <v>233.13499999999999</v>
      </c>
      <c r="D138" s="58">
        <v>235.71699999999998</v>
      </c>
      <c r="E138" s="31">
        <f t="shared" ref="E138:E154" si="34">SUM(B138:D138)</f>
        <v>695.16179999999997</v>
      </c>
      <c r="F138" s="31">
        <f t="shared" ref="F138:F151" si="35">E138/3</f>
        <v>231.72059999999999</v>
      </c>
      <c r="G138" s="31"/>
      <c r="H138" s="30" t="s">
        <v>8</v>
      </c>
      <c r="I138" s="30" t="s">
        <v>9</v>
      </c>
      <c r="J138" s="30" t="s">
        <v>10</v>
      </c>
      <c r="K138" s="30" t="s">
        <v>11</v>
      </c>
      <c r="L138" s="30" t="s">
        <v>12</v>
      </c>
      <c r="M138" s="30" t="s">
        <v>112</v>
      </c>
      <c r="N138" s="50"/>
      <c r="O138" s="33">
        <v>2</v>
      </c>
      <c r="P138" s="42">
        <f>SUM(F146:F154)/9</f>
        <v>221.86214814814812</v>
      </c>
      <c r="Q138" s="75">
        <f>RANK(P138,P$137:P$138,0)</f>
        <v>2</v>
      </c>
      <c r="R138" s="41"/>
    </row>
    <row r="139" spans="1:18" x14ac:dyDescent="0.25">
      <c r="A139" s="32" t="s">
        <v>88</v>
      </c>
      <c r="B139" s="58">
        <v>250.82599999999999</v>
      </c>
      <c r="C139" s="58">
        <v>247.55600000000001</v>
      </c>
      <c r="D139" s="58">
        <v>235.54</v>
      </c>
      <c r="E139" s="31">
        <f t="shared" si="34"/>
        <v>733.92200000000003</v>
      </c>
      <c r="F139" s="31">
        <f t="shared" si="35"/>
        <v>244.64066666666668</v>
      </c>
      <c r="G139" s="31" t="s">
        <v>13</v>
      </c>
      <c r="H139" s="31">
        <f>B135-1</f>
        <v>2</v>
      </c>
      <c r="I139" s="31">
        <f>D158</f>
        <v>188.38316900283098</v>
      </c>
      <c r="J139" s="31">
        <f>I139/H139</f>
        <v>94.191584501415491</v>
      </c>
      <c r="K139" s="31">
        <f>J139/$J$16</f>
        <v>1.3050213355643157</v>
      </c>
      <c r="L139" s="31">
        <f>FINV(0.05,H139,$H$16)</f>
        <v>3.275897990672394</v>
      </c>
      <c r="M139" s="31" t="str">
        <f>IF(K139&gt;=L139, "S", "NS")</f>
        <v>NS</v>
      </c>
      <c r="N139" s="39"/>
      <c r="O139" s="30" t="s">
        <v>14</v>
      </c>
      <c r="P139" s="42">
        <f>SQRT(J144/(3*9))</f>
        <v>1.8407989037819894</v>
      </c>
      <c r="R139" s="41"/>
    </row>
    <row r="140" spans="1:18" x14ac:dyDescent="0.25">
      <c r="A140" s="32" t="s">
        <v>89</v>
      </c>
      <c r="B140" s="58">
        <v>219.44800000000001</v>
      </c>
      <c r="C140" s="58">
        <v>222.65700000000001</v>
      </c>
      <c r="D140" s="58">
        <v>218.881</v>
      </c>
      <c r="E140" s="31">
        <f t="shared" si="34"/>
        <v>660.98599999999999</v>
      </c>
      <c r="F140" s="31">
        <f t="shared" si="35"/>
        <v>220.32866666666666</v>
      </c>
      <c r="G140" s="31" t="s">
        <v>15</v>
      </c>
      <c r="H140" s="31">
        <f>D134-1</f>
        <v>17</v>
      </c>
      <c r="I140" s="31">
        <f>B159</f>
        <v>11003.329652991146</v>
      </c>
      <c r="J140" s="31">
        <f t="shared" ref="J140:J144" si="36">I140/H140</f>
        <v>647.25468547006744</v>
      </c>
      <c r="K140" s="31">
        <f>J140/$J$16</f>
        <v>8.9676925869074289</v>
      </c>
      <c r="L140" s="31">
        <f>FINV(0.05,H140,$H$16)</f>
        <v>1.9332068318040869</v>
      </c>
      <c r="M140" s="43" t="str">
        <f t="shared" ref="M140" si="37">IF(K140&gt;=L140, "S", "NS")</f>
        <v>S</v>
      </c>
      <c r="N140" s="30" t="s">
        <v>113</v>
      </c>
      <c r="O140" s="30" t="s">
        <v>16</v>
      </c>
      <c r="P140" s="42">
        <f>SQRT((2*J144)/(3*9))*L145</f>
        <v>5.2905071263658172</v>
      </c>
      <c r="R140" s="41"/>
    </row>
    <row r="141" spans="1:18" x14ac:dyDescent="0.25">
      <c r="A141" s="32" t="s">
        <v>90</v>
      </c>
      <c r="B141" s="58">
        <v>238.56</v>
      </c>
      <c r="C141" s="58">
        <v>247.154</v>
      </c>
      <c r="D141" s="58">
        <v>233.95</v>
      </c>
      <c r="E141" s="31">
        <f t="shared" si="34"/>
        <v>719.66399999999999</v>
      </c>
      <c r="F141" s="31">
        <f t="shared" si="35"/>
        <v>239.88800000000001</v>
      </c>
      <c r="G141" s="31" t="s">
        <v>108</v>
      </c>
      <c r="H141" s="31">
        <f>B133-1</f>
        <v>1</v>
      </c>
      <c r="I141" s="31">
        <f>(SUM(E137:E145)^2+SUM(E146:E154)^2)/27-B157</f>
        <v>650.56814169045538</v>
      </c>
      <c r="J141" s="31">
        <f t="shared" si="36"/>
        <v>650.56814169045538</v>
      </c>
      <c r="K141" s="31">
        <f>J141/$J$16</f>
        <v>9.0136004149257545</v>
      </c>
      <c r="L141" s="31">
        <f>FINV(0.05,H141,$H$16)</f>
        <v>4.1300177456520188</v>
      </c>
      <c r="M141" s="31" t="str">
        <f>IF(K141&gt;=L141, "S", "NS")</f>
        <v>S</v>
      </c>
      <c r="N141" s="39"/>
      <c r="O141" s="33">
        <v>1</v>
      </c>
      <c r="P141" s="42">
        <f>(F137+F146)/2</f>
        <v>197.9023333333333</v>
      </c>
      <c r="Q141" s="75">
        <f>RANK(P141,P$141:P$149,0)</f>
        <v>9</v>
      </c>
      <c r="R141" s="51">
        <v>9</v>
      </c>
    </row>
    <row r="142" spans="1:18" x14ac:dyDescent="0.25">
      <c r="A142" s="32" t="s">
        <v>91</v>
      </c>
      <c r="B142" s="58">
        <v>230.15</v>
      </c>
      <c r="C142" s="58">
        <v>268.12799999999999</v>
      </c>
      <c r="D142" s="58">
        <v>254.38399999999999</v>
      </c>
      <c r="E142" s="31">
        <f t="shared" si="34"/>
        <v>752.66200000000003</v>
      </c>
      <c r="F142" s="31">
        <f t="shared" si="35"/>
        <v>250.88733333333334</v>
      </c>
      <c r="G142" s="31" t="s">
        <v>109</v>
      </c>
      <c r="H142" s="31">
        <f>B134-1</f>
        <v>8</v>
      </c>
      <c r="I142" s="31">
        <f>((E137+E146)^2+(E138+E147)^2+(E139+E148)^2+(E140+E149)^2+(E141+E150)^2+(E142+E151)^2+(E143+E152)^2+(E144+E153)^2+(E145+E154)^2/6)-B157</f>
        <v>12393984.340558318</v>
      </c>
      <c r="J142" s="31">
        <f t="shared" si="36"/>
        <v>1549248.0425697898</v>
      </c>
      <c r="K142" s="31">
        <f>J142/$J$16</f>
        <v>21464.781172721916</v>
      </c>
      <c r="L142" s="31">
        <f>FINV(0.05,H142,$H$16)</f>
        <v>2.2253399674380931</v>
      </c>
      <c r="M142" s="31" t="str">
        <f>IF(K142&gt;=L142, "S", "NS")</f>
        <v>S</v>
      </c>
      <c r="N142" s="39"/>
      <c r="O142" s="33">
        <v>2</v>
      </c>
      <c r="P142" s="42">
        <f t="shared" ref="P142:P149" si="38">(F138+F147)/2</f>
        <v>227.79196666666667</v>
      </c>
      <c r="Q142" s="75">
        <f t="shared" ref="Q142:Q149" si="39">RANK(P142,P$141:P$149,0)</f>
        <v>5</v>
      </c>
      <c r="R142" s="52">
        <v>5</v>
      </c>
    </row>
    <row r="143" spans="1:18" x14ac:dyDescent="0.25">
      <c r="A143" s="32" t="s">
        <v>92</v>
      </c>
      <c r="B143" s="58">
        <v>229.23599999999999</v>
      </c>
      <c r="C143" s="58">
        <v>224.22499999999999</v>
      </c>
      <c r="D143" s="58">
        <v>220.952</v>
      </c>
      <c r="E143" s="31">
        <f t="shared" si="34"/>
        <v>674.41300000000001</v>
      </c>
      <c r="F143" s="31">
        <f t="shared" si="35"/>
        <v>224.80433333333335</v>
      </c>
      <c r="G143" s="26" t="s">
        <v>110</v>
      </c>
      <c r="H143" s="31">
        <f>H141*H142</f>
        <v>8</v>
      </c>
      <c r="I143" s="31">
        <f>I140-(I141+I142)</f>
        <v>-12383631.579047017</v>
      </c>
      <c r="J143" s="31">
        <f t="shared" si="36"/>
        <v>-1547953.9473808771</v>
      </c>
      <c r="K143" s="44">
        <f>J143/$J$16</f>
        <v>-21446.851526026603</v>
      </c>
      <c r="L143" s="31">
        <f>FINV(0.05,H143,$H$16)</f>
        <v>2.2253399674380931</v>
      </c>
      <c r="M143" s="31" t="str">
        <f t="shared" ref="M143" si="40">IF(K143&gt;=L143, "S", "NS")</f>
        <v>NS</v>
      </c>
      <c r="N143" s="39"/>
      <c r="O143" s="33">
        <v>3</v>
      </c>
      <c r="P143" s="42">
        <f t="shared" si="38"/>
        <v>242.48183333333333</v>
      </c>
      <c r="Q143" s="75">
        <f t="shared" si="39"/>
        <v>2</v>
      </c>
      <c r="R143" s="52">
        <v>2</v>
      </c>
    </row>
    <row r="144" spans="1:18" x14ac:dyDescent="0.25">
      <c r="A144" s="32" t="s">
        <v>93</v>
      </c>
      <c r="B144" s="58">
        <v>245.56</v>
      </c>
      <c r="C144" s="58">
        <v>231.941</v>
      </c>
      <c r="D144" s="58">
        <v>210.64</v>
      </c>
      <c r="E144" s="31">
        <f t="shared" si="34"/>
        <v>688.14099999999996</v>
      </c>
      <c r="F144" s="31">
        <f t="shared" si="35"/>
        <v>229.38033333333331</v>
      </c>
      <c r="G144" s="45" t="s">
        <v>23</v>
      </c>
      <c r="H144" s="31">
        <f>((B135-1)*(B133*B134-1))</f>
        <v>34</v>
      </c>
      <c r="I144" s="31">
        <f>D159</f>
        <v>3110.6802746234462</v>
      </c>
      <c r="J144" s="31">
        <f t="shared" si="36"/>
        <v>91.490596312454301</v>
      </c>
      <c r="O144" s="33">
        <v>4</v>
      </c>
      <c r="P144" s="42">
        <f t="shared" si="38"/>
        <v>217.47566666666665</v>
      </c>
      <c r="Q144" s="75">
        <f t="shared" si="39"/>
        <v>7</v>
      </c>
      <c r="R144" s="52">
        <v>7</v>
      </c>
    </row>
    <row r="145" spans="1:18" x14ac:dyDescent="0.25">
      <c r="A145" s="32" t="s">
        <v>94</v>
      </c>
      <c r="B145" s="58">
        <v>220.88499999999999</v>
      </c>
      <c r="C145" s="58">
        <v>216.66499999999999</v>
      </c>
      <c r="D145" s="58">
        <v>212.18899999999999</v>
      </c>
      <c r="E145" s="31">
        <f t="shared" si="34"/>
        <v>649.73899999999992</v>
      </c>
      <c r="F145" s="31">
        <f t="shared" si="35"/>
        <v>216.57966666666664</v>
      </c>
      <c r="G145" s="44" t="s">
        <v>4</v>
      </c>
      <c r="H145" s="31">
        <f>SUM(H139:H144)-H140</f>
        <v>53</v>
      </c>
      <c r="I145" s="31">
        <f>B158</f>
        <v>14302.393096617423</v>
      </c>
      <c r="K145" s="31" t="s">
        <v>111</v>
      </c>
      <c r="L145" s="41">
        <f>TINV(0.05,34)</f>
        <v>2.0322445093177191</v>
      </c>
      <c r="O145" s="33">
        <v>5</v>
      </c>
      <c r="P145" s="42">
        <f t="shared" si="38"/>
        <v>233.25483333333335</v>
      </c>
      <c r="Q145" s="75">
        <f t="shared" si="39"/>
        <v>3</v>
      </c>
      <c r="R145" s="51">
        <v>3</v>
      </c>
    </row>
    <row r="146" spans="1:18" x14ac:dyDescent="0.25">
      <c r="A146" s="32" t="s">
        <v>95</v>
      </c>
      <c r="B146" s="58">
        <v>181.69299999999998</v>
      </c>
      <c r="C146" s="58">
        <v>190.16</v>
      </c>
      <c r="D146" s="58">
        <v>212.54</v>
      </c>
      <c r="E146" s="31">
        <f t="shared" si="34"/>
        <v>584.39299999999992</v>
      </c>
      <c r="F146" s="31">
        <f t="shared" si="35"/>
        <v>194.79766666666663</v>
      </c>
      <c r="G146" s="34" t="s">
        <v>14</v>
      </c>
      <c r="H146" s="31">
        <f>SQRT(J144/3)</f>
        <v>5.5223967113459684</v>
      </c>
      <c r="O146" s="33">
        <v>6</v>
      </c>
      <c r="P146" s="42">
        <f t="shared" si="38"/>
        <v>244.91033333333331</v>
      </c>
      <c r="Q146" s="75">
        <f t="shared" si="39"/>
        <v>1</v>
      </c>
      <c r="R146" s="52">
        <v>1</v>
      </c>
    </row>
    <row r="147" spans="1:18" x14ac:dyDescent="0.25">
      <c r="A147" s="32" t="s">
        <v>96</v>
      </c>
      <c r="B147" s="58">
        <v>227.048</v>
      </c>
      <c r="C147" s="58">
        <v>222.917</v>
      </c>
      <c r="D147" s="58">
        <v>221.625</v>
      </c>
      <c r="E147" s="31">
        <f t="shared" si="34"/>
        <v>671.59</v>
      </c>
      <c r="F147" s="31">
        <f t="shared" si="35"/>
        <v>223.86333333333334</v>
      </c>
      <c r="G147" s="34" t="s">
        <v>16</v>
      </c>
      <c r="H147" s="31">
        <f>(SQRT((2*J144)/3))*L145</f>
        <v>15.871521379097453</v>
      </c>
      <c r="O147" s="33">
        <v>7</v>
      </c>
      <c r="P147" s="42">
        <f t="shared" si="38"/>
        <v>222.10183333333333</v>
      </c>
      <c r="Q147" s="75">
        <f t="shared" si="39"/>
        <v>6</v>
      </c>
      <c r="R147" s="52">
        <v>6</v>
      </c>
    </row>
    <row r="148" spans="1:18" x14ac:dyDescent="0.25">
      <c r="A148" s="32" t="s">
        <v>97</v>
      </c>
      <c r="B148" s="58">
        <v>241.51</v>
      </c>
      <c r="C148" s="58">
        <v>242.303</v>
      </c>
      <c r="D148" s="58">
        <v>237.15600000000001</v>
      </c>
      <c r="E148" s="31">
        <f t="shared" si="34"/>
        <v>720.96900000000005</v>
      </c>
      <c r="F148" s="31">
        <f t="shared" si="35"/>
        <v>240.32300000000001</v>
      </c>
      <c r="G148" s="34" t="s">
        <v>29</v>
      </c>
      <c r="H148" s="31">
        <f>((SQRT(J144))/F155)*100</f>
        <v>4.2448585534786183</v>
      </c>
      <c r="O148" s="33">
        <v>8</v>
      </c>
      <c r="P148" s="42">
        <f t="shared" si="38"/>
        <v>227.87466666666666</v>
      </c>
      <c r="Q148" s="75">
        <f t="shared" si="39"/>
        <v>4</v>
      </c>
      <c r="R148" s="51">
        <v>4</v>
      </c>
    </row>
    <row r="149" spans="1:18" x14ac:dyDescent="0.25">
      <c r="A149" s="32" t="s">
        <v>98</v>
      </c>
      <c r="B149" s="58">
        <v>219.46</v>
      </c>
      <c r="C149" s="58">
        <v>211.46100000000001</v>
      </c>
      <c r="D149" s="58">
        <v>212.947</v>
      </c>
      <c r="E149" s="31">
        <f t="shared" si="34"/>
        <v>643.86800000000005</v>
      </c>
      <c r="F149" s="31">
        <f t="shared" si="35"/>
        <v>214.62266666666667</v>
      </c>
      <c r="O149" s="33">
        <v>9</v>
      </c>
      <c r="P149" s="42">
        <f t="shared" si="38"/>
        <v>214.2045</v>
      </c>
      <c r="Q149" s="75">
        <f t="shared" si="39"/>
        <v>8</v>
      </c>
      <c r="R149" s="52">
        <v>8</v>
      </c>
    </row>
    <row r="150" spans="1:18" x14ac:dyDescent="0.25">
      <c r="A150" s="32" t="s">
        <v>99</v>
      </c>
      <c r="B150" s="58">
        <v>215.48</v>
      </c>
      <c r="C150" s="58">
        <v>238.77500000000001</v>
      </c>
      <c r="D150" s="58">
        <v>225.61</v>
      </c>
      <c r="E150" s="31">
        <f t="shared" si="34"/>
        <v>679.86500000000001</v>
      </c>
      <c r="F150" s="31">
        <f t="shared" si="35"/>
        <v>226.62166666666667</v>
      </c>
      <c r="O150" s="30" t="s">
        <v>14</v>
      </c>
      <c r="P150" s="42">
        <f>SQRT(J144/(3*2))</f>
        <v>3.9049241629950235</v>
      </c>
      <c r="Q150" s="49"/>
    </row>
    <row r="151" spans="1:18" x14ac:dyDescent="0.25">
      <c r="A151" s="32" t="s">
        <v>100</v>
      </c>
      <c r="B151" s="58">
        <v>235.14</v>
      </c>
      <c r="C151" s="58">
        <v>241.15</v>
      </c>
      <c r="D151" s="58">
        <v>240.51</v>
      </c>
      <c r="E151" s="31">
        <f t="shared" si="34"/>
        <v>716.8</v>
      </c>
      <c r="F151" s="31">
        <f t="shared" si="35"/>
        <v>238.93333333333331</v>
      </c>
      <c r="N151" s="30" t="s">
        <v>109</v>
      </c>
      <c r="O151" s="30" t="s">
        <v>16</v>
      </c>
      <c r="P151" s="42">
        <f>SQRT((2*J144)/(3*2))*L145</f>
        <v>11.222860394907073</v>
      </c>
      <c r="Q151" s="49"/>
    </row>
    <row r="152" spans="1:18" x14ac:dyDescent="0.25">
      <c r="A152" s="32" t="s">
        <v>101</v>
      </c>
      <c r="B152" s="58">
        <v>225.14400000000001</v>
      </c>
      <c r="C152" s="58">
        <v>211.352</v>
      </c>
      <c r="D152" s="58">
        <v>221.702</v>
      </c>
      <c r="E152" s="31">
        <f t="shared" si="34"/>
        <v>658.19799999999998</v>
      </c>
      <c r="F152" s="31">
        <f>E152/3</f>
        <v>219.39933333333332</v>
      </c>
      <c r="Q152" s="49"/>
    </row>
    <row r="153" spans="1:18" x14ac:dyDescent="0.25">
      <c r="A153" s="32" t="s">
        <v>102</v>
      </c>
      <c r="B153" s="58">
        <v>210.45</v>
      </c>
      <c r="C153" s="58">
        <v>235.45</v>
      </c>
      <c r="D153" s="58">
        <v>233.20699999999999</v>
      </c>
      <c r="E153" s="31">
        <f t="shared" si="34"/>
        <v>679.10699999999997</v>
      </c>
      <c r="F153" s="31">
        <f t="shared" ref="F153:F154" si="41">E153/3</f>
        <v>226.369</v>
      </c>
    </row>
    <row r="154" spans="1:18" x14ac:dyDescent="0.25">
      <c r="A154" s="32" t="s">
        <v>103</v>
      </c>
      <c r="B154" s="58">
        <v>211.666</v>
      </c>
      <c r="C154" s="58">
        <v>216.958</v>
      </c>
      <c r="D154" s="58">
        <v>206.864</v>
      </c>
      <c r="E154" s="31">
        <f t="shared" si="34"/>
        <v>635.48800000000006</v>
      </c>
      <c r="F154" s="31">
        <f t="shared" si="41"/>
        <v>211.82933333333335</v>
      </c>
    </row>
    <row r="155" spans="1:18" x14ac:dyDescent="0.25">
      <c r="A155" s="30" t="s">
        <v>4</v>
      </c>
      <c r="B155" s="31">
        <f>SUM(B137:B154)</f>
        <v>4039.2458000000006</v>
      </c>
      <c r="C155" s="31">
        <f t="shared" ref="C155:D155" si="42">SUM(C137:C154)</f>
        <v>4102.9069999999992</v>
      </c>
      <c r="D155" s="31">
        <f t="shared" si="42"/>
        <v>4025.8350000000009</v>
      </c>
      <c r="E155" s="31">
        <f>SUM(E137:E154)</f>
        <v>12167.987799999997</v>
      </c>
      <c r="F155" s="31">
        <f>AVERAGE(B137:D154)</f>
        <v>225.33310740740743</v>
      </c>
    </row>
    <row r="156" spans="1:18" x14ac:dyDescent="0.25">
      <c r="A156" s="30" t="s">
        <v>5</v>
      </c>
      <c r="B156" s="31">
        <f>B155/18</f>
        <v>224.40254444444449</v>
      </c>
      <c r="C156" s="31">
        <f>C155/18</f>
        <v>227.93927777777773</v>
      </c>
      <c r="D156" s="31">
        <f>D155/18</f>
        <v>223.65750000000006</v>
      </c>
    </row>
    <row r="157" spans="1:18" x14ac:dyDescent="0.25">
      <c r="A157" s="30" t="s">
        <v>26</v>
      </c>
      <c r="B157" s="31">
        <f>(E155*E155)/54</f>
        <v>2741850.5018694219</v>
      </c>
      <c r="C157" s="31"/>
      <c r="D157" s="31"/>
    </row>
    <row r="158" spans="1:18" x14ac:dyDescent="0.25">
      <c r="A158" s="30" t="s">
        <v>27</v>
      </c>
      <c r="B158" s="31">
        <f>SUMSQ(B137:D154)-B157</f>
        <v>14302.393096617423</v>
      </c>
      <c r="C158" s="30" t="s">
        <v>28</v>
      </c>
      <c r="D158" s="31">
        <f>(SUMSQ(B155:D155)/18)-B157</f>
        <v>188.38316900283098</v>
      </c>
    </row>
    <row r="159" spans="1:18" x14ac:dyDescent="0.25">
      <c r="A159" s="30" t="s">
        <v>30</v>
      </c>
      <c r="B159" s="31">
        <f>(SUMSQ(E137:E154)/3)-B157</f>
        <v>11003.329652991146</v>
      </c>
      <c r="C159" s="30" t="s">
        <v>31</v>
      </c>
      <c r="D159" s="31">
        <f>B158-B159-D158</f>
        <v>3110.6802746234462</v>
      </c>
    </row>
    <row r="160" spans="1:18" x14ac:dyDescent="0.25">
      <c r="A160" s="50"/>
      <c r="B160" s="39"/>
      <c r="C160" s="50"/>
      <c r="D160" s="39"/>
    </row>
    <row r="164" spans="1:21" x14ac:dyDescent="0.25">
      <c r="C164" s="66"/>
    </row>
    <row r="165" spans="1:21" ht="15.75" x14ac:dyDescent="0.25">
      <c r="C165" s="56" t="s">
        <v>122</v>
      </c>
    </row>
    <row r="166" spans="1:21" x14ac:dyDescent="0.25">
      <c r="C166" s="48"/>
    </row>
    <row r="167" spans="1:21" x14ac:dyDescent="0.25">
      <c r="A167" s="36" t="s">
        <v>104</v>
      </c>
      <c r="B167" s="38">
        <v>2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5"/>
      <c r="N167" s="35"/>
      <c r="O167" s="39"/>
      <c r="P167" s="39"/>
    </row>
    <row r="168" spans="1:21" x14ac:dyDescent="0.25">
      <c r="A168" s="36" t="s">
        <v>105</v>
      </c>
      <c r="B168" s="38">
        <v>9</v>
      </c>
      <c r="C168" s="39" t="s">
        <v>107</v>
      </c>
      <c r="D168" s="39">
        <v>18</v>
      </c>
      <c r="E168" s="39"/>
      <c r="F168" s="39"/>
      <c r="G168" s="39"/>
      <c r="H168" s="39"/>
      <c r="I168" s="39"/>
      <c r="J168" s="39"/>
      <c r="K168" s="39"/>
      <c r="L168" s="39"/>
      <c r="M168" s="35"/>
      <c r="N168" s="35"/>
      <c r="O168" s="39"/>
      <c r="P168" s="39"/>
    </row>
    <row r="169" spans="1:21" x14ac:dyDescent="0.25">
      <c r="A169" s="37" t="s">
        <v>106</v>
      </c>
      <c r="B169" s="40">
        <v>3</v>
      </c>
    </row>
    <row r="170" spans="1:21" x14ac:dyDescent="0.25">
      <c r="A170" s="46" t="s">
        <v>0</v>
      </c>
      <c r="B170" s="30" t="s">
        <v>1</v>
      </c>
      <c r="C170" s="30" t="s">
        <v>2</v>
      </c>
      <c r="D170" s="30" t="s">
        <v>3</v>
      </c>
      <c r="E170" s="30" t="s">
        <v>4</v>
      </c>
      <c r="F170" s="30" t="s">
        <v>5</v>
      </c>
      <c r="O170" s="41" t="s">
        <v>7</v>
      </c>
      <c r="S170" s="53"/>
      <c r="T170" s="53"/>
      <c r="U170" s="53"/>
    </row>
    <row r="171" spans="1:21" x14ac:dyDescent="0.25">
      <c r="A171" s="32" t="s">
        <v>86</v>
      </c>
      <c r="B171" s="55">
        <v>12.5</v>
      </c>
      <c r="C171" s="55">
        <v>12.8</v>
      </c>
      <c r="D171" s="55">
        <v>14.600000000000001</v>
      </c>
      <c r="E171" s="42">
        <f t="shared" ref="E171:E188" si="43">SUM(B171:D171)</f>
        <v>39.900000000000006</v>
      </c>
      <c r="F171" s="42">
        <f>E171/3</f>
        <v>13.300000000000002</v>
      </c>
      <c r="H171" s="47"/>
      <c r="I171" s="47"/>
      <c r="J171" s="47" t="s">
        <v>6</v>
      </c>
      <c r="K171" s="47"/>
      <c r="L171" s="47"/>
      <c r="M171" s="47"/>
      <c r="N171" s="47"/>
      <c r="O171" s="33">
        <v>1</v>
      </c>
      <c r="P171" s="42">
        <f>SUM(F171:F179)/9</f>
        <v>18.409629629629631</v>
      </c>
      <c r="Q171" s="75">
        <f>RANK(P171,P$171:P$172,0)</f>
        <v>1</v>
      </c>
      <c r="S171" s="53"/>
      <c r="T171" s="53"/>
      <c r="U171" s="53"/>
    </row>
    <row r="172" spans="1:21" x14ac:dyDescent="0.25">
      <c r="A172" s="32" t="s">
        <v>87</v>
      </c>
      <c r="B172" s="55">
        <v>20.5</v>
      </c>
      <c r="C172" s="55">
        <v>19.5</v>
      </c>
      <c r="D172" s="55">
        <v>18.600000000000001</v>
      </c>
      <c r="E172" s="42">
        <f t="shared" si="43"/>
        <v>58.6</v>
      </c>
      <c r="F172" s="42">
        <f t="shared" ref="F172:F185" si="44">E172/3</f>
        <v>19.533333333333335</v>
      </c>
      <c r="G172" s="31"/>
      <c r="H172" s="30" t="s">
        <v>8</v>
      </c>
      <c r="I172" s="30" t="s">
        <v>9</v>
      </c>
      <c r="J172" s="30" t="s">
        <v>10</v>
      </c>
      <c r="K172" s="30" t="s">
        <v>11</v>
      </c>
      <c r="L172" s="30" t="s">
        <v>12</v>
      </c>
      <c r="M172" s="30" t="s">
        <v>112</v>
      </c>
      <c r="N172" s="50"/>
      <c r="O172" s="33">
        <v>2</v>
      </c>
      <c r="P172" s="42">
        <f>SUM(F180:F188)/9</f>
        <v>16.314074074074071</v>
      </c>
      <c r="Q172" s="75">
        <f>RANK(P172,P$171:P$172,0)</f>
        <v>2</v>
      </c>
      <c r="S172" s="53"/>
      <c r="T172" s="53"/>
      <c r="U172" s="53"/>
    </row>
    <row r="173" spans="1:21" x14ac:dyDescent="0.25">
      <c r="A173" s="32" t="s">
        <v>88</v>
      </c>
      <c r="B173" s="55">
        <v>19.600000000000001</v>
      </c>
      <c r="C173" s="55">
        <v>20.6</v>
      </c>
      <c r="D173" s="55">
        <v>20.6</v>
      </c>
      <c r="E173" s="42">
        <f t="shared" si="43"/>
        <v>60.800000000000004</v>
      </c>
      <c r="F173" s="42">
        <f t="shared" si="44"/>
        <v>20.266666666666669</v>
      </c>
      <c r="G173" s="31" t="s">
        <v>13</v>
      </c>
      <c r="H173" s="31">
        <f>B169-1</f>
        <v>2</v>
      </c>
      <c r="I173" s="31">
        <f>D192</f>
        <v>1.5566703703716485</v>
      </c>
      <c r="J173" s="31">
        <f>I173/H173</f>
        <v>0.77833518518582423</v>
      </c>
      <c r="K173" s="31">
        <f>J173/$J$16</f>
        <v>1.0783808641340341E-2</v>
      </c>
      <c r="L173" s="31">
        <f>FINV(0.05,H173,$H$16)</f>
        <v>3.275897990672394</v>
      </c>
      <c r="M173" s="31" t="str">
        <f>IF(K173&gt;=L173, "S", "NS")</f>
        <v>NS</v>
      </c>
      <c r="N173" s="39"/>
      <c r="O173" s="30" t="s">
        <v>14</v>
      </c>
      <c r="P173" s="42">
        <f>SQRT(J178/(3*9))</f>
        <v>0.3578345004810613</v>
      </c>
      <c r="Q173" s="41"/>
      <c r="S173" s="53"/>
      <c r="T173" s="53"/>
      <c r="U173" s="53"/>
    </row>
    <row r="174" spans="1:21" x14ac:dyDescent="0.25">
      <c r="A174" s="32" t="s">
        <v>89</v>
      </c>
      <c r="B174" s="55">
        <v>17.449999999999989</v>
      </c>
      <c r="C174" s="55">
        <v>17.600000000000001</v>
      </c>
      <c r="D174" s="55">
        <v>16.650000000000006</v>
      </c>
      <c r="E174" s="42">
        <f t="shared" si="43"/>
        <v>51.699999999999996</v>
      </c>
      <c r="F174" s="42">
        <f t="shared" si="44"/>
        <v>17.233333333333331</v>
      </c>
      <c r="G174" s="31" t="s">
        <v>15</v>
      </c>
      <c r="H174" s="31">
        <f>D168-1</f>
        <v>17</v>
      </c>
      <c r="I174" s="31">
        <f>B193</f>
        <v>389.34374814814146</v>
      </c>
      <c r="J174" s="31">
        <f t="shared" ref="J174:J178" si="45">I174/H174</f>
        <v>22.902573420478909</v>
      </c>
      <c r="K174" s="31">
        <f>J174/$J$16</f>
        <v>0.31731440883239442</v>
      </c>
      <c r="L174" s="31">
        <f>FINV(0.05,H174,$H$16)</f>
        <v>1.9332068318040869</v>
      </c>
      <c r="M174" s="43" t="str">
        <f t="shared" ref="M174" si="46">IF(K174&gt;=L174, "S", "NS")</f>
        <v>NS</v>
      </c>
      <c r="N174" s="30" t="s">
        <v>113</v>
      </c>
      <c r="O174" s="30" t="s">
        <v>16</v>
      </c>
      <c r="P174" s="42">
        <f>SQRT((2*J178)/(3*9))*L179</f>
        <v>1.0284262832648965</v>
      </c>
      <c r="Q174" s="41"/>
      <c r="S174" s="53"/>
      <c r="T174" s="53"/>
      <c r="U174" s="53"/>
    </row>
    <row r="175" spans="1:21" x14ac:dyDescent="0.25">
      <c r="A175" s="32" t="s">
        <v>90</v>
      </c>
      <c r="B175" s="55">
        <v>20.5</v>
      </c>
      <c r="C175" s="55">
        <v>19.8</v>
      </c>
      <c r="D175" s="55">
        <v>18.600000000000001</v>
      </c>
      <c r="E175" s="42">
        <f t="shared" si="43"/>
        <v>58.9</v>
      </c>
      <c r="F175" s="42">
        <f t="shared" si="44"/>
        <v>19.633333333333333</v>
      </c>
      <c r="G175" s="31" t="s">
        <v>108</v>
      </c>
      <c r="H175" s="31">
        <f>B167-1</f>
        <v>1</v>
      </c>
      <c r="I175" s="31">
        <f>(SUM(E171:E179)^2+SUM(E180:E188)^2)/27-B191</f>
        <v>59.283266666659983</v>
      </c>
      <c r="J175" s="31">
        <f t="shared" si="45"/>
        <v>59.283266666659983</v>
      </c>
      <c r="K175" s="31">
        <f>J175/$J$16</f>
        <v>0.82136772888428733</v>
      </c>
      <c r="L175" s="31">
        <f>FINV(0.05,H175,$H$16)</f>
        <v>4.1300177456520188</v>
      </c>
      <c r="M175" s="31" t="str">
        <f>IF(K175&gt;=L175, "S", "NS")</f>
        <v>NS</v>
      </c>
      <c r="N175" s="39"/>
      <c r="O175" s="33">
        <v>1</v>
      </c>
      <c r="P175" s="42">
        <f>(F171+F180)/2</f>
        <v>12.379999999999999</v>
      </c>
      <c r="Q175" s="75">
        <f>RANK(P175,P$175:P$183,0)</f>
        <v>9</v>
      </c>
      <c r="R175" s="51">
        <v>9</v>
      </c>
      <c r="S175" s="54"/>
      <c r="T175" s="54"/>
      <c r="U175" s="54"/>
    </row>
    <row r="176" spans="1:21" x14ac:dyDescent="0.25">
      <c r="A176" s="32" t="s">
        <v>91</v>
      </c>
      <c r="B176" s="55">
        <v>21.5</v>
      </c>
      <c r="C176" s="55">
        <v>20.6</v>
      </c>
      <c r="D176" s="55">
        <v>20.9</v>
      </c>
      <c r="E176" s="42">
        <f t="shared" si="43"/>
        <v>63</v>
      </c>
      <c r="F176" s="42">
        <f t="shared" si="44"/>
        <v>21</v>
      </c>
      <c r="G176" s="31" t="s">
        <v>109</v>
      </c>
      <c r="H176" s="31">
        <f>B168-1</f>
        <v>8</v>
      </c>
      <c r="I176" s="31">
        <f>((E171+E180)^2+(E172+E181)^2+(E173+E182)^2+(E174+E183)^2+(E175+E184)^2+(E176+E185)^2+(E177+E186)^2+(E178+E187)^2+(E179+E188)^2/6)-B191</f>
        <v>76451.61833148147</v>
      </c>
      <c r="J176" s="31">
        <f t="shared" si="45"/>
        <v>9556.4522914351837</v>
      </c>
      <c r="K176" s="31">
        <f>J176/$J$16</f>
        <v>132.40433525606517</v>
      </c>
      <c r="L176" s="31">
        <f>FINV(0.05,H176,$H$16)</f>
        <v>2.2253399674380931</v>
      </c>
      <c r="M176" s="31" t="str">
        <f>IF(K176&gt;=L176, "S", "NS")</f>
        <v>S</v>
      </c>
      <c r="N176" s="39"/>
      <c r="O176" s="33">
        <v>2</v>
      </c>
      <c r="P176" s="42">
        <f t="shared" ref="P176:P183" si="47">(F172+F181)/2</f>
        <v>18.3</v>
      </c>
      <c r="Q176" s="75">
        <f t="shared" ref="Q176:Q183" si="48">RANK(P176,P$175:P$183,0)</f>
        <v>5</v>
      </c>
      <c r="R176" s="52">
        <v>5</v>
      </c>
      <c r="S176" s="53"/>
      <c r="T176" s="53"/>
      <c r="U176" s="53"/>
    </row>
    <row r="177" spans="1:21" x14ac:dyDescent="0.25">
      <c r="A177" s="32" t="s">
        <v>92</v>
      </c>
      <c r="B177" s="55">
        <v>20.6</v>
      </c>
      <c r="C177" s="55">
        <v>20.6</v>
      </c>
      <c r="D177" s="55">
        <v>16.5</v>
      </c>
      <c r="E177" s="42">
        <f t="shared" si="43"/>
        <v>57.7</v>
      </c>
      <c r="F177" s="42">
        <f t="shared" si="44"/>
        <v>19.233333333333334</v>
      </c>
      <c r="G177" s="26" t="s">
        <v>110</v>
      </c>
      <c r="H177" s="31">
        <f>H175*H176</f>
        <v>8</v>
      </c>
      <c r="I177" s="31">
        <f>I174-(I175+I176)</f>
        <v>-76121.557849999997</v>
      </c>
      <c r="J177" s="31">
        <f t="shared" si="45"/>
        <v>-9515.1947312499997</v>
      </c>
      <c r="K177" s="44">
        <f>J177/$J$16</f>
        <v>-131.83271310340686</v>
      </c>
      <c r="L177" s="31">
        <f>FINV(0.05,H177,$H$16)</f>
        <v>2.2253399674380931</v>
      </c>
      <c r="M177" s="31" t="str">
        <f t="shared" ref="M177" si="49">IF(K177&gt;=L177, "S", "NS")</f>
        <v>NS</v>
      </c>
      <c r="N177" s="39"/>
      <c r="O177" s="33">
        <v>3</v>
      </c>
      <c r="P177" s="42">
        <f t="shared" si="47"/>
        <v>19.866666666666667</v>
      </c>
      <c r="Q177" s="75">
        <f t="shared" si="48"/>
        <v>2</v>
      </c>
      <c r="R177" s="52">
        <v>2</v>
      </c>
      <c r="S177" s="53"/>
      <c r="T177" s="53"/>
      <c r="U177" s="53"/>
    </row>
    <row r="178" spans="1:21" x14ac:dyDescent="0.25">
      <c r="A178" s="32" t="s">
        <v>93</v>
      </c>
      <c r="B178" s="55">
        <v>19.2</v>
      </c>
      <c r="C178" s="55">
        <v>18.600000000000001</v>
      </c>
      <c r="D178" s="55">
        <v>19.100000000000001</v>
      </c>
      <c r="E178" s="42">
        <f t="shared" si="43"/>
        <v>56.9</v>
      </c>
      <c r="F178" s="42">
        <f t="shared" si="44"/>
        <v>18.966666666666665</v>
      </c>
      <c r="G178" s="45" t="s">
        <v>23</v>
      </c>
      <c r="H178" s="31">
        <f>((B169-1)*(B167*B168-1))</f>
        <v>34</v>
      </c>
      <c r="I178" s="31">
        <f>D193</f>
        <v>117.54579629629916</v>
      </c>
      <c r="J178" s="31">
        <f t="shared" si="45"/>
        <v>3.457229302832328</v>
      </c>
      <c r="O178" s="33">
        <v>4</v>
      </c>
      <c r="P178" s="42">
        <f t="shared" si="47"/>
        <v>15.966666666666665</v>
      </c>
      <c r="Q178" s="75">
        <f t="shared" si="48"/>
        <v>7</v>
      </c>
      <c r="R178" s="52">
        <v>7</v>
      </c>
      <c r="S178" s="53"/>
      <c r="T178" s="53"/>
      <c r="U178" s="53"/>
    </row>
    <row r="179" spans="1:21" x14ac:dyDescent="0.25">
      <c r="A179" s="32" t="s">
        <v>94</v>
      </c>
      <c r="B179" s="55">
        <v>19.5</v>
      </c>
      <c r="C179" s="55">
        <v>15.560000000000002</v>
      </c>
      <c r="D179" s="55">
        <v>14.5</v>
      </c>
      <c r="E179" s="42">
        <f t="shared" si="43"/>
        <v>49.56</v>
      </c>
      <c r="F179" s="42">
        <f t="shared" si="44"/>
        <v>16.52</v>
      </c>
      <c r="G179" s="44" t="s">
        <v>4</v>
      </c>
      <c r="H179" s="31">
        <f>SUM(H173:H178)-H174</f>
        <v>53</v>
      </c>
      <c r="I179" s="31">
        <f>B192</f>
        <v>508.44621481481227</v>
      </c>
      <c r="K179" s="31" t="s">
        <v>111</v>
      </c>
      <c r="L179" s="41">
        <f>TINV(0.05,34)</f>
        <v>2.0322445093177191</v>
      </c>
      <c r="O179" s="33">
        <v>5</v>
      </c>
      <c r="P179" s="42">
        <f t="shared" si="47"/>
        <v>19.100000000000001</v>
      </c>
      <c r="Q179" s="75">
        <f t="shared" si="48"/>
        <v>3</v>
      </c>
      <c r="R179" s="51">
        <v>3</v>
      </c>
      <c r="S179" s="109"/>
      <c r="T179" s="109"/>
      <c r="U179" s="109"/>
    </row>
    <row r="180" spans="1:21" x14ac:dyDescent="0.25">
      <c r="A180" s="32" t="s">
        <v>95</v>
      </c>
      <c r="B180" s="55">
        <v>8.3000000000000007</v>
      </c>
      <c r="C180" s="55">
        <v>9.039999999999992</v>
      </c>
      <c r="D180" s="55">
        <v>17.039999999999992</v>
      </c>
      <c r="E180" s="42">
        <f t="shared" si="43"/>
        <v>34.379999999999981</v>
      </c>
      <c r="F180" s="42">
        <f t="shared" si="44"/>
        <v>11.459999999999994</v>
      </c>
      <c r="G180" s="34" t="s">
        <v>14</v>
      </c>
      <c r="H180" s="31">
        <f>SQRT(J178/3)</f>
        <v>1.073503501443184</v>
      </c>
      <c r="O180" s="33">
        <v>6</v>
      </c>
      <c r="P180" s="42">
        <f t="shared" si="47"/>
        <v>20.316666666666666</v>
      </c>
      <c r="Q180" s="75">
        <f t="shared" si="48"/>
        <v>1</v>
      </c>
      <c r="R180" s="52">
        <v>1</v>
      </c>
      <c r="S180" s="109"/>
      <c r="T180" s="109"/>
      <c r="U180" s="109"/>
    </row>
    <row r="181" spans="1:21" x14ac:dyDescent="0.25">
      <c r="A181" s="32" t="s">
        <v>96</v>
      </c>
      <c r="B181" s="55">
        <v>17</v>
      </c>
      <c r="C181" s="55">
        <v>17.899999999999999</v>
      </c>
      <c r="D181" s="55">
        <v>16.3</v>
      </c>
      <c r="E181" s="42">
        <f t="shared" si="43"/>
        <v>51.2</v>
      </c>
      <c r="F181" s="42">
        <f t="shared" si="44"/>
        <v>17.066666666666666</v>
      </c>
      <c r="G181" s="34" t="s">
        <v>16</v>
      </c>
      <c r="H181" s="31">
        <f>(SQRT((2*J178)/3))*L179</f>
        <v>3.0852788497946899</v>
      </c>
      <c r="K181" s="38"/>
      <c r="L181" s="96"/>
      <c r="O181" s="33">
        <v>7</v>
      </c>
      <c r="P181" s="42">
        <f t="shared" si="47"/>
        <v>16.908333333333335</v>
      </c>
      <c r="Q181" s="75">
        <f t="shared" si="48"/>
        <v>6</v>
      </c>
      <c r="R181" s="52">
        <v>6</v>
      </c>
      <c r="S181" s="109"/>
      <c r="T181" s="109"/>
      <c r="U181" s="109"/>
    </row>
    <row r="182" spans="1:21" x14ac:dyDescent="0.25">
      <c r="A182" s="32" t="s">
        <v>97</v>
      </c>
      <c r="B182" s="55">
        <v>19.399999999999999</v>
      </c>
      <c r="C182" s="55">
        <v>19.100000000000001</v>
      </c>
      <c r="D182" s="55">
        <v>19.899999999999999</v>
      </c>
      <c r="E182" s="42">
        <f t="shared" si="43"/>
        <v>58.4</v>
      </c>
      <c r="F182" s="42">
        <f t="shared" si="44"/>
        <v>19.466666666666665</v>
      </c>
      <c r="G182" s="34" t="s">
        <v>29</v>
      </c>
      <c r="H182" s="31">
        <f>((SQRT(J178))/F189)*100</f>
        <v>10.70947167657326</v>
      </c>
      <c r="K182" s="38"/>
      <c r="L182" s="96"/>
      <c r="O182" s="33">
        <v>8</v>
      </c>
      <c r="P182" s="42">
        <f t="shared" si="47"/>
        <v>18.350000000000001</v>
      </c>
      <c r="Q182" s="75">
        <f t="shared" si="48"/>
        <v>4</v>
      </c>
      <c r="R182" s="51">
        <v>4</v>
      </c>
      <c r="S182" s="109"/>
      <c r="T182" s="109"/>
      <c r="U182" s="109"/>
    </row>
    <row r="183" spans="1:21" x14ac:dyDescent="0.25">
      <c r="A183" s="32" t="s">
        <v>98</v>
      </c>
      <c r="B183" s="55">
        <v>14</v>
      </c>
      <c r="C183" s="55">
        <v>15</v>
      </c>
      <c r="D183" s="55">
        <v>15.1</v>
      </c>
      <c r="E183" s="42">
        <f t="shared" si="43"/>
        <v>44.1</v>
      </c>
      <c r="F183" s="42">
        <f t="shared" si="44"/>
        <v>14.700000000000001</v>
      </c>
      <c r="K183" s="50"/>
      <c r="L183" s="96"/>
      <c r="O183" s="33">
        <v>9</v>
      </c>
      <c r="P183" s="42">
        <f t="shared" si="47"/>
        <v>15.068333333333335</v>
      </c>
      <c r="Q183" s="75">
        <f t="shared" si="48"/>
        <v>8</v>
      </c>
      <c r="R183" s="52">
        <v>8</v>
      </c>
      <c r="S183" s="109"/>
      <c r="T183" s="109"/>
      <c r="U183" s="109"/>
    </row>
    <row r="184" spans="1:21" x14ac:dyDescent="0.25">
      <c r="A184" s="32" t="s">
        <v>99</v>
      </c>
      <c r="B184" s="55">
        <v>19.100000000000001</v>
      </c>
      <c r="C184" s="55">
        <v>18.7</v>
      </c>
      <c r="D184" s="55">
        <v>17.899999999999999</v>
      </c>
      <c r="E184" s="42">
        <f t="shared" si="43"/>
        <v>55.699999999999996</v>
      </c>
      <c r="F184" s="42">
        <f t="shared" si="44"/>
        <v>18.566666666666666</v>
      </c>
      <c r="K184" s="50"/>
      <c r="L184" s="96"/>
      <c r="O184" s="30" t="s">
        <v>14</v>
      </c>
      <c r="P184" s="42">
        <f>SQRT(J178/(3*2))</f>
        <v>0.7590816054979781</v>
      </c>
      <c r="Q184" s="49"/>
      <c r="S184" s="109"/>
      <c r="T184" s="109"/>
      <c r="U184" s="109"/>
    </row>
    <row r="185" spans="1:21" x14ac:dyDescent="0.25">
      <c r="A185" s="32" t="s">
        <v>100</v>
      </c>
      <c r="B185" s="55">
        <v>18.8</v>
      </c>
      <c r="C185" s="55">
        <v>20</v>
      </c>
      <c r="D185" s="55">
        <v>20.100000000000001</v>
      </c>
      <c r="E185" s="42">
        <f t="shared" si="43"/>
        <v>58.9</v>
      </c>
      <c r="F185" s="42">
        <f t="shared" si="44"/>
        <v>19.633333333333333</v>
      </c>
      <c r="G185" s="59"/>
      <c r="H185" s="78"/>
      <c r="L185" s="96"/>
      <c r="N185" s="30" t="s">
        <v>109</v>
      </c>
      <c r="O185" s="30" t="s">
        <v>16</v>
      </c>
      <c r="P185" s="42">
        <f>SQRT((2*J178)/(3*2))*L179</f>
        <v>2.1816215965412566</v>
      </c>
      <c r="Q185" s="49"/>
      <c r="S185" s="109"/>
      <c r="T185" s="109"/>
      <c r="U185" s="109"/>
    </row>
    <row r="186" spans="1:21" x14ac:dyDescent="0.25">
      <c r="A186" s="32" t="s">
        <v>101</v>
      </c>
      <c r="B186" s="55">
        <v>16.100000000000001</v>
      </c>
      <c r="C186" s="55">
        <v>10.650000000000006</v>
      </c>
      <c r="D186" s="55">
        <v>17</v>
      </c>
      <c r="E186" s="42">
        <f t="shared" si="43"/>
        <v>43.750000000000007</v>
      </c>
      <c r="F186" s="42">
        <f>E186/3</f>
        <v>14.583333333333336</v>
      </c>
      <c r="G186" s="59"/>
      <c r="H186" s="78"/>
      <c r="L186" s="96"/>
      <c r="Q186" s="49"/>
      <c r="S186" s="109"/>
      <c r="T186" s="109"/>
      <c r="U186" s="109"/>
    </row>
    <row r="187" spans="1:21" x14ac:dyDescent="0.25">
      <c r="A187" s="32" t="s">
        <v>102</v>
      </c>
      <c r="B187" s="55">
        <v>18.3</v>
      </c>
      <c r="C187" s="55">
        <v>17.3</v>
      </c>
      <c r="D187" s="55">
        <v>17.600000000000001</v>
      </c>
      <c r="E187" s="42">
        <f t="shared" si="43"/>
        <v>53.2</v>
      </c>
      <c r="F187" s="42">
        <f t="shared" ref="F187:F188" si="50">E187/3</f>
        <v>17.733333333333334</v>
      </c>
      <c r="G187" s="59"/>
      <c r="H187" s="78"/>
      <c r="L187" s="96"/>
      <c r="S187" s="109"/>
      <c r="T187" s="109"/>
      <c r="U187" s="109"/>
    </row>
    <row r="188" spans="1:21" x14ac:dyDescent="0.25">
      <c r="A188" s="32" t="s">
        <v>103</v>
      </c>
      <c r="B188" s="55">
        <v>14.100000000000001</v>
      </c>
      <c r="C188" s="55">
        <v>15.650000000000006</v>
      </c>
      <c r="D188" s="55">
        <v>11.100000000000001</v>
      </c>
      <c r="E188" s="42">
        <f t="shared" si="43"/>
        <v>40.850000000000009</v>
      </c>
      <c r="F188" s="42">
        <f t="shared" si="50"/>
        <v>13.616666666666669</v>
      </c>
      <c r="G188" s="59"/>
      <c r="H188" s="78"/>
      <c r="L188" s="96"/>
    </row>
    <row r="189" spans="1:21" x14ac:dyDescent="0.25">
      <c r="A189" s="30" t="s">
        <v>4</v>
      </c>
      <c r="B189" s="31">
        <f>SUM(B171:B188)</f>
        <v>316.45000000000005</v>
      </c>
      <c r="C189" s="31">
        <f>SUM(C171:C188)</f>
        <v>309</v>
      </c>
      <c r="D189" s="31">
        <f>SUM(D171:D188)</f>
        <v>312.09000000000009</v>
      </c>
      <c r="E189" s="31">
        <f>SUM(E171:E188)</f>
        <v>937.54000000000008</v>
      </c>
      <c r="F189" s="31">
        <f>AVERAGE(B171:D188)</f>
        <v>17.361851851851853</v>
      </c>
      <c r="G189" s="59"/>
      <c r="H189" s="78"/>
      <c r="L189" s="96"/>
    </row>
    <row r="190" spans="1:21" x14ac:dyDescent="0.25">
      <c r="A190" s="30" t="s">
        <v>5</v>
      </c>
      <c r="B190" s="31">
        <f>B189/18</f>
        <v>17.580555555555559</v>
      </c>
      <c r="C190" s="31">
        <f>C189/18</f>
        <v>17.166666666666668</v>
      </c>
      <c r="D190" s="31">
        <f>D189/18</f>
        <v>17.338333333333338</v>
      </c>
      <c r="G190" s="59"/>
      <c r="H190" s="78"/>
      <c r="L190" s="96"/>
    </row>
    <row r="191" spans="1:21" x14ac:dyDescent="0.25">
      <c r="A191" s="30" t="s">
        <v>26</v>
      </c>
      <c r="B191" s="31">
        <f>(E189*E189)/54</f>
        <v>16277.43058518519</v>
      </c>
      <c r="C191" s="31"/>
      <c r="D191" s="31"/>
      <c r="G191" s="59"/>
      <c r="H191" s="78"/>
      <c r="L191" s="96"/>
    </row>
    <row r="192" spans="1:21" x14ac:dyDescent="0.25">
      <c r="A192" s="30" t="s">
        <v>27</v>
      </c>
      <c r="B192" s="31">
        <f>SUMSQ(B171:D188)-B191</f>
        <v>508.44621481481227</v>
      </c>
      <c r="C192" s="30" t="s">
        <v>28</v>
      </c>
      <c r="D192" s="31">
        <f>(SUMSQ(B189:D189)/18)-B191</f>
        <v>1.5566703703716485</v>
      </c>
      <c r="G192" s="59"/>
      <c r="H192" s="78"/>
      <c r="L192" s="96"/>
    </row>
    <row r="193" spans="1:18" x14ac:dyDescent="0.25">
      <c r="A193" s="30" t="s">
        <v>30</v>
      </c>
      <c r="B193" s="31">
        <f>(SUMSQ(E171:E188)/3)-B191</f>
        <v>389.34374814814146</v>
      </c>
      <c r="C193" s="30" t="s">
        <v>31</v>
      </c>
      <c r="D193" s="31">
        <f>B192-B193-D192</f>
        <v>117.54579629629916</v>
      </c>
      <c r="G193" s="59"/>
      <c r="H193" s="78"/>
      <c r="L193" s="96"/>
    </row>
    <row r="194" spans="1:18" x14ac:dyDescent="0.25">
      <c r="K194" s="50"/>
      <c r="L194" s="96"/>
    </row>
    <row r="195" spans="1:18" x14ac:dyDescent="0.25">
      <c r="K195" s="50"/>
      <c r="L195" s="96"/>
    </row>
    <row r="196" spans="1:18" ht="15.75" x14ac:dyDescent="0.25">
      <c r="C196" s="56" t="s">
        <v>124</v>
      </c>
    </row>
    <row r="197" spans="1:18" ht="15.75" x14ac:dyDescent="0.25">
      <c r="C197" s="110"/>
    </row>
    <row r="199" spans="1:18" x14ac:dyDescent="0.25">
      <c r="A199" s="36" t="s">
        <v>104</v>
      </c>
      <c r="B199" s="38">
        <v>2</v>
      </c>
      <c r="C199" s="39"/>
      <c r="D199" s="39"/>
      <c r="E199" s="39"/>
      <c r="F199" s="39"/>
      <c r="G199" s="39"/>
      <c r="H199" s="39"/>
      <c r="I199" s="39"/>
      <c r="M199" s="35"/>
      <c r="N199" s="35"/>
      <c r="O199" s="39"/>
      <c r="P199" s="39"/>
    </row>
    <row r="200" spans="1:18" x14ac:dyDescent="0.25">
      <c r="A200" s="36" t="s">
        <v>105</v>
      </c>
      <c r="B200" s="38">
        <v>9</v>
      </c>
      <c r="C200" s="39" t="s">
        <v>107</v>
      </c>
      <c r="D200" s="39">
        <v>18</v>
      </c>
      <c r="E200" s="39"/>
      <c r="F200" s="39"/>
      <c r="G200" s="39"/>
      <c r="H200" s="39"/>
      <c r="I200" s="39"/>
      <c r="M200" s="35"/>
      <c r="N200" s="35"/>
      <c r="O200" s="39"/>
      <c r="P200" s="39"/>
    </row>
    <row r="201" spans="1:18" x14ac:dyDescent="0.25">
      <c r="A201" s="37" t="s">
        <v>106</v>
      </c>
      <c r="B201" s="40">
        <v>3</v>
      </c>
    </row>
    <row r="202" spans="1:18" s="41" customFormat="1" x14ac:dyDescent="0.25">
      <c r="A202" s="46" t="s">
        <v>0</v>
      </c>
      <c r="B202" s="30" t="s">
        <v>1</v>
      </c>
      <c r="C202" s="30" t="s">
        <v>2</v>
      </c>
      <c r="D202" s="30" t="s">
        <v>3</v>
      </c>
      <c r="E202" s="30" t="s">
        <v>4</v>
      </c>
      <c r="F202" s="30" t="s">
        <v>5</v>
      </c>
      <c r="O202" s="41" t="s">
        <v>7</v>
      </c>
      <c r="Q202" s="37"/>
    </row>
    <row r="203" spans="1:18" s="41" customFormat="1" x14ac:dyDescent="0.25">
      <c r="A203" s="32" t="s">
        <v>86</v>
      </c>
      <c r="B203" s="115">
        <v>195.67500000000001</v>
      </c>
      <c r="C203" s="115">
        <v>189.5</v>
      </c>
      <c r="D203" s="115">
        <v>180.42099999999999</v>
      </c>
      <c r="E203" s="31">
        <f>SUM(B203:D203)</f>
        <v>565.596</v>
      </c>
      <c r="F203" s="42">
        <f>E203/3</f>
        <v>188.53200000000001</v>
      </c>
      <c r="H203" s="47"/>
      <c r="I203" s="47"/>
      <c r="J203" s="47" t="s">
        <v>6</v>
      </c>
      <c r="K203" s="47"/>
      <c r="L203" s="47"/>
      <c r="M203" s="47"/>
      <c r="N203" s="47"/>
      <c r="O203" s="33">
        <v>1</v>
      </c>
      <c r="P203" s="42">
        <f>SUM(F203:F211)/9</f>
        <v>206.55466666666666</v>
      </c>
      <c r="Q203" s="75">
        <f>RANK(P203,P$203:P$204,0)</f>
        <v>1</v>
      </c>
    </row>
    <row r="204" spans="1:18" s="41" customFormat="1" x14ac:dyDescent="0.25">
      <c r="A204" s="32" t="s">
        <v>87</v>
      </c>
      <c r="B204" s="115">
        <v>202.5</v>
      </c>
      <c r="C204" s="115">
        <v>208.5</v>
      </c>
      <c r="D204" s="115">
        <v>209.9</v>
      </c>
      <c r="E204" s="31">
        <f t="shared" ref="E204:E220" si="51">SUM(B204:D204)</f>
        <v>620.9</v>
      </c>
      <c r="F204" s="42">
        <f t="shared" ref="F204:F217" si="52">E204/3</f>
        <v>206.96666666666667</v>
      </c>
      <c r="G204" s="31"/>
      <c r="H204" s="30" t="s">
        <v>8</v>
      </c>
      <c r="I204" s="30" t="s">
        <v>9</v>
      </c>
      <c r="J204" s="30" t="s">
        <v>10</v>
      </c>
      <c r="K204" s="30" t="s">
        <v>11</v>
      </c>
      <c r="L204" s="30" t="s">
        <v>12</v>
      </c>
      <c r="M204" s="30" t="s">
        <v>112</v>
      </c>
      <c r="N204" s="50"/>
      <c r="O204" s="33">
        <v>2</v>
      </c>
      <c r="P204" s="42">
        <f>SUM(F212:F220)/9</f>
        <v>202.97333333333333</v>
      </c>
      <c r="Q204" s="75">
        <f>RANK(P204,P$203:P$204,0)</f>
        <v>2</v>
      </c>
    </row>
    <row r="205" spans="1:18" s="41" customFormat="1" x14ac:dyDescent="0.25">
      <c r="A205" s="32" t="s">
        <v>88</v>
      </c>
      <c r="B205" s="115">
        <v>219.9</v>
      </c>
      <c r="C205" s="115">
        <v>211.8</v>
      </c>
      <c r="D205" s="115">
        <v>221.54</v>
      </c>
      <c r="E205" s="31">
        <f t="shared" si="51"/>
        <v>653.24</v>
      </c>
      <c r="F205" s="42">
        <f t="shared" si="52"/>
        <v>217.74666666666667</v>
      </c>
      <c r="G205" s="31" t="s">
        <v>13</v>
      </c>
      <c r="H205" s="31">
        <f>B201-1</f>
        <v>2</v>
      </c>
      <c r="I205" s="31">
        <f>D224</f>
        <v>42.565440779086202</v>
      </c>
      <c r="J205" s="31">
        <f>I205/H205</f>
        <v>21.282720389543101</v>
      </c>
      <c r="K205" s="31">
        <f>J205/$J$16</f>
        <v>0.29487139784537802</v>
      </c>
      <c r="L205" s="31">
        <f>FINV(0.05,H205,$H$16)</f>
        <v>3.275897990672394</v>
      </c>
      <c r="M205" s="31" t="str">
        <f>IF(K205&gt;=L205, "S", "NS")</f>
        <v>NS</v>
      </c>
      <c r="N205" s="39"/>
      <c r="O205" s="30" t="s">
        <v>14</v>
      </c>
      <c r="P205" s="42">
        <f>SQRT(J210/(3*9))</f>
        <v>1.1678893778975126</v>
      </c>
      <c r="Q205" s="37"/>
    </row>
    <row r="206" spans="1:18" s="41" customFormat="1" x14ac:dyDescent="0.25">
      <c r="A206" s="32" t="s">
        <v>89</v>
      </c>
      <c r="B206" s="115">
        <v>202.5</v>
      </c>
      <c r="C206" s="115">
        <v>204.54</v>
      </c>
      <c r="D206" s="115">
        <v>202.65</v>
      </c>
      <c r="E206" s="31">
        <f t="shared" si="51"/>
        <v>609.68999999999994</v>
      </c>
      <c r="F206" s="42">
        <f t="shared" si="52"/>
        <v>203.23</v>
      </c>
      <c r="G206" s="31" t="s">
        <v>15</v>
      </c>
      <c r="H206" s="31">
        <f>D200-1</f>
        <v>17</v>
      </c>
      <c r="I206" s="31">
        <f>B225</f>
        <v>4727.2196213337593</v>
      </c>
      <c r="J206" s="31">
        <f t="shared" ref="J206:J210" si="53">I206/H206</f>
        <v>278.07174243139758</v>
      </c>
      <c r="K206" s="31">
        <f>J206/$J$16</f>
        <v>3.8526749349360974</v>
      </c>
      <c r="L206" s="31">
        <f>FINV(0.05,H206,$H$16)</f>
        <v>1.9332068318040869</v>
      </c>
      <c r="M206" s="43" t="str">
        <f t="shared" ref="M206" si="54">IF(K206&gt;=L206, "S", "NS")</f>
        <v>S</v>
      </c>
      <c r="N206" s="30" t="s">
        <v>113</v>
      </c>
      <c r="O206" s="30" t="s">
        <v>16</v>
      </c>
      <c r="P206" s="42">
        <f>SQRT((2*J210)/(3*9))*L211</f>
        <v>3.3565464776621217</v>
      </c>
      <c r="Q206" s="37"/>
    </row>
    <row r="207" spans="1:18" s="41" customFormat="1" x14ac:dyDescent="0.25">
      <c r="A207" s="32" t="s">
        <v>90</v>
      </c>
      <c r="B207" s="115">
        <v>213.56</v>
      </c>
      <c r="C207" s="115">
        <v>213.65</v>
      </c>
      <c r="D207" s="115">
        <v>197.15</v>
      </c>
      <c r="E207" s="31">
        <f t="shared" si="51"/>
        <v>624.36</v>
      </c>
      <c r="F207" s="42">
        <f t="shared" si="52"/>
        <v>208.12</v>
      </c>
      <c r="G207" s="31" t="s">
        <v>108</v>
      </c>
      <c r="H207" s="31">
        <f>B199-1</f>
        <v>1</v>
      </c>
      <c r="I207" s="31">
        <f>(SUM(E203:E211)^2+SUM(E212:E220)^2)/27-B223</f>
        <v>173.15030400082469</v>
      </c>
      <c r="J207" s="31">
        <f t="shared" si="53"/>
        <v>173.15030400082469</v>
      </c>
      <c r="K207" s="31">
        <f>J207/$J$16</f>
        <v>2.3989918226413076</v>
      </c>
      <c r="L207" s="31">
        <f>FINV(0.05,H207,$H$16)</f>
        <v>4.1300177456520188</v>
      </c>
      <c r="M207" s="31" t="str">
        <f>IF(K207&gt;=L207, "S", "NS")</f>
        <v>NS</v>
      </c>
      <c r="N207" s="39"/>
      <c r="O207" s="33">
        <v>1</v>
      </c>
      <c r="P207" s="42">
        <f>(F203+F212)/2</f>
        <v>186.00600000000003</v>
      </c>
      <c r="Q207" s="75">
        <f>RANK(P207,P$207:P$215,0)</f>
        <v>9</v>
      </c>
      <c r="R207" s="51">
        <v>9</v>
      </c>
    </row>
    <row r="208" spans="1:18" s="41" customFormat="1" x14ac:dyDescent="0.25">
      <c r="A208" s="32" t="s">
        <v>91</v>
      </c>
      <c r="B208" s="115">
        <v>217.15</v>
      </c>
      <c r="C208" s="115">
        <v>226.5</v>
      </c>
      <c r="D208" s="115">
        <v>217.8</v>
      </c>
      <c r="E208" s="31">
        <f t="shared" si="51"/>
        <v>661.45</v>
      </c>
      <c r="F208" s="42">
        <f t="shared" si="52"/>
        <v>220.48333333333335</v>
      </c>
      <c r="G208" s="31" t="s">
        <v>109</v>
      </c>
      <c r="H208" s="31">
        <f>B200-1</f>
        <v>8</v>
      </c>
      <c r="I208" s="31">
        <f>((E203+E212)^2+(E204+E213)^2+(E205+E214)^2+(E206+E215)^2+(E207+E216)^2+(E208+E217)^2+(E209+E218)^2+(E210+E219)^2+(E211+E220)^2/6)-B223</f>
        <v>10166252.658911999</v>
      </c>
      <c r="J208" s="31">
        <f t="shared" si="53"/>
        <v>1270781.5823639999</v>
      </c>
      <c r="K208" s="31">
        <f>J208/$J$16</f>
        <v>17606.637435877081</v>
      </c>
      <c r="L208" s="31">
        <f>FINV(0.05,H208,$H$16)</f>
        <v>2.2253399674380931</v>
      </c>
      <c r="M208" s="31" t="str">
        <f>IF(K208&gt;=L208, "S", "NS")</f>
        <v>S</v>
      </c>
      <c r="N208" s="39"/>
      <c r="O208" s="33">
        <v>2</v>
      </c>
      <c r="P208" s="42">
        <f t="shared" ref="P208:P215" si="55">(F204+F213)/2</f>
        <v>204.97666666666669</v>
      </c>
      <c r="Q208" s="75">
        <f t="shared" ref="Q208:Q215" si="56">RANK(P208,P$207:P$215,0)</f>
        <v>5</v>
      </c>
      <c r="R208" s="52">
        <v>5</v>
      </c>
    </row>
    <row r="209" spans="1:18" s="41" customFormat="1" x14ac:dyDescent="0.25">
      <c r="A209" s="32" t="s">
        <v>92</v>
      </c>
      <c r="B209" s="115">
        <v>205.56</v>
      </c>
      <c r="C209" s="115">
        <v>206.65</v>
      </c>
      <c r="D209" s="115">
        <v>204.54</v>
      </c>
      <c r="E209" s="31">
        <f t="shared" si="51"/>
        <v>616.75</v>
      </c>
      <c r="F209" s="42">
        <f t="shared" si="52"/>
        <v>205.58333333333334</v>
      </c>
      <c r="G209" s="26" t="s">
        <v>110</v>
      </c>
      <c r="H209" s="31">
        <f>H207*H208</f>
        <v>8</v>
      </c>
      <c r="I209" s="31">
        <f>I206-(I207+I208)</f>
        <v>-10161698.589594666</v>
      </c>
      <c r="J209" s="31">
        <f t="shared" si="53"/>
        <v>-1270212.3236993332</v>
      </c>
      <c r="K209" s="44">
        <f>J209/$J$16</f>
        <v>-17598.750375618172</v>
      </c>
      <c r="L209" s="31">
        <f>FINV(0.05,H209,$H$16)</f>
        <v>2.2253399674380931</v>
      </c>
      <c r="M209" s="31" t="str">
        <f t="shared" ref="M209" si="57">IF(K209&gt;=L209, "S", "NS")</f>
        <v>NS</v>
      </c>
      <c r="N209" s="39"/>
      <c r="O209" s="33">
        <v>3</v>
      </c>
      <c r="P209" s="42">
        <f t="shared" si="55"/>
        <v>215.94</v>
      </c>
      <c r="Q209" s="75">
        <f t="shared" si="56"/>
        <v>2</v>
      </c>
      <c r="R209" s="52">
        <v>2</v>
      </c>
    </row>
    <row r="210" spans="1:18" s="41" customFormat="1" x14ac:dyDescent="0.25">
      <c r="A210" s="32" t="s">
        <v>93</v>
      </c>
      <c r="B210" s="115">
        <v>203.1</v>
      </c>
      <c r="C210" s="115">
        <v>202.5</v>
      </c>
      <c r="D210" s="115">
        <v>213.65</v>
      </c>
      <c r="E210" s="31">
        <f t="shared" si="51"/>
        <v>619.25</v>
      </c>
      <c r="F210" s="42">
        <f t="shared" si="52"/>
        <v>206.41666666666666</v>
      </c>
      <c r="G210" s="45" t="s">
        <v>23</v>
      </c>
      <c r="H210" s="31">
        <f>((B201-1)*(B199*B200-1))</f>
        <v>34</v>
      </c>
      <c r="I210" s="31">
        <f>D225</f>
        <v>1252.1204198873602</v>
      </c>
      <c r="J210" s="31">
        <f t="shared" si="53"/>
        <v>36.827071173157655</v>
      </c>
      <c r="O210" s="33">
        <v>4</v>
      </c>
      <c r="P210" s="42">
        <f t="shared" si="55"/>
        <v>200.95</v>
      </c>
      <c r="Q210" s="75">
        <f t="shared" si="56"/>
        <v>7</v>
      </c>
      <c r="R210" s="52">
        <v>7</v>
      </c>
    </row>
    <row r="211" spans="1:18" x14ac:dyDescent="0.25">
      <c r="A211" s="32" t="s">
        <v>94</v>
      </c>
      <c r="B211" s="115">
        <v>205.54</v>
      </c>
      <c r="C211" s="115">
        <v>203.56</v>
      </c>
      <c r="D211" s="115">
        <v>196.64</v>
      </c>
      <c r="E211" s="31">
        <f t="shared" si="51"/>
        <v>605.74</v>
      </c>
      <c r="F211" s="42">
        <f t="shared" si="52"/>
        <v>201.91333333333333</v>
      </c>
      <c r="G211" s="44" t="s">
        <v>4</v>
      </c>
      <c r="H211" s="31">
        <f>SUM(H205:H210)-H206</f>
        <v>53</v>
      </c>
      <c r="I211" s="31">
        <f>B224</f>
        <v>6021.9054820002057</v>
      </c>
      <c r="K211" s="31" t="s">
        <v>111</v>
      </c>
      <c r="L211" s="41">
        <f>TINV(0.05,34)</f>
        <v>2.0322445093177191</v>
      </c>
      <c r="O211" s="33">
        <v>5</v>
      </c>
      <c r="P211" s="42">
        <f t="shared" si="55"/>
        <v>206.875</v>
      </c>
      <c r="Q211" s="75">
        <f t="shared" si="56"/>
        <v>3</v>
      </c>
      <c r="R211" s="51">
        <v>3</v>
      </c>
    </row>
    <row r="212" spans="1:18" x14ac:dyDescent="0.25">
      <c r="A212" s="32" t="s">
        <v>95</v>
      </c>
      <c r="B212" s="115">
        <v>176.3</v>
      </c>
      <c r="C212" s="115">
        <v>181.04</v>
      </c>
      <c r="D212" s="115">
        <v>193.1</v>
      </c>
      <c r="E212" s="31">
        <f t="shared" si="51"/>
        <v>550.44000000000005</v>
      </c>
      <c r="F212" s="42">
        <f t="shared" si="52"/>
        <v>183.48000000000002</v>
      </c>
      <c r="G212" s="34" t="s">
        <v>14</v>
      </c>
      <c r="H212" s="31">
        <f>SQRT(J210/3)</f>
        <v>3.5036681336925377</v>
      </c>
      <c r="O212" s="33">
        <v>6</v>
      </c>
      <c r="P212" s="42">
        <f t="shared" si="55"/>
        <v>219.41666666666669</v>
      </c>
      <c r="Q212" s="75">
        <f t="shared" si="56"/>
        <v>1</v>
      </c>
      <c r="R212" s="52">
        <v>1</v>
      </c>
    </row>
    <row r="213" spans="1:18" x14ac:dyDescent="0.25">
      <c r="A213" s="32" t="s">
        <v>96</v>
      </c>
      <c r="B213" s="115">
        <v>198.8</v>
      </c>
      <c r="C213" s="115">
        <v>208.06</v>
      </c>
      <c r="D213" s="115">
        <v>202.1</v>
      </c>
      <c r="E213" s="31">
        <f t="shared" si="51"/>
        <v>608.96</v>
      </c>
      <c r="F213" s="42">
        <f t="shared" si="52"/>
        <v>202.98666666666668</v>
      </c>
      <c r="G213" s="34" t="s">
        <v>16</v>
      </c>
      <c r="H213" s="31">
        <f>(SQRT((2*J210)/3))*L211</f>
        <v>10.069639432986365</v>
      </c>
      <c r="O213" s="33">
        <v>7</v>
      </c>
      <c r="P213" s="42">
        <f t="shared" si="55"/>
        <v>204.20666666666668</v>
      </c>
      <c r="Q213" s="75">
        <f t="shared" si="56"/>
        <v>6</v>
      </c>
      <c r="R213" s="52">
        <v>6</v>
      </c>
    </row>
    <row r="214" spans="1:18" x14ac:dyDescent="0.25">
      <c r="A214" s="32" t="s">
        <v>97</v>
      </c>
      <c r="B214" s="115">
        <v>217.3</v>
      </c>
      <c r="C214" s="115">
        <v>210.1</v>
      </c>
      <c r="D214" s="115">
        <v>215</v>
      </c>
      <c r="E214" s="31">
        <f t="shared" si="51"/>
        <v>642.4</v>
      </c>
      <c r="F214" s="42">
        <f t="shared" si="52"/>
        <v>214.13333333333333</v>
      </c>
      <c r="G214" s="34" t="s">
        <v>29</v>
      </c>
      <c r="H214" s="31">
        <f>((SQRT(J210))/F221)*100</f>
        <v>2.9636709677558071</v>
      </c>
      <c r="L214" s="80"/>
      <c r="O214" s="33">
        <v>8</v>
      </c>
      <c r="P214" s="42">
        <f t="shared" si="55"/>
        <v>206.05499999999998</v>
      </c>
      <c r="Q214" s="75">
        <f t="shared" si="56"/>
        <v>4</v>
      </c>
      <c r="R214" s="51">
        <v>4</v>
      </c>
    </row>
    <row r="215" spans="1:18" x14ac:dyDescent="0.25">
      <c r="A215" s="32" t="s">
        <v>98</v>
      </c>
      <c r="B215" s="115">
        <v>200.95</v>
      </c>
      <c r="C215" s="115">
        <v>198.06</v>
      </c>
      <c r="D215" s="115">
        <v>197</v>
      </c>
      <c r="E215" s="31">
        <f t="shared" si="51"/>
        <v>596.01</v>
      </c>
      <c r="F215" s="42">
        <f t="shared" si="52"/>
        <v>198.67</v>
      </c>
      <c r="O215" s="33">
        <v>9</v>
      </c>
      <c r="P215" s="42">
        <f t="shared" si="55"/>
        <v>198.45</v>
      </c>
      <c r="Q215" s="75">
        <f t="shared" si="56"/>
        <v>8</v>
      </c>
      <c r="R215" s="52">
        <v>8</v>
      </c>
    </row>
    <row r="216" spans="1:18" x14ac:dyDescent="0.25">
      <c r="A216" s="32" t="s">
        <v>99</v>
      </c>
      <c r="B216" s="115">
        <v>195.08</v>
      </c>
      <c r="C216" s="115">
        <v>210.06</v>
      </c>
      <c r="D216" s="115">
        <v>211.75</v>
      </c>
      <c r="E216" s="31">
        <f t="shared" si="51"/>
        <v>616.89</v>
      </c>
      <c r="F216" s="42">
        <f t="shared" si="52"/>
        <v>205.63</v>
      </c>
      <c r="O216" s="30" t="s">
        <v>14</v>
      </c>
      <c r="P216" s="42">
        <f>SQRT(J210/(3*2))</f>
        <v>2.4774674963612089</v>
      </c>
      <c r="Q216" s="49"/>
    </row>
    <row r="217" spans="1:18" x14ac:dyDescent="0.25">
      <c r="A217" s="32" t="s">
        <v>100</v>
      </c>
      <c r="B217" s="115">
        <v>211.1</v>
      </c>
      <c r="C217" s="115">
        <v>226.65</v>
      </c>
      <c r="D217" s="115">
        <v>217.3</v>
      </c>
      <c r="E217" s="31">
        <f t="shared" si="51"/>
        <v>655.04999999999995</v>
      </c>
      <c r="F217" s="42">
        <f t="shared" si="52"/>
        <v>218.35</v>
      </c>
      <c r="G217" s="59"/>
      <c r="H217" s="78"/>
      <c r="N217" s="30" t="s">
        <v>109</v>
      </c>
      <c r="O217" s="30" t="s">
        <v>16</v>
      </c>
      <c r="P217" s="42">
        <f>SQRT((2*J210)/(3*2))*L211</f>
        <v>7.1203103271681201</v>
      </c>
      <c r="Q217" s="49"/>
    </row>
    <row r="218" spans="1:18" x14ac:dyDescent="0.25">
      <c r="A218" s="32" t="s">
        <v>101</v>
      </c>
      <c r="B218" s="115">
        <v>204.15</v>
      </c>
      <c r="C218" s="115">
        <v>197.65</v>
      </c>
      <c r="D218" s="115">
        <v>206.69</v>
      </c>
      <c r="E218" s="31">
        <f t="shared" si="51"/>
        <v>608.49</v>
      </c>
      <c r="F218" s="42">
        <f>E218/3</f>
        <v>202.83</v>
      </c>
      <c r="G218" s="59"/>
      <c r="H218" s="78"/>
      <c r="Q218" s="49"/>
    </row>
    <row r="219" spans="1:18" x14ac:dyDescent="0.25">
      <c r="A219" s="32" t="s">
        <v>102</v>
      </c>
      <c r="B219" s="115">
        <v>202</v>
      </c>
      <c r="C219" s="115">
        <v>203.9</v>
      </c>
      <c r="D219" s="115">
        <v>211.18</v>
      </c>
      <c r="E219" s="31">
        <f t="shared" si="51"/>
        <v>617.07999999999993</v>
      </c>
      <c r="F219" s="42">
        <f t="shared" ref="F219:F220" si="58">E219/3</f>
        <v>205.6933333333333</v>
      </c>
      <c r="G219" s="59"/>
      <c r="H219" s="78"/>
    </row>
    <row r="220" spans="1:18" x14ac:dyDescent="0.25">
      <c r="A220" s="32" t="s">
        <v>103</v>
      </c>
      <c r="B220" s="115">
        <v>195.06</v>
      </c>
      <c r="C220" s="115">
        <v>202.65</v>
      </c>
      <c r="D220" s="115">
        <v>187.25</v>
      </c>
      <c r="E220" s="31">
        <f t="shared" si="51"/>
        <v>584.96</v>
      </c>
      <c r="F220" s="42">
        <f t="shared" si="58"/>
        <v>194.98666666666668</v>
      </c>
      <c r="G220" s="59"/>
      <c r="H220" s="78"/>
    </row>
    <row r="221" spans="1:18" x14ac:dyDescent="0.25">
      <c r="A221" s="30" t="s">
        <v>4</v>
      </c>
      <c r="B221" s="31">
        <f>SUM(B203:B220)</f>
        <v>3666.2249999999999</v>
      </c>
      <c r="C221" s="31">
        <f t="shared" ref="C221:D221" si="59">SUM(C203:C220)</f>
        <v>3705.3700000000003</v>
      </c>
      <c r="D221" s="31">
        <f t="shared" si="59"/>
        <v>3685.6610000000001</v>
      </c>
      <c r="E221" s="31">
        <f>SUM(E203:E220)</f>
        <v>11057.255999999998</v>
      </c>
      <c r="F221" s="42">
        <f>AVERAGE(B203:D220)</f>
        <v>204.76400000000001</v>
      </c>
      <c r="G221" s="59"/>
      <c r="H221" s="78"/>
    </row>
    <row r="222" spans="1:18" x14ac:dyDescent="0.25">
      <c r="A222" s="30" t="s">
        <v>5</v>
      </c>
      <c r="B222" s="31">
        <f>B221/18</f>
        <v>203.67916666666667</v>
      </c>
      <c r="C222" s="31">
        <f>C221/18</f>
        <v>205.85388888888892</v>
      </c>
      <c r="D222" s="31">
        <f>D221/18</f>
        <v>204.75894444444444</v>
      </c>
      <c r="G222" s="59"/>
      <c r="H222" s="78"/>
    </row>
    <row r="223" spans="1:18" x14ac:dyDescent="0.25">
      <c r="A223" s="30" t="s">
        <v>26</v>
      </c>
      <c r="B223" s="31">
        <f>(E221*E221)/54</f>
        <v>2264127.967583999</v>
      </c>
      <c r="C223" s="31"/>
      <c r="D223" s="31"/>
      <c r="G223" s="59"/>
      <c r="H223" s="78"/>
    </row>
    <row r="224" spans="1:18" x14ac:dyDescent="0.25">
      <c r="A224" s="30" t="s">
        <v>27</v>
      </c>
      <c r="B224" s="31">
        <f>SUMSQ(B203:D220)-B223</f>
        <v>6021.9054820002057</v>
      </c>
      <c r="C224" s="30" t="s">
        <v>28</v>
      </c>
      <c r="D224" s="31">
        <f>(SUMSQ(B221:D221)/18)-B223</f>
        <v>42.565440779086202</v>
      </c>
      <c r="G224" s="59"/>
      <c r="H224" s="78"/>
    </row>
    <row r="225" spans="1:19" x14ac:dyDescent="0.25">
      <c r="A225" s="30" t="s">
        <v>30</v>
      </c>
      <c r="B225" s="31">
        <f>(SUMSQ(E203:E220)/3)-B223</f>
        <v>4727.2196213337593</v>
      </c>
      <c r="C225" s="30" t="s">
        <v>31</v>
      </c>
      <c r="D225" s="31">
        <f>B224-B225-D224</f>
        <v>1252.1204198873602</v>
      </c>
      <c r="G225" s="59"/>
      <c r="H225" s="78"/>
    </row>
    <row r="229" spans="1:19" ht="15.75" x14ac:dyDescent="0.25">
      <c r="C229" s="56" t="s">
        <v>138</v>
      </c>
    </row>
    <row r="230" spans="1:19" x14ac:dyDescent="0.25">
      <c r="C230" s="48"/>
    </row>
    <row r="231" spans="1:19" x14ac:dyDescent="0.25">
      <c r="A231" s="36" t="s">
        <v>104</v>
      </c>
      <c r="B231" s="38">
        <v>2</v>
      </c>
      <c r="C231" s="39"/>
      <c r="D231" s="39"/>
      <c r="E231" s="39"/>
      <c r="F231" s="39"/>
      <c r="G231" s="39"/>
      <c r="H231" s="39"/>
      <c r="L231" s="39"/>
      <c r="M231" s="35"/>
      <c r="N231" s="35"/>
      <c r="O231" s="39"/>
      <c r="P231" s="39"/>
    </row>
    <row r="232" spans="1:19" x14ac:dyDescent="0.25">
      <c r="A232" s="36" t="s">
        <v>105</v>
      </c>
      <c r="B232" s="38">
        <v>9</v>
      </c>
      <c r="C232" s="39" t="s">
        <v>107</v>
      </c>
      <c r="D232" s="39">
        <v>18</v>
      </c>
      <c r="E232" s="39"/>
      <c r="F232" s="39"/>
      <c r="G232" s="39"/>
      <c r="H232" s="39"/>
      <c r="L232" s="39"/>
      <c r="M232" s="35"/>
      <c r="N232" s="35"/>
      <c r="O232" s="39"/>
      <c r="P232" s="39"/>
    </row>
    <row r="233" spans="1:19" x14ac:dyDescent="0.25">
      <c r="A233" s="37" t="s">
        <v>106</v>
      </c>
      <c r="B233" s="40">
        <v>3</v>
      </c>
    </row>
    <row r="234" spans="1:19" x14ac:dyDescent="0.25">
      <c r="A234" s="46" t="s">
        <v>0</v>
      </c>
      <c r="B234" s="30" t="s">
        <v>1</v>
      </c>
      <c r="C234" s="30" t="s">
        <v>2</v>
      </c>
      <c r="D234" s="30" t="s">
        <v>3</v>
      </c>
      <c r="E234" s="30" t="s">
        <v>4</v>
      </c>
      <c r="F234" s="30" t="s">
        <v>5</v>
      </c>
      <c r="O234" s="41" t="s">
        <v>7</v>
      </c>
      <c r="R234" s="41"/>
      <c r="S234" s="41"/>
    </row>
    <row r="235" spans="1:19" x14ac:dyDescent="0.25">
      <c r="A235" s="32" t="s">
        <v>86</v>
      </c>
      <c r="B235" s="57">
        <v>0.44150000000000017</v>
      </c>
      <c r="C235" s="57">
        <v>0.41549999999999992</v>
      </c>
      <c r="D235" s="57">
        <v>0.40649999999999997</v>
      </c>
      <c r="E235" s="31">
        <f>SUM(B235:D235)</f>
        <v>1.2635000000000001</v>
      </c>
      <c r="F235" s="31">
        <f>E235/3</f>
        <v>0.42116666666666669</v>
      </c>
      <c r="H235" s="47"/>
      <c r="I235" s="47"/>
      <c r="J235" s="47" t="s">
        <v>6</v>
      </c>
      <c r="K235" s="47"/>
      <c r="L235" s="47"/>
      <c r="M235" s="47"/>
      <c r="N235" s="47"/>
      <c r="O235" s="33">
        <v>1</v>
      </c>
      <c r="P235" s="42">
        <f>SUM(F235:F243)/9</f>
        <v>0.48057407407407404</v>
      </c>
      <c r="Q235" s="75">
        <f>RANK(P235,P$235:P$236,0)</f>
        <v>1</v>
      </c>
      <c r="R235" s="41"/>
      <c r="S235" s="41"/>
    </row>
    <row r="236" spans="1:19" x14ac:dyDescent="0.25">
      <c r="A236" s="32" t="s">
        <v>87</v>
      </c>
      <c r="B236" s="57">
        <v>0.50649999999999995</v>
      </c>
      <c r="C236" s="57">
        <v>0.49549999999999994</v>
      </c>
      <c r="D236" s="57">
        <v>0.47449999999999992</v>
      </c>
      <c r="E236" s="31">
        <f t="shared" ref="E236:E252" si="60">SUM(B236:D236)</f>
        <v>1.4764999999999997</v>
      </c>
      <c r="F236" s="31">
        <f t="shared" ref="F236:F249" si="61">E236/3</f>
        <v>0.49216666666666659</v>
      </c>
      <c r="G236" s="31"/>
      <c r="H236" s="30" t="s">
        <v>8</v>
      </c>
      <c r="I236" s="30" t="s">
        <v>9</v>
      </c>
      <c r="J236" s="30" t="s">
        <v>10</v>
      </c>
      <c r="K236" s="30" t="s">
        <v>11</v>
      </c>
      <c r="L236" s="30" t="s">
        <v>12</v>
      </c>
      <c r="M236" s="30" t="s">
        <v>112</v>
      </c>
      <c r="N236" s="50"/>
      <c r="O236" s="33">
        <v>2</v>
      </c>
      <c r="P236" s="42">
        <f>SUM(F244:F252)/9</f>
        <v>0.46783333333333332</v>
      </c>
      <c r="Q236" s="75">
        <f>RANK(P236,P$235:P$236,0)</f>
        <v>2</v>
      </c>
      <c r="R236" s="41"/>
      <c r="S236" s="41"/>
    </row>
    <row r="237" spans="1:19" x14ac:dyDescent="0.25">
      <c r="A237" s="32" t="s">
        <v>88</v>
      </c>
      <c r="B237" s="57">
        <v>0.50549999999999995</v>
      </c>
      <c r="C237" s="57">
        <v>0.51549999999999996</v>
      </c>
      <c r="D237" s="57">
        <v>0.52549999999999997</v>
      </c>
      <c r="E237" s="31">
        <f t="shared" si="60"/>
        <v>1.5465</v>
      </c>
      <c r="F237" s="31">
        <f t="shared" si="61"/>
        <v>0.51549999999999996</v>
      </c>
      <c r="G237" s="31" t="s">
        <v>13</v>
      </c>
      <c r="H237" s="31">
        <f>B233-1</f>
        <v>2</v>
      </c>
      <c r="I237" s="31">
        <f>D256</f>
        <v>3.8770370370500018E-4</v>
      </c>
      <c r="J237" s="31">
        <f>I237/H237</f>
        <v>1.9385185185250009E-4</v>
      </c>
      <c r="K237" s="31">
        <f>J237/$J$16</f>
        <v>2.6858110939025954E-6</v>
      </c>
      <c r="L237" s="31">
        <f>FINV(0.05,H237,$H$16)</f>
        <v>3.275897990672394</v>
      </c>
      <c r="M237" s="31" t="str">
        <f>IF(K237&gt;=L237, "S", "NS")</f>
        <v>NS</v>
      </c>
      <c r="N237" s="39"/>
      <c r="O237" s="30" t="s">
        <v>14</v>
      </c>
      <c r="P237" s="99">
        <f>SQRT(J242/(3*9))</f>
        <v>3.5285375070409361E-3</v>
      </c>
      <c r="R237" s="41"/>
      <c r="S237" s="41"/>
    </row>
    <row r="238" spans="1:19" x14ac:dyDescent="0.25">
      <c r="A238" s="32" t="s">
        <v>89</v>
      </c>
      <c r="B238" s="57">
        <v>0.45549999999999996</v>
      </c>
      <c r="C238" s="57">
        <v>0.44549999999999995</v>
      </c>
      <c r="D238" s="57">
        <v>0.45149999999999996</v>
      </c>
      <c r="E238" s="31">
        <f t="shared" si="60"/>
        <v>1.3524999999999998</v>
      </c>
      <c r="F238" s="31">
        <f t="shared" si="61"/>
        <v>0.45083333333333325</v>
      </c>
      <c r="G238" s="31" t="s">
        <v>15</v>
      </c>
      <c r="H238" s="31">
        <f>D232-1</f>
        <v>17</v>
      </c>
      <c r="I238" s="31">
        <f>B257</f>
        <v>7.1881925925925572E-2</v>
      </c>
      <c r="J238" s="31">
        <f t="shared" ref="J238:J242" si="62">I238/H238</f>
        <v>4.2283485838779744E-3</v>
      </c>
      <c r="K238" s="31">
        <f>J238/$J$16</f>
        <v>5.8583631917573184E-5</v>
      </c>
      <c r="L238" s="31">
        <f>FINV(0.05,H238,$H$16)</f>
        <v>1.9332068318040869</v>
      </c>
      <c r="M238" s="43" t="str">
        <f t="shared" ref="M238" si="63">IF(K238&gt;=L238, "S", "NS")</f>
        <v>NS</v>
      </c>
      <c r="N238" s="30" t="s">
        <v>113</v>
      </c>
      <c r="O238" s="30" t="s">
        <v>16</v>
      </c>
      <c r="P238" s="99">
        <f>SQRT((2*J242)/(3*9))*L243</f>
        <v>1.0141114702043531E-2</v>
      </c>
      <c r="R238" s="41"/>
      <c r="S238" s="41"/>
    </row>
    <row r="239" spans="1:19" x14ac:dyDescent="0.25">
      <c r="A239" s="32" t="s">
        <v>90</v>
      </c>
      <c r="B239" s="57">
        <v>0.51849999999999996</v>
      </c>
      <c r="C239" s="57">
        <v>0.49549999999999994</v>
      </c>
      <c r="D239" s="57">
        <v>0.51549999999999996</v>
      </c>
      <c r="E239" s="31">
        <f t="shared" si="60"/>
        <v>1.5294999999999996</v>
      </c>
      <c r="F239" s="31">
        <f t="shared" si="61"/>
        <v>0.50983333333333325</v>
      </c>
      <c r="G239" s="31" t="s">
        <v>108</v>
      </c>
      <c r="H239" s="31">
        <f>B231-1</f>
        <v>1</v>
      </c>
      <c r="I239" s="31">
        <f>(SUM(E235:E243)^2+SUM(E244:E252)^2)/27-B255</f>
        <v>2.1914074074107504E-3</v>
      </c>
      <c r="J239" s="31">
        <f t="shared" si="62"/>
        <v>2.1914074074107504E-3</v>
      </c>
      <c r="K239" s="31">
        <f>J239/$J$16</f>
        <v>3.0361878258261326E-5</v>
      </c>
      <c r="L239" s="31">
        <f>FINV(0.05,H239,$H$16)</f>
        <v>4.1300177456520188</v>
      </c>
      <c r="M239" s="31" t="str">
        <f>IF(K239&gt;=L239, "S", "NS")</f>
        <v>NS</v>
      </c>
      <c r="N239" s="39"/>
      <c r="O239" s="33">
        <v>1</v>
      </c>
      <c r="P239" s="42">
        <f>(F235+F244)/2</f>
        <v>0.41066666666666674</v>
      </c>
      <c r="Q239" s="75">
        <f>RANK(P239,P$239:P$247,0)</f>
        <v>9</v>
      </c>
      <c r="R239" s="51">
        <v>9</v>
      </c>
      <c r="S239" s="41"/>
    </row>
    <row r="240" spans="1:19" x14ac:dyDescent="0.25">
      <c r="A240" s="32" t="s">
        <v>91</v>
      </c>
      <c r="B240" s="57">
        <v>0.52549999999999997</v>
      </c>
      <c r="C240" s="57">
        <v>0.53549999999999998</v>
      </c>
      <c r="D240" s="57">
        <v>0.53549999999999998</v>
      </c>
      <c r="E240" s="31">
        <f t="shared" si="60"/>
        <v>1.5964999999999998</v>
      </c>
      <c r="F240" s="31">
        <f t="shared" si="61"/>
        <v>0.53216666666666657</v>
      </c>
      <c r="G240" s="31" t="s">
        <v>109</v>
      </c>
      <c r="H240" s="31">
        <f>B232-1</f>
        <v>8</v>
      </c>
      <c r="I240" s="31">
        <f>((E235+E244)^2+(E236+E245)^2+(E237+E246)^2+(E238+E247)^2+(E239+E248)^2+(E240+E249)^2+(E241+E250)^2+(E242+E251)^2+(E243+E252)^2/6)-B255</f>
        <v>55.476986759259233</v>
      </c>
      <c r="J240" s="31">
        <f t="shared" si="62"/>
        <v>6.9346233449074042</v>
      </c>
      <c r="K240" s="31">
        <f>J240/$J$16</f>
        <v>9.6078980591631766E-2</v>
      </c>
      <c r="L240" s="31">
        <f>FINV(0.05,H240,$H$16)</f>
        <v>2.2253399674380931</v>
      </c>
      <c r="M240" s="31" t="str">
        <f>IF(K240&gt;=L240, "S", "NS")</f>
        <v>NS</v>
      </c>
      <c r="N240" s="39"/>
      <c r="O240" s="33">
        <v>2</v>
      </c>
      <c r="P240" s="42">
        <f t="shared" ref="P240:P247" si="64">(F236+F245)/2</f>
        <v>0.48299999999999993</v>
      </c>
      <c r="Q240" s="75">
        <f t="shared" ref="Q240:Q247" si="65">RANK(P240,P$239:P$247,0)</f>
        <v>5</v>
      </c>
      <c r="R240" s="52">
        <v>5</v>
      </c>
      <c r="S240" s="41"/>
    </row>
    <row r="241" spans="1:19" x14ac:dyDescent="0.25">
      <c r="A241" s="32" t="s">
        <v>92</v>
      </c>
      <c r="B241" s="57">
        <v>0.46549999999999997</v>
      </c>
      <c r="C241" s="57">
        <v>0.45249999999999996</v>
      </c>
      <c r="D241" s="57">
        <v>0.45949999999999996</v>
      </c>
      <c r="E241" s="31">
        <f t="shared" si="60"/>
        <v>1.3774999999999999</v>
      </c>
      <c r="F241" s="31">
        <f t="shared" si="61"/>
        <v>0.45916666666666667</v>
      </c>
      <c r="G241" s="26" t="s">
        <v>110</v>
      </c>
      <c r="H241" s="31">
        <f>H239*H240</f>
        <v>8</v>
      </c>
      <c r="I241" s="31">
        <f>I238-(I239+I240)</f>
        <v>-55.40729624074072</v>
      </c>
      <c r="J241" s="31">
        <f t="shared" si="62"/>
        <v>-6.92591203009259</v>
      </c>
      <c r="K241" s="44">
        <f>J241/$J$16</f>
        <v>-9.5958285608589197E-2</v>
      </c>
      <c r="L241" s="31">
        <f>FINV(0.05,H241,$H$16)</f>
        <v>2.2253399674380931</v>
      </c>
      <c r="M241" s="31" t="str">
        <f t="shared" ref="M241" si="66">IF(K241&gt;=L241, "S", "NS")</f>
        <v>NS</v>
      </c>
      <c r="N241" s="39"/>
      <c r="O241" s="33">
        <v>3</v>
      </c>
      <c r="P241" s="42">
        <f t="shared" si="64"/>
        <v>0.51200000000000001</v>
      </c>
      <c r="Q241" s="75">
        <f t="shared" si="65"/>
        <v>2</v>
      </c>
      <c r="R241" s="52">
        <v>2</v>
      </c>
      <c r="S241" s="41"/>
    </row>
    <row r="242" spans="1:19" x14ac:dyDescent="0.25">
      <c r="A242" s="32" t="s">
        <v>93</v>
      </c>
      <c r="B242" s="57">
        <v>0.47549999999999998</v>
      </c>
      <c r="C242" s="57">
        <v>0.51549999999999996</v>
      </c>
      <c r="D242" s="57">
        <v>0.50849999999999995</v>
      </c>
      <c r="E242" s="31">
        <f t="shared" si="60"/>
        <v>1.4994999999999998</v>
      </c>
      <c r="F242" s="31">
        <f t="shared" si="61"/>
        <v>0.4998333333333333</v>
      </c>
      <c r="G242" s="45" t="s">
        <v>23</v>
      </c>
      <c r="H242" s="31">
        <f>((B233-1)*(B231*B232-1))</f>
        <v>34</v>
      </c>
      <c r="I242" s="31">
        <f>D257</f>
        <v>1.14296296296299E-2</v>
      </c>
      <c r="J242" s="31">
        <f t="shared" si="62"/>
        <v>3.3616557734205592E-4</v>
      </c>
      <c r="O242" s="33">
        <v>4</v>
      </c>
      <c r="P242" s="42">
        <f t="shared" si="64"/>
        <v>0.4508333333333332</v>
      </c>
      <c r="Q242" s="75">
        <f t="shared" si="65"/>
        <v>7</v>
      </c>
      <c r="R242" s="52">
        <v>7</v>
      </c>
      <c r="S242" s="41"/>
    </row>
    <row r="243" spans="1:19" x14ac:dyDescent="0.25">
      <c r="A243" s="32" t="s">
        <v>94</v>
      </c>
      <c r="B243" s="57">
        <v>0.4484999999999999</v>
      </c>
      <c r="C243" s="57">
        <v>0.45849999999999991</v>
      </c>
      <c r="D243" s="57">
        <v>0.42650000000000016</v>
      </c>
      <c r="E243" s="31">
        <f t="shared" si="60"/>
        <v>1.3334999999999999</v>
      </c>
      <c r="F243" s="31">
        <f t="shared" si="61"/>
        <v>0.44449999999999995</v>
      </c>
      <c r="G243" s="44" t="s">
        <v>4</v>
      </c>
      <c r="H243" s="31">
        <f>SUM(H237:H242)-H238</f>
        <v>53</v>
      </c>
      <c r="I243" s="31">
        <f>B256</f>
        <v>8.3699259259260472E-2</v>
      </c>
      <c r="K243" s="31" t="s">
        <v>111</v>
      </c>
      <c r="L243" s="41">
        <f>TINV(0.05,34)</f>
        <v>2.0322445093177191</v>
      </c>
      <c r="O243" s="33">
        <v>5</v>
      </c>
      <c r="P243" s="42">
        <f t="shared" si="64"/>
        <v>0.50083333333333324</v>
      </c>
      <c r="Q243" s="75">
        <f t="shared" si="65"/>
        <v>3</v>
      </c>
      <c r="R243" s="51">
        <v>3</v>
      </c>
    </row>
    <row r="244" spans="1:19" x14ac:dyDescent="0.25">
      <c r="A244" s="32" t="s">
        <v>95</v>
      </c>
      <c r="B244" s="57">
        <v>0.41149999999999992</v>
      </c>
      <c r="C244" s="57">
        <v>0.41149999999999992</v>
      </c>
      <c r="D244" s="57">
        <v>0.37750000000000028</v>
      </c>
      <c r="E244" s="31">
        <f t="shared" si="60"/>
        <v>1.2005000000000001</v>
      </c>
      <c r="F244" s="31">
        <f t="shared" si="61"/>
        <v>0.40016666666666673</v>
      </c>
      <c r="G244" s="34" t="s">
        <v>14</v>
      </c>
      <c r="H244" s="31">
        <f>SQRT(J242/3)</f>
        <v>1.0585612521122808E-2</v>
      </c>
      <c r="O244" s="33">
        <v>6</v>
      </c>
      <c r="P244" s="42">
        <f t="shared" si="64"/>
        <v>0.52249999999999996</v>
      </c>
      <c r="Q244" s="75">
        <f t="shared" si="65"/>
        <v>1</v>
      </c>
      <c r="R244" s="52">
        <v>1</v>
      </c>
    </row>
    <row r="245" spans="1:19" x14ac:dyDescent="0.25">
      <c r="A245" s="32" t="s">
        <v>96</v>
      </c>
      <c r="B245" s="57">
        <v>0.47449999999999992</v>
      </c>
      <c r="C245" s="57">
        <v>0.48849999999999993</v>
      </c>
      <c r="D245" s="57">
        <v>0.45849999999999991</v>
      </c>
      <c r="E245" s="31">
        <f t="shared" si="60"/>
        <v>1.4214999999999998</v>
      </c>
      <c r="F245" s="31">
        <f t="shared" si="61"/>
        <v>0.47383333333333327</v>
      </c>
      <c r="G245" s="34" t="s">
        <v>16</v>
      </c>
      <c r="H245" s="31">
        <f>(SQRT((2*J242)/3))*L243</f>
        <v>3.0423344106130588E-2</v>
      </c>
      <c r="O245" s="33">
        <v>7</v>
      </c>
      <c r="P245" s="42">
        <f t="shared" si="64"/>
        <v>0.45816666666666672</v>
      </c>
      <c r="Q245" s="75">
        <f t="shared" si="65"/>
        <v>6</v>
      </c>
      <c r="R245" s="52">
        <v>6</v>
      </c>
    </row>
    <row r="246" spans="1:19" x14ac:dyDescent="0.25">
      <c r="A246" s="32" t="s">
        <v>97</v>
      </c>
      <c r="B246" s="57">
        <v>0.49849999999999994</v>
      </c>
      <c r="C246" s="57">
        <v>0.51849999999999996</v>
      </c>
      <c r="D246" s="57">
        <v>0.50849999999999995</v>
      </c>
      <c r="E246" s="31">
        <f t="shared" si="60"/>
        <v>1.5254999999999999</v>
      </c>
      <c r="F246" s="31">
        <f t="shared" si="61"/>
        <v>0.50849999999999995</v>
      </c>
      <c r="G246" s="34" t="s">
        <v>29</v>
      </c>
      <c r="H246" s="31">
        <f>((SQRT(J242))/F253)*100</f>
        <v>3.8664435921989564</v>
      </c>
      <c r="O246" s="33">
        <v>8</v>
      </c>
      <c r="P246" s="42">
        <f t="shared" si="64"/>
        <v>0.49583333333333329</v>
      </c>
      <c r="Q246" s="75">
        <f t="shared" si="65"/>
        <v>4</v>
      </c>
      <c r="R246" s="51">
        <v>4</v>
      </c>
    </row>
    <row r="247" spans="1:19" x14ac:dyDescent="0.25">
      <c r="A247" s="32" t="s">
        <v>98</v>
      </c>
      <c r="B247" s="57">
        <v>0.4514999999999999</v>
      </c>
      <c r="C247" s="57">
        <v>0.44249999999999989</v>
      </c>
      <c r="D247" s="57">
        <v>0.45849999999999991</v>
      </c>
      <c r="E247" s="31">
        <f t="shared" si="60"/>
        <v>1.3524999999999996</v>
      </c>
      <c r="F247" s="31">
        <f t="shared" si="61"/>
        <v>0.4508333333333332</v>
      </c>
      <c r="O247" s="33">
        <v>9</v>
      </c>
      <c r="P247" s="42">
        <f t="shared" si="64"/>
        <v>0.434</v>
      </c>
      <c r="Q247" s="75">
        <f t="shared" si="65"/>
        <v>8</v>
      </c>
      <c r="R247" s="52">
        <v>8</v>
      </c>
    </row>
    <row r="248" spans="1:19" x14ac:dyDescent="0.25">
      <c r="A248" s="32" t="s">
        <v>99</v>
      </c>
      <c r="B248" s="57">
        <v>0.49849999999999994</v>
      </c>
      <c r="C248" s="57">
        <v>0.47849999999999993</v>
      </c>
      <c r="D248" s="57">
        <v>0.49849999999999994</v>
      </c>
      <c r="E248" s="31">
        <f t="shared" si="60"/>
        <v>1.4754999999999998</v>
      </c>
      <c r="F248" s="31">
        <f t="shared" si="61"/>
        <v>0.49183333333333329</v>
      </c>
      <c r="O248" s="30" t="s">
        <v>14</v>
      </c>
      <c r="P248" s="99">
        <f>SQRT(J242/(3*2))</f>
        <v>7.4851583966991627E-3</v>
      </c>
      <c r="Q248" s="49"/>
    </row>
    <row r="249" spans="1:19" x14ac:dyDescent="0.25">
      <c r="A249" s="32" t="s">
        <v>100</v>
      </c>
      <c r="B249" s="57">
        <v>0.51849999999999996</v>
      </c>
      <c r="C249" s="57">
        <v>0.49849999999999994</v>
      </c>
      <c r="D249" s="57">
        <v>0.52149999999999996</v>
      </c>
      <c r="E249" s="31">
        <f t="shared" si="60"/>
        <v>1.5385</v>
      </c>
      <c r="F249" s="43">
        <f t="shared" si="61"/>
        <v>0.51283333333333336</v>
      </c>
      <c r="G249" s="39"/>
      <c r="H249" s="92"/>
      <c r="I249" s="96"/>
      <c r="J249" s="96"/>
      <c r="K249" s="96"/>
      <c r="N249" s="30" t="s">
        <v>109</v>
      </c>
      <c r="O249" s="30" t="s">
        <v>16</v>
      </c>
      <c r="P249" s="99">
        <f>SQRT((2*J242)/(3*2))*L243</f>
        <v>2.1512552923816722E-2</v>
      </c>
      <c r="Q249" s="49"/>
    </row>
    <row r="250" spans="1:19" x14ac:dyDescent="0.25">
      <c r="A250" s="32" t="s">
        <v>101</v>
      </c>
      <c r="B250" s="57">
        <v>0.42450000000000015</v>
      </c>
      <c r="C250" s="57">
        <v>0.4785000000000002</v>
      </c>
      <c r="D250" s="57">
        <v>0.46849999999999992</v>
      </c>
      <c r="E250" s="31">
        <f t="shared" si="60"/>
        <v>1.3715000000000002</v>
      </c>
      <c r="F250" s="43">
        <f>E250/3</f>
        <v>0.45716666666666672</v>
      </c>
      <c r="G250" s="39"/>
      <c r="H250" s="92"/>
      <c r="I250" s="96"/>
      <c r="J250" s="96"/>
      <c r="K250" s="96"/>
      <c r="Q250" s="49"/>
    </row>
    <row r="251" spans="1:19" x14ac:dyDescent="0.25">
      <c r="A251" s="32" t="s">
        <v>102</v>
      </c>
      <c r="B251" s="57">
        <v>0.47849999999999993</v>
      </c>
      <c r="C251" s="57">
        <v>0.48849999999999993</v>
      </c>
      <c r="D251" s="57">
        <v>0.50849999999999995</v>
      </c>
      <c r="E251" s="31">
        <f t="shared" si="60"/>
        <v>1.4754999999999998</v>
      </c>
      <c r="F251" s="43">
        <f t="shared" ref="F251:F252" si="67">E251/3</f>
        <v>0.49183333333333329</v>
      </c>
      <c r="G251" s="39"/>
      <c r="H251" s="92"/>
      <c r="I251" s="96"/>
      <c r="J251" s="96"/>
      <c r="K251" s="96"/>
    </row>
    <row r="252" spans="1:19" x14ac:dyDescent="0.25">
      <c r="A252" s="32" t="s">
        <v>103</v>
      </c>
      <c r="B252" s="57">
        <v>0.44050000000000011</v>
      </c>
      <c r="C252" s="57">
        <v>0.45849999999999991</v>
      </c>
      <c r="D252" s="57">
        <v>0.37150000000000005</v>
      </c>
      <c r="E252" s="31">
        <f t="shared" si="60"/>
        <v>1.2705000000000002</v>
      </c>
      <c r="F252" s="43">
        <f t="shared" si="67"/>
        <v>0.42350000000000004</v>
      </c>
      <c r="G252" s="39"/>
      <c r="H252" s="92"/>
      <c r="I252" s="96"/>
      <c r="J252" s="96"/>
      <c r="K252" s="96"/>
    </row>
    <row r="253" spans="1:19" x14ac:dyDescent="0.25">
      <c r="A253" s="30" t="s">
        <v>4</v>
      </c>
      <c r="B253" s="31">
        <f>SUM(B235:B252)</f>
        <v>8.5390000000000015</v>
      </c>
      <c r="C253" s="31">
        <f t="shared" ref="C253:D253" si="68">SUM(C235:C252)</f>
        <v>8.593</v>
      </c>
      <c r="D253" s="31">
        <f t="shared" si="68"/>
        <v>8.4749999999999979</v>
      </c>
      <c r="E253" s="31">
        <f>SUM(E235:E252)</f>
        <v>25.606999999999999</v>
      </c>
      <c r="F253" s="43">
        <f>AVERAGE(B235:D252)</f>
        <v>0.47420370370370374</v>
      </c>
      <c r="G253" s="39"/>
      <c r="H253" s="92"/>
      <c r="I253" s="96"/>
      <c r="J253" s="96"/>
      <c r="K253" s="96"/>
    </row>
    <row r="254" spans="1:19" x14ac:dyDescent="0.25">
      <c r="A254" s="30" t="s">
        <v>5</v>
      </c>
      <c r="B254" s="31">
        <f>B253/18</f>
        <v>0.47438888888888897</v>
      </c>
      <c r="C254" s="31">
        <f>C253/18</f>
        <v>0.47738888888888886</v>
      </c>
      <c r="D254" s="31">
        <f>D253/18</f>
        <v>0.47083333333333321</v>
      </c>
      <c r="G254" s="39"/>
      <c r="H254" s="92"/>
      <c r="I254" s="96"/>
      <c r="J254" s="96"/>
      <c r="K254" s="96"/>
    </row>
    <row r="255" spans="1:19" x14ac:dyDescent="0.25">
      <c r="A255" s="30" t="s">
        <v>26</v>
      </c>
      <c r="B255" s="31">
        <f>(E253*E253)/54</f>
        <v>12.14293424074074</v>
      </c>
      <c r="C255" s="31"/>
      <c r="D255" s="31"/>
      <c r="G255" s="39"/>
      <c r="H255" s="92"/>
      <c r="I255" s="96"/>
      <c r="J255" s="96"/>
      <c r="K255" s="96"/>
    </row>
    <row r="256" spans="1:19" x14ac:dyDescent="0.25">
      <c r="A256" s="30" t="s">
        <v>27</v>
      </c>
      <c r="B256" s="31">
        <f>SUMSQ(B235:D252)-B255</f>
        <v>8.3699259259260472E-2</v>
      </c>
      <c r="C256" s="30" t="s">
        <v>28</v>
      </c>
      <c r="D256" s="31">
        <f>(SUMSQ(B253:D253)/18)-B255</f>
        <v>3.8770370370500018E-4</v>
      </c>
      <c r="G256" s="39"/>
      <c r="H256" s="92"/>
      <c r="I256" s="96"/>
      <c r="J256" s="96"/>
      <c r="K256" s="96"/>
    </row>
    <row r="257" spans="1:11" x14ac:dyDescent="0.25">
      <c r="A257" s="30" t="s">
        <v>30</v>
      </c>
      <c r="B257" s="31">
        <f>(SUMSQ(E235:E252)/3)-B255</f>
        <v>7.1881925925925572E-2</v>
      </c>
      <c r="C257" s="30" t="s">
        <v>31</v>
      </c>
      <c r="D257" s="31">
        <f>B256-B257-D256</f>
        <v>1.14296296296299E-2</v>
      </c>
      <c r="G257" s="39"/>
      <c r="H257" s="92"/>
      <c r="I257" s="96"/>
      <c r="J257" s="96"/>
      <c r="K257" s="96"/>
    </row>
    <row r="258" spans="1:11" x14ac:dyDescent="0.25">
      <c r="G258" s="39"/>
      <c r="H258" s="92"/>
      <c r="I258" s="96"/>
      <c r="J258" s="96"/>
      <c r="K258" s="96"/>
    </row>
    <row r="259" spans="1:11" x14ac:dyDescent="0.25">
      <c r="G259" s="39"/>
      <c r="H259" s="92"/>
      <c r="I259" s="96"/>
      <c r="J259" s="96"/>
      <c r="K259" s="96"/>
    </row>
    <row r="260" spans="1:11" x14ac:dyDescent="0.25">
      <c r="G260" s="39"/>
      <c r="H260" s="92"/>
      <c r="I260" s="96"/>
      <c r="J260" s="96"/>
      <c r="K260" s="96"/>
    </row>
    <row r="261" spans="1:11" x14ac:dyDescent="0.25">
      <c r="G261" s="39"/>
      <c r="H261" s="92"/>
      <c r="I261" s="96"/>
      <c r="J261" s="96"/>
      <c r="K261" s="96"/>
    </row>
    <row r="262" spans="1:11" x14ac:dyDescent="0.25">
      <c r="G262" s="39"/>
      <c r="H262" s="92"/>
      <c r="I262" s="96"/>
      <c r="J262" s="96"/>
      <c r="K262" s="96"/>
    </row>
    <row r="263" spans="1:11" x14ac:dyDescent="0.25">
      <c r="G263" s="39"/>
      <c r="H263" s="92"/>
      <c r="I263" s="96"/>
      <c r="J263" s="96"/>
      <c r="K263" s="96"/>
    </row>
    <row r="264" spans="1:11" x14ac:dyDescent="0.25">
      <c r="G264" s="39"/>
      <c r="H264" s="92"/>
      <c r="I264" s="96"/>
      <c r="J264" s="96"/>
      <c r="K264" s="96"/>
    </row>
    <row r="265" spans="1:11" x14ac:dyDescent="0.25">
      <c r="G265" s="39"/>
      <c r="H265" s="92"/>
      <c r="I265" s="96"/>
      <c r="J265" s="96"/>
      <c r="K265" s="96"/>
    </row>
    <row r="266" spans="1:11" x14ac:dyDescent="0.25">
      <c r="G266" s="39"/>
      <c r="H266" s="92"/>
      <c r="I266" s="96"/>
      <c r="J266" s="96"/>
      <c r="K266" s="96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NPK UPTAKES (kg ha-1)</vt:lpstr>
      <vt:lpstr>Sheet2</vt:lpstr>
      <vt:lpstr>Dry mt. new</vt:lpstr>
      <vt:lpstr>Grain Yiled</vt:lpstr>
      <vt:lpstr>DATA</vt:lpstr>
      <vt:lpstr>Nitrogen</vt:lpstr>
      <vt:lpstr>Phosphorous</vt:lpstr>
      <vt:lpstr>Potassium</vt:lpstr>
      <vt:lpstr>NPK at Harvest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2023-03-16T02:34:13Z</dcterms:modified>
</cp:coreProperties>
</file>