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tabRatio="777" activeTab="6"/>
  </bookViews>
  <sheets>
    <sheet name="Dry mt. new" sheetId="28" r:id="rId1"/>
    <sheet name="log Dry mt. " sheetId="31" r:id="rId2"/>
    <sheet name="LAI" sheetId="19" r:id="rId3"/>
    <sheet name="CGR" sheetId="25" r:id="rId4"/>
    <sheet name="NPK UPTAKES (kg ha-1)" sheetId="12" state="hidden" r:id="rId5"/>
    <sheet name="Sheet2" sheetId="15" state="hidden" r:id="rId6"/>
    <sheet name="RGR" sheetId="30" r:id="rId7"/>
  </sheets>
  <calcPr calcId="144525"/>
</workbook>
</file>

<file path=xl/calcChain.xml><?xml version="1.0" encoding="utf-8"?>
<calcChain xmlns="http://schemas.openxmlformats.org/spreadsheetml/2006/main">
  <c r="B170" i="25" l="1"/>
  <c r="C170" i="25"/>
  <c r="D170" i="25"/>
  <c r="B171" i="25"/>
  <c r="C171" i="25"/>
  <c r="D171" i="25"/>
  <c r="B172" i="25"/>
  <c r="C172" i="25"/>
  <c r="D172" i="25"/>
  <c r="B173" i="25"/>
  <c r="C173" i="25"/>
  <c r="D173" i="25"/>
  <c r="B174" i="25"/>
  <c r="C174" i="25"/>
  <c r="D174" i="25"/>
  <c r="B175" i="25"/>
  <c r="C175" i="25"/>
  <c r="D175" i="25"/>
  <c r="B176" i="25"/>
  <c r="C176" i="25"/>
  <c r="D176" i="25"/>
  <c r="B177" i="25"/>
  <c r="C177" i="25"/>
  <c r="D177" i="25"/>
  <c r="B178" i="25"/>
  <c r="C178" i="25"/>
  <c r="D178" i="25"/>
  <c r="B179" i="25"/>
  <c r="C179" i="25"/>
  <c r="D179" i="25"/>
  <c r="B180" i="25"/>
  <c r="C180" i="25"/>
  <c r="D180" i="25"/>
  <c r="B181" i="25"/>
  <c r="C181" i="25"/>
  <c r="D181" i="25"/>
  <c r="B182" i="25"/>
  <c r="C182" i="25"/>
  <c r="D182" i="25"/>
  <c r="B183" i="25"/>
  <c r="C183" i="25"/>
  <c r="D183" i="25"/>
  <c r="B184" i="25"/>
  <c r="C184" i="25"/>
  <c r="D184" i="25"/>
  <c r="B185" i="25"/>
  <c r="C185" i="25"/>
  <c r="D185" i="25"/>
  <c r="B186" i="25"/>
  <c r="C186" i="25"/>
  <c r="D186" i="25"/>
  <c r="C169" i="25"/>
  <c r="D169" i="25"/>
  <c r="B169" i="25"/>
  <c r="B138" i="25"/>
  <c r="C138" i="25"/>
  <c r="D138" i="25"/>
  <c r="B139" i="25"/>
  <c r="C139" i="25"/>
  <c r="D139" i="25"/>
  <c r="B140" i="25"/>
  <c r="C140" i="25"/>
  <c r="D140" i="25"/>
  <c r="B141" i="25"/>
  <c r="C141" i="25"/>
  <c r="D141" i="25"/>
  <c r="B142" i="25"/>
  <c r="C142" i="25"/>
  <c r="D142" i="25"/>
  <c r="B143" i="25"/>
  <c r="C143" i="25"/>
  <c r="D143" i="25"/>
  <c r="B144" i="25"/>
  <c r="C144" i="25"/>
  <c r="D144" i="25"/>
  <c r="B145" i="25"/>
  <c r="C145" i="25"/>
  <c r="D145" i="25"/>
  <c r="B146" i="25"/>
  <c r="C146" i="25"/>
  <c r="D146" i="25"/>
  <c r="B147" i="25"/>
  <c r="C147" i="25"/>
  <c r="D147" i="25"/>
  <c r="B148" i="25"/>
  <c r="C148" i="25"/>
  <c r="D148" i="25"/>
  <c r="B149" i="25"/>
  <c r="C149" i="25"/>
  <c r="D149" i="25"/>
  <c r="B150" i="25"/>
  <c r="C150" i="25"/>
  <c r="D150" i="25"/>
  <c r="B151" i="25"/>
  <c r="C151" i="25"/>
  <c r="D151" i="25"/>
  <c r="B152" i="25"/>
  <c r="C152" i="25"/>
  <c r="D152" i="25"/>
  <c r="B153" i="25"/>
  <c r="C153" i="25"/>
  <c r="D153" i="25"/>
  <c r="B154" i="25"/>
  <c r="C154" i="25"/>
  <c r="D154" i="25"/>
  <c r="C137" i="25"/>
  <c r="D137" i="25"/>
  <c r="B137" i="25"/>
  <c r="B106" i="25"/>
  <c r="C106" i="25"/>
  <c r="D106" i="25"/>
  <c r="B107" i="25"/>
  <c r="C107" i="25"/>
  <c r="D107" i="25"/>
  <c r="B108" i="25"/>
  <c r="C108" i="25"/>
  <c r="D108" i="25"/>
  <c r="B109" i="25"/>
  <c r="C109" i="25"/>
  <c r="D109" i="25"/>
  <c r="B110" i="25"/>
  <c r="C110" i="25"/>
  <c r="D110" i="25"/>
  <c r="B111" i="25"/>
  <c r="C111" i="25"/>
  <c r="D111" i="25"/>
  <c r="B112" i="25"/>
  <c r="C112" i="25"/>
  <c r="D112" i="25"/>
  <c r="B113" i="25"/>
  <c r="C113" i="25"/>
  <c r="D113" i="25"/>
  <c r="B114" i="25"/>
  <c r="C114" i="25"/>
  <c r="D114" i="25"/>
  <c r="B115" i="25"/>
  <c r="C115" i="25"/>
  <c r="D115" i="25"/>
  <c r="B116" i="25"/>
  <c r="C116" i="25"/>
  <c r="D116" i="25"/>
  <c r="B117" i="25"/>
  <c r="C117" i="25"/>
  <c r="D117" i="25"/>
  <c r="B118" i="25"/>
  <c r="C118" i="25"/>
  <c r="D118" i="25"/>
  <c r="B119" i="25"/>
  <c r="C119" i="25"/>
  <c r="D119" i="25"/>
  <c r="B120" i="25"/>
  <c r="C120" i="25"/>
  <c r="D120" i="25"/>
  <c r="B121" i="25"/>
  <c r="C121" i="25"/>
  <c r="D121" i="25"/>
  <c r="B122" i="25"/>
  <c r="C122" i="25"/>
  <c r="D122" i="25"/>
  <c r="C105" i="25"/>
  <c r="D105" i="25"/>
  <c r="B105" i="25"/>
  <c r="B74" i="25"/>
  <c r="C74" i="25"/>
  <c r="D74" i="25"/>
  <c r="B75" i="25"/>
  <c r="C75" i="25"/>
  <c r="D75" i="25"/>
  <c r="B76" i="25"/>
  <c r="C76" i="25"/>
  <c r="D76" i="25"/>
  <c r="B77" i="25"/>
  <c r="C77" i="25"/>
  <c r="D77" i="25"/>
  <c r="B78" i="25"/>
  <c r="C78" i="25"/>
  <c r="D78" i="25"/>
  <c r="B79" i="25"/>
  <c r="C79" i="25"/>
  <c r="D79" i="25"/>
  <c r="B80" i="25"/>
  <c r="C80" i="25"/>
  <c r="D80" i="25"/>
  <c r="B81" i="25"/>
  <c r="C81" i="25"/>
  <c r="D81" i="25"/>
  <c r="B82" i="25"/>
  <c r="C82" i="25"/>
  <c r="D82" i="25"/>
  <c r="B83" i="25"/>
  <c r="C83" i="25"/>
  <c r="D83" i="25"/>
  <c r="B84" i="25"/>
  <c r="C84" i="25"/>
  <c r="D84" i="25"/>
  <c r="B85" i="25"/>
  <c r="C85" i="25"/>
  <c r="D85" i="25"/>
  <c r="B86" i="25"/>
  <c r="C86" i="25"/>
  <c r="D86" i="25"/>
  <c r="B87" i="25"/>
  <c r="C87" i="25"/>
  <c r="D87" i="25"/>
  <c r="B88" i="25"/>
  <c r="C88" i="25"/>
  <c r="D88" i="25"/>
  <c r="B89" i="25"/>
  <c r="C89" i="25"/>
  <c r="D89" i="25"/>
  <c r="B90" i="25"/>
  <c r="C90" i="25"/>
  <c r="D90" i="25"/>
  <c r="C73" i="25"/>
  <c r="D73" i="25"/>
  <c r="B73" i="25"/>
  <c r="B42" i="25"/>
  <c r="C42" i="25"/>
  <c r="D42" i="25"/>
  <c r="B43" i="25"/>
  <c r="C43" i="25"/>
  <c r="D43" i="25"/>
  <c r="B44" i="25"/>
  <c r="C44" i="25"/>
  <c r="D44" i="25"/>
  <c r="B45" i="25"/>
  <c r="C45" i="25"/>
  <c r="D45" i="25"/>
  <c r="B46" i="25"/>
  <c r="C46" i="25"/>
  <c r="D46" i="25"/>
  <c r="B47" i="25"/>
  <c r="C47" i="25"/>
  <c r="D47" i="25"/>
  <c r="B48" i="25"/>
  <c r="C48" i="25"/>
  <c r="D48" i="25"/>
  <c r="B49" i="25"/>
  <c r="C49" i="25"/>
  <c r="D49" i="25"/>
  <c r="B50" i="25"/>
  <c r="C50" i="25"/>
  <c r="D50" i="25"/>
  <c r="B51" i="25"/>
  <c r="C51" i="25"/>
  <c r="D51" i="25"/>
  <c r="B52" i="25"/>
  <c r="C52" i="25"/>
  <c r="D52" i="25"/>
  <c r="B53" i="25"/>
  <c r="C53" i="25"/>
  <c r="D53" i="25"/>
  <c r="B54" i="25"/>
  <c r="C54" i="25"/>
  <c r="D54" i="25"/>
  <c r="B55" i="25"/>
  <c r="C55" i="25"/>
  <c r="D55" i="25"/>
  <c r="B56" i="25"/>
  <c r="C56" i="25"/>
  <c r="D56" i="25"/>
  <c r="B57" i="25"/>
  <c r="C57" i="25"/>
  <c r="D57" i="25"/>
  <c r="B58" i="25"/>
  <c r="C58" i="25"/>
  <c r="D58" i="25"/>
  <c r="C41" i="25"/>
  <c r="D41" i="25"/>
  <c r="B41" i="25"/>
  <c r="B10" i="25"/>
  <c r="C10" i="25"/>
  <c r="D10" i="25"/>
  <c r="B11" i="25"/>
  <c r="C11" i="25"/>
  <c r="D11" i="25"/>
  <c r="B12" i="25"/>
  <c r="C12" i="25"/>
  <c r="D12" i="25"/>
  <c r="B13" i="25"/>
  <c r="C13" i="25"/>
  <c r="D13" i="25"/>
  <c r="B14" i="25"/>
  <c r="C14" i="25"/>
  <c r="D14" i="25"/>
  <c r="B15" i="25"/>
  <c r="C15" i="25"/>
  <c r="D15" i="25"/>
  <c r="B16" i="25"/>
  <c r="C16" i="25"/>
  <c r="D16" i="25"/>
  <c r="B17" i="25"/>
  <c r="C17" i="25"/>
  <c r="D17" i="25"/>
  <c r="B18" i="25"/>
  <c r="C18" i="25"/>
  <c r="D18" i="25"/>
  <c r="B19" i="25"/>
  <c r="C19" i="25"/>
  <c r="D19" i="25"/>
  <c r="B20" i="25"/>
  <c r="C20" i="25"/>
  <c r="D20" i="25"/>
  <c r="B21" i="25"/>
  <c r="C21" i="25"/>
  <c r="D21" i="25"/>
  <c r="B22" i="25"/>
  <c r="C22" i="25"/>
  <c r="D22" i="25"/>
  <c r="B23" i="25"/>
  <c r="C23" i="25"/>
  <c r="D23" i="25"/>
  <c r="B24" i="25"/>
  <c r="C24" i="25"/>
  <c r="D24" i="25"/>
  <c r="B25" i="25"/>
  <c r="C25" i="25"/>
  <c r="D25" i="25"/>
  <c r="B26" i="25"/>
  <c r="C26" i="25"/>
  <c r="D26" i="25"/>
  <c r="C9" i="25"/>
  <c r="D9" i="25"/>
  <c r="B9" i="25"/>
  <c r="D251" i="31"/>
  <c r="C251" i="31"/>
  <c r="B251" i="31"/>
  <c r="D250" i="31"/>
  <c r="C250" i="31"/>
  <c r="B250" i="31"/>
  <c r="D249" i="31"/>
  <c r="C249" i="31"/>
  <c r="B249" i="31"/>
  <c r="D248" i="31"/>
  <c r="C248" i="31"/>
  <c r="B248" i="31"/>
  <c r="D247" i="31"/>
  <c r="C247" i="31"/>
  <c r="B247" i="31"/>
  <c r="D246" i="31"/>
  <c r="C246" i="31"/>
  <c r="B246" i="31"/>
  <c r="D245" i="31"/>
  <c r="C245" i="31"/>
  <c r="B245" i="31"/>
  <c r="D244" i="31"/>
  <c r="C244" i="31"/>
  <c r="B244" i="31"/>
  <c r="E244" i="31" s="1"/>
  <c r="F244" i="31" s="1"/>
  <c r="D243" i="31"/>
  <c r="E243" i="31" s="1"/>
  <c r="F243" i="31" s="1"/>
  <c r="C243" i="31"/>
  <c r="B243" i="31"/>
  <c r="D242" i="31"/>
  <c r="C242" i="31"/>
  <c r="B242" i="31"/>
  <c r="D241" i="31"/>
  <c r="C241" i="31"/>
  <c r="B241" i="31"/>
  <c r="D240" i="31"/>
  <c r="C240" i="31"/>
  <c r="B240" i="31"/>
  <c r="E240" i="31" s="1"/>
  <c r="F240" i="31" s="1"/>
  <c r="D239" i="31"/>
  <c r="C239" i="31"/>
  <c r="B239" i="31"/>
  <c r="D238" i="31"/>
  <c r="C238" i="31"/>
  <c r="B238" i="31"/>
  <c r="D237" i="31"/>
  <c r="C237" i="31"/>
  <c r="B237" i="31"/>
  <c r="D236" i="31"/>
  <c r="C236" i="31"/>
  <c r="B236" i="31"/>
  <c r="D235" i="31"/>
  <c r="E235" i="31" s="1"/>
  <c r="F235" i="31" s="1"/>
  <c r="P239" i="31" s="1"/>
  <c r="C235" i="31"/>
  <c r="B235" i="31"/>
  <c r="D234" i="31"/>
  <c r="C234" i="31"/>
  <c r="B234" i="31"/>
  <c r="D219" i="31"/>
  <c r="C219" i="31"/>
  <c r="B219" i="31"/>
  <c r="D218" i="31"/>
  <c r="C218" i="31"/>
  <c r="B218" i="31"/>
  <c r="D217" i="31"/>
  <c r="C217" i="31"/>
  <c r="B217" i="31"/>
  <c r="D216" i="31"/>
  <c r="C216" i="31"/>
  <c r="B216" i="31"/>
  <c r="D215" i="31"/>
  <c r="C215" i="31"/>
  <c r="B215" i="31"/>
  <c r="D214" i="31"/>
  <c r="C214" i="31"/>
  <c r="B214" i="31"/>
  <c r="E214" i="31" s="1"/>
  <c r="F214" i="31" s="1"/>
  <c r="D213" i="31"/>
  <c r="C213" i="31"/>
  <c r="B213" i="31"/>
  <c r="D212" i="31"/>
  <c r="C212" i="31"/>
  <c r="B212" i="31"/>
  <c r="D211" i="31"/>
  <c r="C211" i="31"/>
  <c r="B211" i="31"/>
  <c r="D210" i="31"/>
  <c r="C210" i="31"/>
  <c r="B210" i="31"/>
  <c r="D209" i="31"/>
  <c r="C209" i="31"/>
  <c r="B209" i="31"/>
  <c r="D208" i="31"/>
  <c r="C208" i="31"/>
  <c r="E208" i="31" s="1"/>
  <c r="F208" i="31" s="1"/>
  <c r="B208" i="31"/>
  <c r="D207" i="31"/>
  <c r="C207" i="31"/>
  <c r="B207" i="31"/>
  <c r="D206" i="31"/>
  <c r="C206" i="31"/>
  <c r="B206" i="31"/>
  <c r="D205" i="31"/>
  <c r="E205" i="31" s="1"/>
  <c r="F205" i="31" s="1"/>
  <c r="P209" i="31" s="1"/>
  <c r="C205" i="31"/>
  <c r="B205" i="31"/>
  <c r="D204" i="31"/>
  <c r="C204" i="31"/>
  <c r="C220" i="31" s="1"/>
  <c r="C221" i="31" s="1"/>
  <c r="B204" i="31"/>
  <c r="D203" i="31"/>
  <c r="C203" i="31"/>
  <c r="B203" i="31"/>
  <c r="D202" i="31"/>
  <c r="C202" i="31"/>
  <c r="B202" i="31"/>
  <c r="D187" i="31"/>
  <c r="E187" i="31" s="1"/>
  <c r="F187" i="31" s="1"/>
  <c r="C187" i="31"/>
  <c r="B187" i="31"/>
  <c r="D186" i="31"/>
  <c r="C186" i="31"/>
  <c r="E186" i="31" s="1"/>
  <c r="F186" i="31" s="1"/>
  <c r="B186" i="31"/>
  <c r="D185" i="31"/>
  <c r="C185" i="31"/>
  <c r="B185" i="31"/>
  <c r="E185" i="31" s="1"/>
  <c r="F185" i="31" s="1"/>
  <c r="D184" i="31"/>
  <c r="C184" i="31"/>
  <c r="B184" i="31"/>
  <c r="E184" i="31" s="1"/>
  <c r="F184" i="31" s="1"/>
  <c r="D183" i="31"/>
  <c r="E183" i="31" s="1"/>
  <c r="F183" i="31" s="1"/>
  <c r="C183" i="31"/>
  <c r="B183" i="31"/>
  <c r="D182" i="31"/>
  <c r="C182" i="31"/>
  <c r="E182" i="31" s="1"/>
  <c r="F182" i="31" s="1"/>
  <c r="B182" i="31"/>
  <c r="D181" i="31"/>
  <c r="C181" i="31"/>
  <c r="B181" i="31"/>
  <c r="E181" i="31" s="1"/>
  <c r="F181" i="31" s="1"/>
  <c r="D180" i="31"/>
  <c r="C180" i="31"/>
  <c r="B180" i="31"/>
  <c r="E180" i="31" s="1"/>
  <c r="F180" i="31" s="1"/>
  <c r="D179" i="31"/>
  <c r="E179" i="31" s="1"/>
  <c r="F179" i="31" s="1"/>
  <c r="C179" i="31"/>
  <c r="B179" i="31"/>
  <c r="D178" i="31"/>
  <c r="C178" i="31"/>
  <c r="B178" i="31"/>
  <c r="D177" i="31"/>
  <c r="C177" i="31"/>
  <c r="B177" i="31"/>
  <c r="E177" i="31" s="1"/>
  <c r="F177" i="31" s="1"/>
  <c r="D176" i="31"/>
  <c r="C176" i="31"/>
  <c r="B176" i="31"/>
  <c r="D175" i="31"/>
  <c r="E175" i="31" s="1"/>
  <c r="F175" i="31" s="1"/>
  <c r="C175" i="31"/>
  <c r="B175" i="31"/>
  <c r="D174" i="31"/>
  <c r="C174" i="31"/>
  <c r="B174" i="31"/>
  <c r="D173" i="31"/>
  <c r="C173" i="31"/>
  <c r="B173" i="31"/>
  <c r="D172" i="31"/>
  <c r="C172" i="31"/>
  <c r="B172" i="31"/>
  <c r="E172" i="31" s="1"/>
  <c r="F172" i="31" s="1"/>
  <c r="D171" i="31"/>
  <c r="E171" i="31" s="1"/>
  <c r="F171" i="31" s="1"/>
  <c r="P175" i="31" s="1"/>
  <c r="C171" i="31"/>
  <c r="B171" i="31"/>
  <c r="D170" i="31"/>
  <c r="C170" i="31"/>
  <c r="B170" i="31"/>
  <c r="D155" i="31"/>
  <c r="C155" i="31"/>
  <c r="B155" i="31"/>
  <c r="E155" i="31" s="1"/>
  <c r="F155" i="31" s="1"/>
  <c r="D154" i="31"/>
  <c r="C154" i="31"/>
  <c r="B154" i="31"/>
  <c r="D153" i="31"/>
  <c r="E153" i="31" s="1"/>
  <c r="F153" i="31" s="1"/>
  <c r="C153" i="31"/>
  <c r="B153" i="31"/>
  <c r="D152" i="31"/>
  <c r="C152" i="31"/>
  <c r="E152" i="31" s="1"/>
  <c r="F152" i="31" s="1"/>
  <c r="B152" i="31"/>
  <c r="D151" i="31"/>
  <c r="C151" i="31"/>
  <c r="B151" i="31"/>
  <c r="E151" i="31" s="1"/>
  <c r="F151" i="31" s="1"/>
  <c r="D150" i="31"/>
  <c r="C150" i="31"/>
  <c r="B150" i="31"/>
  <c r="D149" i="31"/>
  <c r="E149" i="31" s="1"/>
  <c r="F149" i="31" s="1"/>
  <c r="C149" i="31"/>
  <c r="B149" i="31"/>
  <c r="D148" i="31"/>
  <c r="C148" i="31"/>
  <c r="E148" i="31" s="1"/>
  <c r="F148" i="31" s="1"/>
  <c r="B148" i="31"/>
  <c r="D147" i="31"/>
  <c r="C147" i="31"/>
  <c r="B147" i="31"/>
  <c r="E147" i="31" s="1"/>
  <c r="F147" i="31" s="1"/>
  <c r="D146" i="31"/>
  <c r="C146" i="31"/>
  <c r="B146" i="31"/>
  <c r="D145" i="31"/>
  <c r="E145" i="31" s="1"/>
  <c r="F145" i="31" s="1"/>
  <c r="C145" i="31"/>
  <c r="B145" i="31"/>
  <c r="D144" i="31"/>
  <c r="C144" i="31"/>
  <c r="E144" i="31" s="1"/>
  <c r="F144" i="31" s="1"/>
  <c r="B144" i="31"/>
  <c r="D143" i="31"/>
  <c r="C143" i="31"/>
  <c r="B143" i="31"/>
  <c r="E143" i="31" s="1"/>
  <c r="F143" i="31" s="1"/>
  <c r="P147" i="31" s="1"/>
  <c r="D142" i="31"/>
  <c r="C142" i="31"/>
  <c r="B142" i="31"/>
  <c r="D141" i="31"/>
  <c r="C141" i="31"/>
  <c r="B141" i="31"/>
  <c r="D140" i="31"/>
  <c r="C140" i="31"/>
  <c r="E140" i="31" s="1"/>
  <c r="F140" i="31" s="1"/>
  <c r="B140" i="31"/>
  <c r="D139" i="31"/>
  <c r="C139" i="31"/>
  <c r="B139" i="31"/>
  <c r="D138" i="31"/>
  <c r="C138" i="31"/>
  <c r="B138" i="31"/>
  <c r="D122" i="31"/>
  <c r="K129" i="31" s="1"/>
  <c r="C122" i="31"/>
  <c r="J129" i="31" s="1"/>
  <c r="B122" i="31"/>
  <c r="D121" i="31"/>
  <c r="C121" i="31"/>
  <c r="J128" i="31" s="1"/>
  <c r="B121" i="31"/>
  <c r="I128" i="31" s="1"/>
  <c r="D120" i="31"/>
  <c r="C120" i="31"/>
  <c r="B120" i="31"/>
  <c r="I127" i="31" s="1"/>
  <c r="D119" i="31"/>
  <c r="K126" i="31" s="1"/>
  <c r="C119" i="31"/>
  <c r="B119" i="31"/>
  <c r="D118" i="31"/>
  <c r="C118" i="31"/>
  <c r="J125" i="31" s="1"/>
  <c r="B118" i="31"/>
  <c r="D117" i="31"/>
  <c r="C117" i="31"/>
  <c r="J124" i="31" s="1"/>
  <c r="B117" i="31"/>
  <c r="I124" i="31" s="1"/>
  <c r="D116" i="31"/>
  <c r="C116" i="31"/>
  <c r="B116" i="31"/>
  <c r="I123" i="31" s="1"/>
  <c r="D115" i="31"/>
  <c r="C115" i="31"/>
  <c r="B115" i="31"/>
  <c r="D114" i="31"/>
  <c r="K121" i="31" s="1"/>
  <c r="C114" i="31"/>
  <c r="J121" i="31" s="1"/>
  <c r="B114" i="31"/>
  <c r="D113" i="31"/>
  <c r="C113" i="31"/>
  <c r="B113" i="31"/>
  <c r="D112" i="31"/>
  <c r="C112" i="31"/>
  <c r="B112" i="31"/>
  <c r="D111" i="31"/>
  <c r="C111" i="31"/>
  <c r="B111" i="31"/>
  <c r="D110" i="31"/>
  <c r="C110" i="31"/>
  <c r="B110" i="31"/>
  <c r="D109" i="31"/>
  <c r="C109" i="31"/>
  <c r="B109" i="31"/>
  <c r="D108" i="31"/>
  <c r="C108" i="31"/>
  <c r="B108" i="31"/>
  <c r="E108" i="31" s="1"/>
  <c r="F108" i="31" s="1"/>
  <c r="D107" i="31"/>
  <c r="C107" i="31"/>
  <c r="B107" i="31"/>
  <c r="D106" i="31"/>
  <c r="C106" i="31"/>
  <c r="B106" i="31"/>
  <c r="D105" i="31"/>
  <c r="C105" i="31"/>
  <c r="B105" i="31"/>
  <c r="D90" i="31"/>
  <c r="C90" i="31"/>
  <c r="B90" i="31"/>
  <c r="E90" i="31" s="1"/>
  <c r="F90" i="31" s="1"/>
  <c r="D89" i="31"/>
  <c r="C89" i="31"/>
  <c r="B89" i="31"/>
  <c r="D88" i="31"/>
  <c r="C88" i="31"/>
  <c r="B88" i="31"/>
  <c r="D87" i="31"/>
  <c r="C87" i="31"/>
  <c r="E87" i="31" s="1"/>
  <c r="F87" i="31" s="1"/>
  <c r="B87" i="31"/>
  <c r="D86" i="31"/>
  <c r="C86" i="31"/>
  <c r="B86" i="31"/>
  <c r="E86" i="31" s="1"/>
  <c r="F86" i="31" s="1"/>
  <c r="D85" i="31"/>
  <c r="C85" i="31"/>
  <c r="B85" i="31"/>
  <c r="D84" i="31"/>
  <c r="E84" i="31" s="1"/>
  <c r="F84" i="31" s="1"/>
  <c r="C84" i="31"/>
  <c r="B84" i="31"/>
  <c r="D83" i="31"/>
  <c r="C83" i="31"/>
  <c r="B83" i="31"/>
  <c r="D82" i="31"/>
  <c r="C82" i="31"/>
  <c r="B82" i="31"/>
  <c r="E82" i="31" s="1"/>
  <c r="F82" i="31" s="1"/>
  <c r="D81" i="31"/>
  <c r="C81" i="31"/>
  <c r="B81" i="31"/>
  <c r="D80" i="31"/>
  <c r="C80" i="31"/>
  <c r="B80" i="31"/>
  <c r="D79" i="31"/>
  <c r="C79" i="31"/>
  <c r="E79" i="31" s="1"/>
  <c r="F79" i="31" s="1"/>
  <c r="B79" i="31"/>
  <c r="D78" i="31"/>
  <c r="C78" i="31"/>
  <c r="B78" i="31"/>
  <c r="E78" i="31" s="1"/>
  <c r="F78" i="31" s="1"/>
  <c r="D77" i="31"/>
  <c r="C77" i="31"/>
  <c r="B77" i="31"/>
  <c r="D76" i="31"/>
  <c r="D91" i="31" s="1"/>
  <c r="D92" i="31" s="1"/>
  <c r="C76" i="31"/>
  <c r="B76" i="31"/>
  <c r="D75" i="31"/>
  <c r="C75" i="31"/>
  <c r="E75" i="31" s="1"/>
  <c r="F75" i="31" s="1"/>
  <c r="B75" i="31"/>
  <c r="D74" i="31"/>
  <c r="C74" i="31"/>
  <c r="B74" i="31"/>
  <c r="B91" i="31" s="1"/>
  <c r="B92" i="31" s="1"/>
  <c r="D73" i="31"/>
  <c r="C73" i="31"/>
  <c r="B73" i="31"/>
  <c r="D58" i="31"/>
  <c r="C58" i="31"/>
  <c r="B58" i="31"/>
  <c r="D57" i="31"/>
  <c r="C57" i="31"/>
  <c r="E57" i="31" s="1"/>
  <c r="F57" i="31" s="1"/>
  <c r="B57" i="31"/>
  <c r="D56" i="31"/>
  <c r="C56" i="31"/>
  <c r="B56" i="31"/>
  <c r="E56" i="31" s="1"/>
  <c r="F56" i="31" s="1"/>
  <c r="D55" i="31"/>
  <c r="C55" i="31"/>
  <c r="B55" i="31"/>
  <c r="D54" i="31"/>
  <c r="C54" i="31"/>
  <c r="B54" i="31"/>
  <c r="D53" i="31"/>
  <c r="C53" i="31"/>
  <c r="E53" i="31" s="1"/>
  <c r="F53" i="31" s="1"/>
  <c r="B53" i="31"/>
  <c r="D52" i="31"/>
  <c r="C52" i="31"/>
  <c r="B52" i="31"/>
  <c r="E52" i="31" s="1"/>
  <c r="F52" i="31" s="1"/>
  <c r="D51" i="31"/>
  <c r="C51" i="31"/>
  <c r="B51" i="31"/>
  <c r="D50" i="31"/>
  <c r="C50" i="31"/>
  <c r="B50" i="31"/>
  <c r="D49" i="31"/>
  <c r="C49" i="31"/>
  <c r="B49" i="31"/>
  <c r="D48" i="31"/>
  <c r="C48" i="31"/>
  <c r="B48" i="31"/>
  <c r="E48" i="31" s="1"/>
  <c r="F48" i="31" s="1"/>
  <c r="D47" i="31"/>
  <c r="C47" i="31"/>
  <c r="B47" i="31"/>
  <c r="D46" i="31"/>
  <c r="C46" i="31"/>
  <c r="B46" i="31"/>
  <c r="D45" i="31"/>
  <c r="C45" i="31"/>
  <c r="E45" i="31" s="1"/>
  <c r="F45" i="31" s="1"/>
  <c r="B45" i="31"/>
  <c r="D44" i="31"/>
  <c r="C44" i="31"/>
  <c r="B44" i="31"/>
  <c r="B59" i="31" s="1"/>
  <c r="B60" i="31" s="1"/>
  <c r="D43" i="31"/>
  <c r="C43" i="31"/>
  <c r="B43" i="31"/>
  <c r="D42" i="31"/>
  <c r="D59" i="31" s="1"/>
  <c r="D60" i="31" s="1"/>
  <c r="C42" i="31"/>
  <c r="B42" i="31"/>
  <c r="D41" i="31"/>
  <c r="C41" i="31"/>
  <c r="C59" i="31" s="1"/>
  <c r="C60" i="31" s="1"/>
  <c r="B41" i="31"/>
  <c r="B10" i="31"/>
  <c r="C10" i="31"/>
  <c r="D10" i="31"/>
  <c r="B11" i="31"/>
  <c r="C11" i="31"/>
  <c r="D11" i="31"/>
  <c r="B12" i="31"/>
  <c r="E12" i="31" s="1"/>
  <c r="F12" i="31" s="1"/>
  <c r="C12" i="31"/>
  <c r="D12" i="31"/>
  <c r="B13" i="31"/>
  <c r="C13" i="31"/>
  <c r="D13" i="31"/>
  <c r="B14" i="31"/>
  <c r="C14" i="31"/>
  <c r="D14" i="31"/>
  <c r="E14" i="31" s="1"/>
  <c r="F14" i="31" s="1"/>
  <c r="P18" i="31" s="1"/>
  <c r="B15" i="31"/>
  <c r="C15" i="31"/>
  <c r="D15" i="31"/>
  <c r="B16" i="31"/>
  <c r="C16" i="31"/>
  <c r="D16" i="31"/>
  <c r="B17" i="31"/>
  <c r="C17" i="31"/>
  <c r="D17" i="31"/>
  <c r="B18" i="31"/>
  <c r="C18" i="31"/>
  <c r="D18" i="31"/>
  <c r="E18" i="31" s="1"/>
  <c r="F18" i="31" s="1"/>
  <c r="B19" i="31"/>
  <c r="C19" i="31"/>
  <c r="D19" i="31"/>
  <c r="B20" i="31"/>
  <c r="E20" i="31" s="1"/>
  <c r="F20" i="31" s="1"/>
  <c r="C20" i="31"/>
  <c r="D20" i="31"/>
  <c r="B21" i="31"/>
  <c r="C21" i="31"/>
  <c r="D21" i="31"/>
  <c r="B22" i="31"/>
  <c r="C22" i="31"/>
  <c r="D22" i="31"/>
  <c r="E22" i="31" s="1"/>
  <c r="F22" i="31" s="1"/>
  <c r="B23" i="31"/>
  <c r="C23" i="31"/>
  <c r="D23" i="31"/>
  <c r="B24" i="31"/>
  <c r="E24" i="31" s="1"/>
  <c r="F24" i="31" s="1"/>
  <c r="C24" i="31"/>
  <c r="D24" i="31"/>
  <c r="B25" i="31"/>
  <c r="C25" i="31"/>
  <c r="E25" i="31" s="1"/>
  <c r="F25" i="31" s="1"/>
  <c r="D25" i="31"/>
  <c r="B26" i="31"/>
  <c r="C26" i="31"/>
  <c r="D26" i="31"/>
  <c r="C9" i="31"/>
  <c r="D9" i="31"/>
  <c r="B9" i="31"/>
  <c r="B252" i="31"/>
  <c r="B253" i="31" s="1"/>
  <c r="E248" i="31"/>
  <c r="F248" i="31" s="1"/>
  <c r="L242" i="31"/>
  <c r="H241" i="31"/>
  <c r="H239" i="31"/>
  <c r="H238" i="31"/>
  <c r="H240" i="31" s="1"/>
  <c r="H237" i="31"/>
  <c r="H236" i="31"/>
  <c r="E236" i="31"/>
  <c r="F236" i="31" s="1"/>
  <c r="L210" i="31"/>
  <c r="H209" i="31"/>
  <c r="H207" i="31"/>
  <c r="H206" i="31"/>
  <c r="H208" i="31" s="1"/>
  <c r="H205" i="31"/>
  <c r="H204" i="31"/>
  <c r="D188" i="31"/>
  <c r="D189" i="31" s="1"/>
  <c r="L178" i="31"/>
  <c r="H177" i="31"/>
  <c r="E176" i="31"/>
  <c r="F176" i="31" s="1"/>
  <c r="H175" i="31"/>
  <c r="H174" i="31"/>
  <c r="H176" i="31" s="1"/>
  <c r="H173" i="31"/>
  <c r="E173" i="31"/>
  <c r="F173" i="31" s="1"/>
  <c r="H172" i="31"/>
  <c r="E154" i="31"/>
  <c r="F154" i="31" s="1"/>
  <c r="E150" i="31"/>
  <c r="F150" i="31" s="1"/>
  <c r="L146" i="31"/>
  <c r="E146" i="31"/>
  <c r="F146" i="31" s="1"/>
  <c r="H145" i="31"/>
  <c r="H143" i="31"/>
  <c r="H142" i="31"/>
  <c r="H144" i="31" s="1"/>
  <c r="E142" i="31"/>
  <c r="F142" i="31" s="1"/>
  <c r="H141" i="31"/>
  <c r="H140" i="31"/>
  <c r="E138" i="31"/>
  <c r="F138" i="31" s="1"/>
  <c r="I129" i="31"/>
  <c r="K128" i="31"/>
  <c r="K127" i="31"/>
  <c r="J127" i="31"/>
  <c r="J126" i="31"/>
  <c r="I126" i="31"/>
  <c r="K125" i="31"/>
  <c r="I125" i="31"/>
  <c r="K124" i="31"/>
  <c r="K123" i="31"/>
  <c r="J123" i="31"/>
  <c r="K122" i="31"/>
  <c r="J122" i="31"/>
  <c r="I122" i="31"/>
  <c r="I121" i="31"/>
  <c r="E119" i="31"/>
  <c r="F119" i="31" s="1"/>
  <c r="E117" i="31"/>
  <c r="F117" i="31" s="1"/>
  <c r="L113" i="31"/>
  <c r="H112" i="31"/>
  <c r="E111" i="31"/>
  <c r="F111" i="31" s="1"/>
  <c r="H110" i="31"/>
  <c r="H109" i="31"/>
  <c r="H108" i="31"/>
  <c r="H107" i="31"/>
  <c r="E89" i="31"/>
  <c r="F89" i="31" s="1"/>
  <c r="E88" i="31"/>
  <c r="F88" i="31" s="1"/>
  <c r="E85" i="31"/>
  <c r="F85" i="31" s="1"/>
  <c r="E83" i="31"/>
  <c r="F83" i="31" s="1"/>
  <c r="L81" i="31"/>
  <c r="E81" i="31"/>
  <c r="F81" i="31" s="1"/>
  <c r="H80" i="31"/>
  <c r="H78" i="31"/>
  <c r="H77" i="31"/>
  <c r="E77" i="31"/>
  <c r="F77" i="31" s="1"/>
  <c r="H76" i="31"/>
  <c r="H75" i="31"/>
  <c r="E73" i="31"/>
  <c r="F73" i="31" s="1"/>
  <c r="E55" i="31"/>
  <c r="F55" i="31" s="1"/>
  <c r="E51" i="31"/>
  <c r="F51" i="31" s="1"/>
  <c r="L49" i="31"/>
  <c r="E49" i="31"/>
  <c r="F49" i="31" s="1"/>
  <c r="H48" i="31"/>
  <c r="E47" i="31"/>
  <c r="F47" i="31" s="1"/>
  <c r="H46" i="31"/>
  <c r="E46" i="31"/>
  <c r="F46" i="31" s="1"/>
  <c r="P50" i="31" s="1"/>
  <c r="H45" i="31"/>
  <c r="H44" i="31"/>
  <c r="H43" i="31"/>
  <c r="E43" i="31"/>
  <c r="F43" i="31" s="1"/>
  <c r="E26" i="31"/>
  <c r="F26" i="31" s="1"/>
  <c r="E23" i="31"/>
  <c r="F23" i="31" s="1"/>
  <c r="E21" i="31"/>
  <c r="F21" i="31" s="1"/>
  <c r="E19" i="31"/>
  <c r="F19" i="31" s="1"/>
  <c r="L17" i="31"/>
  <c r="H16" i="31"/>
  <c r="E15" i="31"/>
  <c r="F15" i="31" s="1"/>
  <c r="H14" i="31"/>
  <c r="H13" i="31"/>
  <c r="H15" i="31" s="1"/>
  <c r="E13" i="31"/>
  <c r="F13" i="31" s="1"/>
  <c r="H12" i="31"/>
  <c r="H11" i="31"/>
  <c r="E11" i="31"/>
  <c r="F11" i="31" s="1"/>
  <c r="E10" i="31"/>
  <c r="F10" i="31" s="1"/>
  <c r="H5" i="31"/>
  <c r="H5" i="28"/>
  <c r="L177" i="30"/>
  <c r="H176" i="30"/>
  <c r="H174" i="30"/>
  <c r="H173" i="30"/>
  <c r="H172" i="30"/>
  <c r="H171" i="30"/>
  <c r="L145" i="30"/>
  <c r="H144" i="30"/>
  <c r="H142" i="30"/>
  <c r="H141" i="30"/>
  <c r="H140" i="30"/>
  <c r="H139" i="30"/>
  <c r="L113" i="30"/>
  <c r="H112" i="30"/>
  <c r="H110" i="30"/>
  <c r="H109" i="30"/>
  <c r="H108" i="30"/>
  <c r="H107" i="30"/>
  <c r="L81" i="30"/>
  <c r="H80" i="30"/>
  <c r="H78" i="30"/>
  <c r="H77" i="30"/>
  <c r="H76" i="30"/>
  <c r="H75" i="30"/>
  <c r="L49" i="30"/>
  <c r="H48" i="30"/>
  <c r="H46" i="30"/>
  <c r="L46" i="30" s="1"/>
  <c r="H45" i="30"/>
  <c r="H44" i="30"/>
  <c r="L44" i="30" s="1"/>
  <c r="H43" i="30"/>
  <c r="L17" i="30"/>
  <c r="H16" i="30"/>
  <c r="H14" i="30"/>
  <c r="L14" i="30" s="1"/>
  <c r="H13" i="30"/>
  <c r="H12" i="30"/>
  <c r="L12" i="30" s="1"/>
  <c r="H11" i="30"/>
  <c r="L11" i="30" s="1"/>
  <c r="L76" i="31" l="1"/>
  <c r="L140" i="31"/>
  <c r="C27" i="31"/>
  <c r="C28" i="31" s="1"/>
  <c r="D156" i="31"/>
  <c r="D157" i="31" s="1"/>
  <c r="E141" i="31"/>
  <c r="F141" i="31" s="1"/>
  <c r="P145" i="31" s="1"/>
  <c r="E41" i="31"/>
  <c r="E59" i="31" s="1"/>
  <c r="B61" i="31" s="1"/>
  <c r="E44" i="31"/>
  <c r="F44" i="31" s="1"/>
  <c r="P48" i="31" s="1"/>
  <c r="L46" i="31"/>
  <c r="E74" i="31"/>
  <c r="F74" i="31" s="1"/>
  <c r="P78" i="31" s="1"/>
  <c r="C156" i="31"/>
  <c r="C157" i="31" s="1"/>
  <c r="F27" i="31"/>
  <c r="E17" i="31"/>
  <c r="F17" i="31" s="1"/>
  <c r="F156" i="31"/>
  <c r="L78" i="31"/>
  <c r="L107" i="31"/>
  <c r="L110" i="31"/>
  <c r="P177" i="31"/>
  <c r="P16" i="31"/>
  <c r="B156" i="31"/>
  <c r="B157" i="31" s="1"/>
  <c r="E139" i="31"/>
  <c r="F139" i="31" s="1"/>
  <c r="P143" i="31" s="1"/>
  <c r="L75" i="30"/>
  <c r="L109" i="30"/>
  <c r="L11" i="31"/>
  <c r="L14" i="31"/>
  <c r="E42" i="31"/>
  <c r="F42" i="31" s="1"/>
  <c r="L44" i="31"/>
  <c r="P142" i="31"/>
  <c r="L205" i="31"/>
  <c r="C188" i="31"/>
  <c r="C189" i="31" s="1"/>
  <c r="E170" i="31"/>
  <c r="F170" i="31" s="1"/>
  <c r="P174" i="31" s="1"/>
  <c r="F188" i="31"/>
  <c r="L110" i="30"/>
  <c r="L12" i="31"/>
  <c r="E76" i="31"/>
  <c r="F76" i="31" s="1"/>
  <c r="P80" i="31" s="1"/>
  <c r="C91" i="31"/>
  <c r="C92" i="31" s="1"/>
  <c r="L240" i="31"/>
  <c r="F59" i="31"/>
  <c r="E50" i="31"/>
  <c r="F50" i="31" s="1"/>
  <c r="E54" i="31"/>
  <c r="F54" i="31" s="1"/>
  <c r="E58" i="31"/>
  <c r="F58" i="31" s="1"/>
  <c r="F91" i="31"/>
  <c r="E80" i="31"/>
  <c r="F80" i="31" s="1"/>
  <c r="P84" i="31" s="1"/>
  <c r="B123" i="31"/>
  <c r="B124" i="31" s="1"/>
  <c r="B188" i="31"/>
  <c r="B189" i="31" s="1"/>
  <c r="E174" i="31"/>
  <c r="F174" i="31" s="1"/>
  <c r="E178" i="31"/>
  <c r="F178" i="31" s="1"/>
  <c r="L239" i="31"/>
  <c r="P47" i="31"/>
  <c r="P51" i="31"/>
  <c r="L108" i="31"/>
  <c r="L173" i="31"/>
  <c r="L13" i="30"/>
  <c r="L77" i="30"/>
  <c r="L107" i="30"/>
  <c r="E9" i="31"/>
  <c r="F9" i="31" s="1"/>
  <c r="P13" i="31" s="1"/>
  <c r="L43" i="31"/>
  <c r="H47" i="31"/>
  <c r="L47" i="31" s="1"/>
  <c r="L75" i="31"/>
  <c r="H79" i="31"/>
  <c r="H111" i="31"/>
  <c r="L111" i="31" s="1"/>
  <c r="E122" i="31"/>
  <c r="F122" i="31" s="1"/>
  <c r="L141" i="31"/>
  <c r="L143" i="31"/>
  <c r="L175" i="31"/>
  <c r="L204" i="31"/>
  <c r="L207" i="31"/>
  <c r="L236" i="31"/>
  <c r="L172" i="31"/>
  <c r="L176" i="31"/>
  <c r="P180" i="31"/>
  <c r="L237" i="31"/>
  <c r="B12" i="30"/>
  <c r="C17" i="30"/>
  <c r="D18" i="30"/>
  <c r="B20" i="30"/>
  <c r="C21" i="30"/>
  <c r="D22" i="30"/>
  <c r="B24" i="30"/>
  <c r="C25" i="30"/>
  <c r="D26" i="30"/>
  <c r="C123" i="31"/>
  <c r="C124" i="31" s="1"/>
  <c r="E106" i="31"/>
  <c r="F106" i="31" s="1"/>
  <c r="E112" i="31"/>
  <c r="F112" i="31" s="1"/>
  <c r="E116" i="31"/>
  <c r="F116" i="31" s="1"/>
  <c r="E120" i="31"/>
  <c r="F120" i="31" s="1"/>
  <c r="P115" i="31" s="1"/>
  <c r="E121" i="31"/>
  <c r="F121" i="31" s="1"/>
  <c r="C105" i="30"/>
  <c r="D106" i="30"/>
  <c r="C109" i="30"/>
  <c r="D110" i="30"/>
  <c r="C113" i="30"/>
  <c r="C252" i="31"/>
  <c r="C253" i="31" s="1"/>
  <c r="D252" i="31"/>
  <c r="D253" i="31" s="1"/>
  <c r="E237" i="31"/>
  <c r="F237" i="31" s="1"/>
  <c r="E238" i="31"/>
  <c r="F238" i="31" s="1"/>
  <c r="E239" i="31"/>
  <c r="F239" i="31" s="1"/>
  <c r="E241" i="31"/>
  <c r="F241" i="31" s="1"/>
  <c r="E242" i="31"/>
  <c r="F242" i="31" s="1"/>
  <c r="E245" i="31"/>
  <c r="F245" i="31" s="1"/>
  <c r="P240" i="31" s="1"/>
  <c r="E246" i="31"/>
  <c r="F246" i="31" s="1"/>
  <c r="E247" i="31"/>
  <c r="F247" i="31" s="1"/>
  <c r="E249" i="31"/>
  <c r="F249" i="31" s="1"/>
  <c r="P244" i="31" s="1"/>
  <c r="E250" i="31"/>
  <c r="F250" i="31" s="1"/>
  <c r="E251" i="31"/>
  <c r="F251" i="31" s="1"/>
  <c r="B13" i="30"/>
  <c r="C18" i="30"/>
  <c r="D19" i="30"/>
  <c r="B21" i="30"/>
  <c r="C22" i="30"/>
  <c r="D23" i="30"/>
  <c r="B25" i="30"/>
  <c r="C26" i="30"/>
  <c r="B43" i="30"/>
  <c r="B51" i="30"/>
  <c r="C52" i="30"/>
  <c r="D53" i="30"/>
  <c r="B55" i="30"/>
  <c r="C56" i="30"/>
  <c r="D57" i="30"/>
  <c r="C74" i="30"/>
  <c r="E107" i="31"/>
  <c r="F107" i="31" s="1"/>
  <c r="D107" i="30"/>
  <c r="C114" i="30"/>
  <c r="D115" i="30"/>
  <c r="B117" i="30"/>
  <c r="C118" i="30"/>
  <c r="D119" i="30"/>
  <c r="B121" i="30"/>
  <c r="C122" i="30"/>
  <c r="D137" i="30"/>
  <c r="B173" i="30"/>
  <c r="B177" i="30"/>
  <c r="P146" i="31"/>
  <c r="P178" i="31"/>
  <c r="B44" i="30"/>
  <c r="B48" i="30"/>
  <c r="D50" i="30"/>
  <c r="B52" i="30"/>
  <c r="C53" i="30"/>
  <c r="D54" i="30"/>
  <c r="B56" i="30"/>
  <c r="C57" i="30"/>
  <c r="D58" i="30"/>
  <c r="B74" i="30"/>
  <c r="C75" i="30"/>
  <c r="B78" i="30"/>
  <c r="B82" i="30"/>
  <c r="C83" i="30"/>
  <c r="D84" i="30"/>
  <c r="B86" i="30"/>
  <c r="C87" i="30"/>
  <c r="D88" i="30"/>
  <c r="B90" i="30"/>
  <c r="C137" i="30"/>
  <c r="D142" i="30"/>
  <c r="C149" i="30"/>
  <c r="D150" i="30"/>
  <c r="C153" i="30"/>
  <c r="D154" i="30"/>
  <c r="B170" i="30"/>
  <c r="B174" i="30"/>
  <c r="P15" i="31"/>
  <c r="B11" i="30"/>
  <c r="D13" i="30"/>
  <c r="D43" i="30"/>
  <c r="B45" i="30"/>
  <c r="D47" i="30"/>
  <c r="B49" i="30"/>
  <c r="C50" i="30"/>
  <c r="D51" i="30"/>
  <c r="B53" i="30"/>
  <c r="E53" i="30" s="1"/>
  <c r="F53" i="30" s="1"/>
  <c r="C54" i="30"/>
  <c r="D55" i="30"/>
  <c r="B57" i="30"/>
  <c r="C58" i="30"/>
  <c r="D73" i="30"/>
  <c r="B75" i="30"/>
  <c r="C76" i="30"/>
  <c r="B79" i="30"/>
  <c r="C80" i="30"/>
  <c r="B83" i="30"/>
  <c r="C84" i="30"/>
  <c r="D85" i="30"/>
  <c r="B87" i="30"/>
  <c r="C88" i="30"/>
  <c r="D89" i="30"/>
  <c r="B107" i="30"/>
  <c r="C108" i="30"/>
  <c r="D109" i="30"/>
  <c r="B111" i="30"/>
  <c r="C112" i="30"/>
  <c r="D113" i="30"/>
  <c r="B115" i="30"/>
  <c r="C116" i="30"/>
  <c r="D117" i="30"/>
  <c r="B119" i="30"/>
  <c r="C120" i="30"/>
  <c r="D121" i="30"/>
  <c r="C138" i="30"/>
  <c r="D143" i="30"/>
  <c r="C146" i="30"/>
  <c r="B149" i="30"/>
  <c r="D169" i="30"/>
  <c r="B171" i="30"/>
  <c r="D173" i="30"/>
  <c r="D177" i="30"/>
  <c r="B179" i="30"/>
  <c r="C180" i="30"/>
  <c r="D181" i="30"/>
  <c r="B183" i="30"/>
  <c r="C184" i="30"/>
  <c r="D185" i="30"/>
  <c r="E105" i="31"/>
  <c r="F105" i="31" s="1"/>
  <c r="E109" i="31"/>
  <c r="F109" i="31" s="1"/>
  <c r="E110" i="31"/>
  <c r="F110" i="31" s="1"/>
  <c r="P114" i="31" s="1"/>
  <c r="E113" i="31"/>
  <c r="F113" i="31" s="1"/>
  <c r="P117" i="31" s="1"/>
  <c r="E115" i="31"/>
  <c r="F115" i="31" s="1"/>
  <c r="E118" i="31"/>
  <c r="F118" i="31" s="1"/>
  <c r="C9" i="30"/>
  <c r="D25" i="30"/>
  <c r="E25" i="30" s="1"/>
  <c r="F25" i="30" s="1"/>
  <c r="C24" i="30"/>
  <c r="B23" i="30"/>
  <c r="D21" i="30"/>
  <c r="E21" i="30" s="1"/>
  <c r="F21" i="30" s="1"/>
  <c r="C20" i="30"/>
  <c r="B19" i="30"/>
  <c r="D17" i="30"/>
  <c r="C15" i="30"/>
  <c r="B14" i="30"/>
  <c r="D12" i="30"/>
  <c r="C11" i="30"/>
  <c r="B10" i="30"/>
  <c r="E10" i="30" s="1"/>
  <c r="F10" i="30" s="1"/>
  <c r="P14" i="30" s="1"/>
  <c r="B42" i="30"/>
  <c r="C43" i="30"/>
  <c r="D44" i="30"/>
  <c r="B46" i="30"/>
  <c r="C47" i="30"/>
  <c r="D48" i="30"/>
  <c r="B50" i="30"/>
  <c r="C51" i="30"/>
  <c r="E51" i="30" s="1"/>
  <c r="F51" i="30" s="1"/>
  <c r="D52" i="30"/>
  <c r="E52" i="30" s="1"/>
  <c r="F52" i="30" s="1"/>
  <c r="B54" i="30"/>
  <c r="C55" i="30"/>
  <c r="E55" i="30" s="1"/>
  <c r="F55" i="30" s="1"/>
  <c r="D56" i="30"/>
  <c r="E56" i="30" s="1"/>
  <c r="F56" i="30" s="1"/>
  <c r="P51" i="30" s="1"/>
  <c r="B58" i="30"/>
  <c r="E58" i="30" s="1"/>
  <c r="F58" i="30" s="1"/>
  <c r="C73" i="30"/>
  <c r="D74" i="30"/>
  <c r="E74" i="30" s="1"/>
  <c r="F74" i="30" s="1"/>
  <c r="B76" i="30"/>
  <c r="C77" i="30"/>
  <c r="D78" i="30"/>
  <c r="B80" i="30"/>
  <c r="C81" i="30"/>
  <c r="D82" i="30"/>
  <c r="B84" i="30"/>
  <c r="C85" i="30"/>
  <c r="D86" i="30"/>
  <c r="B88" i="30"/>
  <c r="E88" i="30" s="1"/>
  <c r="F88" i="30" s="1"/>
  <c r="C89" i="30"/>
  <c r="D90" i="30"/>
  <c r="D105" i="30"/>
  <c r="B122" i="30"/>
  <c r="D120" i="30"/>
  <c r="C119" i="30"/>
  <c r="B118" i="30"/>
  <c r="D116" i="30"/>
  <c r="C115" i="30"/>
  <c r="B114" i="30"/>
  <c r="D112" i="30"/>
  <c r="C111" i="30"/>
  <c r="B110" i="30"/>
  <c r="D108" i="30"/>
  <c r="C107" i="30"/>
  <c r="E107" i="30" s="1"/>
  <c r="B106" i="30"/>
  <c r="B138" i="30"/>
  <c r="C139" i="30"/>
  <c r="D140" i="30"/>
  <c r="B142" i="30"/>
  <c r="C143" i="30"/>
  <c r="D144" i="30"/>
  <c r="B146" i="30"/>
  <c r="C147" i="30"/>
  <c r="D148" i="30"/>
  <c r="B150" i="30"/>
  <c r="C151" i="30"/>
  <c r="D152" i="30"/>
  <c r="B154" i="30"/>
  <c r="C169" i="30"/>
  <c r="D170" i="30"/>
  <c r="B172" i="30"/>
  <c r="C173" i="30"/>
  <c r="D174" i="30"/>
  <c r="B176" i="30"/>
  <c r="C177" i="30"/>
  <c r="E177" i="30" s="1"/>
  <c r="F177" i="30" s="1"/>
  <c r="D178" i="30"/>
  <c r="B180" i="30"/>
  <c r="C181" i="30"/>
  <c r="D182" i="30"/>
  <c r="B184" i="30"/>
  <c r="C185" i="30"/>
  <c r="D186" i="30"/>
  <c r="P17" i="31"/>
  <c r="P49" i="31"/>
  <c r="P77" i="31"/>
  <c r="P81" i="31"/>
  <c r="E156" i="31"/>
  <c r="B158" i="31" s="1"/>
  <c r="D220" i="31"/>
  <c r="D221" i="31" s="1"/>
  <c r="B220" i="31"/>
  <c r="B221" i="31" s="1"/>
  <c r="E209" i="31"/>
  <c r="F209" i="31" s="1"/>
  <c r="P213" i="31" s="1"/>
  <c r="E211" i="31"/>
  <c r="F211" i="31" s="1"/>
  <c r="E213" i="31"/>
  <c r="F213" i="31" s="1"/>
  <c r="E217" i="31"/>
  <c r="F217" i="31" s="1"/>
  <c r="D9" i="30"/>
  <c r="B26" i="30"/>
  <c r="D24" i="30"/>
  <c r="C23" i="30"/>
  <c r="E23" i="30" s="1"/>
  <c r="F23" i="30" s="1"/>
  <c r="B22" i="30"/>
  <c r="E22" i="30" s="1"/>
  <c r="F22" i="30" s="1"/>
  <c r="D20" i="30"/>
  <c r="E20" i="30" s="1"/>
  <c r="F20" i="30" s="1"/>
  <c r="C19" i="30"/>
  <c r="E19" i="30" s="1"/>
  <c r="F19" i="30" s="1"/>
  <c r="B18" i="30"/>
  <c r="E18" i="30" s="1"/>
  <c r="F18" i="30" s="1"/>
  <c r="D15" i="30"/>
  <c r="C14" i="30"/>
  <c r="D11" i="30"/>
  <c r="C10" i="30"/>
  <c r="D41" i="30"/>
  <c r="D59" i="30" s="1"/>
  <c r="D60" i="30" s="1"/>
  <c r="C44" i="30"/>
  <c r="E44" i="30" s="1"/>
  <c r="F44" i="30" s="1"/>
  <c r="P48" i="30" s="1"/>
  <c r="D45" i="30"/>
  <c r="B47" i="30"/>
  <c r="E47" i="30" s="1"/>
  <c r="F47" i="30" s="1"/>
  <c r="C48" i="30"/>
  <c r="E48" i="30" s="1"/>
  <c r="F48" i="30" s="1"/>
  <c r="D49" i="30"/>
  <c r="B73" i="30"/>
  <c r="D75" i="30"/>
  <c r="B77" i="30"/>
  <c r="C78" i="30"/>
  <c r="E78" i="30" s="1"/>
  <c r="F78" i="30" s="1"/>
  <c r="D79" i="30"/>
  <c r="B81" i="30"/>
  <c r="C82" i="30"/>
  <c r="E82" i="30" s="1"/>
  <c r="F82" i="30" s="1"/>
  <c r="D83" i="30"/>
  <c r="E83" i="30" s="1"/>
  <c r="F83" i="30" s="1"/>
  <c r="B85" i="30"/>
  <c r="C86" i="30"/>
  <c r="D87" i="30"/>
  <c r="E87" i="30" s="1"/>
  <c r="F87" i="30" s="1"/>
  <c r="B89" i="30"/>
  <c r="C90" i="30"/>
  <c r="B105" i="30"/>
  <c r="B113" i="30"/>
  <c r="E113" i="30" s="1"/>
  <c r="F113" i="30" s="1"/>
  <c r="D111" i="30"/>
  <c r="C110" i="30"/>
  <c r="B109" i="30"/>
  <c r="C106" i="30"/>
  <c r="B139" i="30"/>
  <c r="C140" i="30"/>
  <c r="D141" i="30"/>
  <c r="B143" i="30"/>
  <c r="E143" i="30" s="1"/>
  <c r="F143" i="30" s="1"/>
  <c r="C144" i="30"/>
  <c r="D145" i="30"/>
  <c r="B147" i="30"/>
  <c r="C148" i="30"/>
  <c r="D149" i="30"/>
  <c r="E149" i="30" s="1"/>
  <c r="F149" i="30" s="1"/>
  <c r="B151" i="30"/>
  <c r="C152" i="30"/>
  <c r="D153" i="30"/>
  <c r="B169" i="30"/>
  <c r="C170" i="30"/>
  <c r="D171" i="30"/>
  <c r="C174" i="30"/>
  <c r="E174" i="30" s="1"/>
  <c r="F174" i="30" s="1"/>
  <c r="D175" i="30"/>
  <c r="C178" i="30"/>
  <c r="D179" i="30"/>
  <c r="B181" i="30"/>
  <c r="E181" i="30" s="1"/>
  <c r="F181" i="30" s="1"/>
  <c r="C182" i="30"/>
  <c r="D183" i="30"/>
  <c r="B185" i="30"/>
  <c r="C186" i="30"/>
  <c r="P14" i="31"/>
  <c r="E202" i="31"/>
  <c r="E204" i="31"/>
  <c r="F204" i="31" s="1"/>
  <c r="P208" i="31" s="1"/>
  <c r="E206" i="31"/>
  <c r="F206" i="31" s="1"/>
  <c r="E207" i="31"/>
  <c r="F207" i="31" s="1"/>
  <c r="E210" i="31"/>
  <c r="F210" i="31" s="1"/>
  <c r="E212" i="31"/>
  <c r="F212" i="31" s="1"/>
  <c r="E215" i="31"/>
  <c r="F215" i="31" s="1"/>
  <c r="P203" i="31" s="1"/>
  <c r="E216" i="31"/>
  <c r="F216" i="31" s="1"/>
  <c r="E218" i="31"/>
  <c r="F218" i="31" s="1"/>
  <c r="E219" i="31"/>
  <c r="F219" i="31" s="1"/>
  <c r="B9" i="30"/>
  <c r="B17" i="30"/>
  <c r="D14" i="30"/>
  <c r="C13" i="30"/>
  <c r="D10" i="30"/>
  <c r="C41" i="30"/>
  <c r="D42" i="30"/>
  <c r="C45" i="30"/>
  <c r="E45" i="30" s="1"/>
  <c r="F45" i="30" s="1"/>
  <c r="D46" i="30"/>
  <c r="C49" i="30"/>
  <c r="D76" i="30"/>
  <c r="C79" i="30"/>
  <c r="D80" i="30"/>
  <c r="D122" i="30"/>
  <c r="C121" i="30"/>
  <c r="B120" i="30"/>
  <c r="D118" i="30"/>
  <c r="C117" i="30"/>
  <c r="E117" i="30" s="1"/>
  <c r="F117" i="30" s="1"/>
  <c r="B116" i="30"/>
  <c r="D114" i="30"/>
  <c r="B112" i="30"/>
  <c r="E112" i="30" s="1"/>
  <c r="F112" i="30" s="1"/>
  <c r="B108" i="30"/>
  <c r="E108" i="30" s="1"/>
  <c r="F108" i="30" s="1"/>
  <c r="D138" i="30"/>
  <c r="B140" i="30"/>
  <c r="C141" i="30"/>
  <c r="B144" i="30"/>
  <c r="E144" i="30" s="1"/>
  <c r="F144" i="30" s="1"/>
  <c r="C145" i="30"/>
  <c r="D146" i="30"/>
  <c r="B148" i="30"/>
  <c r="E148" i="30" s="1"/>
  <c r="F148" i="30" s="1"/>
  <c r="B152" i="30"/>
  <c r="E152" i="30" s="1"/>
  <c r="F152" i="30" s="1"/>
  <c r="C171" i="30"/>
  <c r="D172" i="30"/>
  <c r="C175" i="30"/>
  <c r="D176" i="30"/>
  <c r="B178" i="30"/>
  <c r="E178" i="30" s="1"/>
  <c r="F178" i="30" s="1"/>
  <c r="C179" i="30"/>
  <c r="E179" i="30" s="1"/>
  <c r="F179" i="30" s="1"/>
  <c r="D180" i="30"/>
  <c r="B182" i="30"/>
  <c r="E182" i="30" s="1"/>
  <c r="F182" i="30" s="1"/>
  <c r="C183" i="30"/>
  <c r="E183" i="30" s="1"/>
  <c r="F183" i="30" s="1"/>
  <c r="D184" i="30"/>
  <c r="B186" i="30"/>
  <c r="E186" i="30" s="1"/>
  <c r="F186" i="30" s="1"/>
  <c r="P243" i="31"/>
  <c r="B15" i="30"/>
  <c r="C12" i="30"/>
  <c r="B41" i="30"/>
  <c r="C42" i="30"/>
  <c r="C46" i="30"/>
  <c r="D77" i="30"/>
  <c r="D81" i="30"/>
  <c r="B137" i="30"/>
  <c r="B155" i="30" s="1"/>
  <c r="D139" i="30"/>
  <c r="B141" i="30"/>
  <c r="C142" i="30"/>
  <c r="B145" i="30"/>
  <c r="E145" i="30" s="1"/>
  <c r="F145" i="30" s="1"/>
  <c r="D147" i="30"/>
  <c r="C150" i="30"/>
  <c r="D151" i="30"/>
  <c r="B153" i="30"/>
  <c r="E153" i="30" s="1"/>
  <c r="F153" i="30" s="1"/>
  <c r="P148" i="30" s="1"/>
  <c r="C154" i="30"/>
  <c r="C172" i="30"/>
  <c r="B175" i="30"/>
  <c r="C176" i="30"/>
  <c r="D16" i="30"/>
  <c r="E16" i="31"/>
  <c r="F16" i="31" s="1"/>
  <c r="D27" i="31"/>
  <c r="D28" i="31" s="1"/>
  <c r="B27" i="31"/>
  <c r="B28" i="31" s="1"/>
  <c r="B16" i="30"/>
  <c r="C16" i="30"/>
  <c r="L43" i="30"/>
  <c r="L45" i="30"/>
  <c r="L76" i="30"/>
  <c r="L78" i="30"/>
  <c r="L108" i="30"/>
  <c r="L139" i="30"/>
  <c r="L141" i="30"/>
  <c r="L172" i="30"/>
  <c r="L174" i="30"/>
  <c r="L140" i="30"/>
  <c r="L142" i="30"/>
  <c r="L171" i="30"/>
  <c r="L173" i="30"/>
  <c r="F252" i="31"/>
  <c r="E234" i="31"/>
  <c r="F202" i="31"/>
  <c r="P206" i="31" s="1"/>
  <c r="F220" i="31"/>
  <c r="E203" i="31"/>
  <c r="F203" i="31" s="1"/>
  <c r="P207" i="31" s="1"/>
  <c r="E188" i="31"/>
  <c r="B190" i="31" s="1"/>
  <c r="I175" i="31" s="1"/>
  <c r="J175" i="31" s="1"/>
  <c r="P181" i="31"/>
  <c r="Q174" i="31" s="1"/>
  <c r="P176" i="31"/>
  <c r="P179" i="31"/>
  <c r="P144" i="31"/>
  <c r="P112" i="31"/>
  <c r="F123" i="31"/>
  <c r="D123" i="31"/>
  <c r="D124" i="31" s="1"/>
  <c r="E114" i="31"/>
  <c r="F114" i="31" s="1"/>
  <c r="P109" i="31" s="1"/>
  <c r="P82" i="31"/>
  <c r="P79" i="31"/>
  <c r="F41" i="31"/>
  <c r="P45" i="31" s="1"/>
  <c r="P52" i="31"/>
  <c r="E27" i="31"/>
  <c r="B29" i="31" s="1"/>
  <c r="B31" i="31" s="1"/>
  <c r="I12" i="31" s="1"/>
  <c r="L144" i="31"/>
  <c r="H146" i="31"/>
  <c r="B191" i="31"/>
  <c r="D191" i="31"/>
  <c r="I172" i="31" s="1"/>
  <c r="J172" i="31" s="1"/>
  <c r="B192" i="31"/>
  <c r="I173" i="31" s="1"/>
  <c r="P19" i="31"/>
  <c r="P21" i="31"/>
  <c r="P110" i="31"/>
  <c r="P139" i="31"/>
  <c r="P182" i="31"/>
  <c r="P245" i="31"/>
  <c r="L15" i="31"/>
  <c r="H17" i="31"/>
  <c r="P10" i="31"/>
  <c r="P53" i="31"/>
  <c r="P149" i="31"/>
  <c r="P171" i="31"/>
  <c r="P212" i="31"/>
  <c r="P214" i="31"/>
  <c r="L208" i="31"/>
  <c r="H210" i="31"/>
  <c r="P20" i="31"/>
  <c r="P46" i="31"/>
  <c r="P42" i="31"/>
  <c r="P83" i="31"/>
  <c r="P85" i="31"/>
  <c r="L79" i="31"/>
  <c r="H81" i="31"/>
  <c r="B160" i="31"/>
  <c r="I141" i="31" s="1"/>
  <c r="I142" i="31"/>
  <c r="J142" i="31" s="1"/>
  <c r="B159" i="31"/>
  <c r="D159" i="31"/>
  <c r="I140" i="31" s="1"/>
  <c r="J140" i="31" s="1"/>
  <c r="P74" i="31"/>
  <c r="P148" i="31"/>
  <c r="P150" i="31"/>
  <c r="I14" i="31"/>
  <c r="J14" i="31" s="1"/>
  <c r="H113" i="31"/>
  <c r="I143" i="31"/>
  <c r="J143" i="31" s="1"/>
  <c r="H242" i="31"/>
  <c r="H49" i="31"/>
  <c r="H178" i="31"/>
  <c r="L45" i="31"/>
  <c r="P73" i="31"/>
  <c r="L109" i="31"/>
  <c r="P138" i="31"/>
  <c r="L174" i="31"/>
  <c r="P202" i="31"/>
  <c r="L238" i="31"/>
  <c r="L13" i="31"/>
  <c r="P41" i="31"/>
  <c r="L77" i="31"/>
  <c r="L142" i="31"/>
  <c r="P170" i="31"/>
  <c r="L206" i="31"/>
  <c r="E170" i="30"/>
  <c r="F170" i="30" s="1"/>
  <c r="H15" i="30"/>
  <c r="L15" i="30" s="1"/>
  <c r="H47" i="30"/>
  <c r="L47" i="30" s="1"/>
  <c r="H79" i="30"/>
  <c r="L79" i="30" s="1"/>
  <c r="H111" i="30"/>
  <c r="L111" i="30" s="1"/>
  <c r="H143" i="30"/>
  <c r="L143" i="30" s="1"/>
  <c r="H175" i="30"/>
  <c r="L175" i="30" s="1"/>
  <c r="E138" i="30"/>
  <c r="F138" i="30" s="1"/>
  <c r="H17" i="30"/>
  <c r="H49" i="30"/>
  <c r="H177" i="30"/>
  <c r="E73" i="30"/>
  <c r="F123" i="30"/>
  <c r="I46" i="31" l="1"/>
  <c r="J46" i="31" s="1"/>
  <c r="B63" i="31"/>
  <c r="I44" i="31" s="1"/>
  <c r="D62" i="31"/>
  <c r="I43" i="31" s="1"/>
  <c r="J43" i="31" s="1"/>
  <c r="B62" i="31"/>
  <c r="I45" i="31"/>
  <c r="J45" i="31" s="1"/>
  <c r="H113" i="30"/>
  <c r="Q83" i="31"/>
  <c r="B30" i="31"/>
  <c r="P235" i="31"/>
  <c r="E140" i="30"/>
  <c r="F140" i="30" s="1"/>
  <c r="E120" i="30"/>
  <c r="F120" i="30" s="1"/>
  <c r="E79" i="30"/>
  <c r="F79" i="30" s="1"/>
  <c r="P83" i="30" s="1"/>
  <c r="E185" i="30"/>
  <c r="F185" i="30" s="1"/>
  <c r="E109" i="30"/>
  <c r="F109" i="30" s="1"/>
  <c r="E105" i="30"/>
  <c r="F105" i="30" s="1"/>
  <c r="E86" i="30"/>
  <c r="F86" i="30" s="1"/>
  <c r="E75" i="30"/>
  <c r="F75" i="30" s="1"/>
  <c r="E119" i="30"/>
  <c r="F119" i="30" s="1"/>
  <c r="E50" i="30"/>
  <c r="F50" i="30" s="1"/>
  <c r="P111" i="31"/>
  <c r="I13" i="31"/>
  <c r="J13" i="31" s="1"/>
  <c r="B27" i="30"/>
  <c r="B28" i="30" s="1"/>
  <c r="E171" i="30"/>
  <c r="F171" i="30" s="1"/>
  <c r="E116" i="30"/>
  <c r="F116" i="30" s="1"/>
  <c r="E121" i="30"/>
  <c r="F121" i="30" s="1"/>
  <c r="E90" i="30"/>
  <c r="F90" i="30" s="1"/>
  <c r="E24" i="30"/>
  <c r="F24" i="30" s="1"/>
  <c r="E173" i="30"/>
  <c r="F173" i="30" s="1"/>
  <c r="E115" i="30"/>
  <c r="F115" i="30" s="1"/>
  <c r="E84" i="30"/>
  <c r="F84" i="30" s="1"/>
  <c r="E54" i="30"/>
  <c r="F54" i="30" s="1"/>
  <c r="P49" i="30" s="1"/>
  <c r="E43" i="30"/>
  <c r="F43" i="30" s="1"/>
  <c r="P47" i="30" s="1"/>
  <c r="E57" i="30"/>
  <c r="F57" i="30" s="1"/>
  <c r="P52" i="30" s="1"/>
  <c r="P116" i="31"/>
  <c r="E41" i="30"/>
  <c r="E9" i="30"/>
  <c r="P105" i="31"/>
  <c r="Q145" i="31"/>
  <c r="P106" i="31"/>
  <c r="I174" i="31"/>
  <c r="J174" i="31" s="1"/>
  <c r="E49" i="30"/>
  <c r="F49" i="30" s="1"/>
  <c r="P53" i="30" s="1"/>
  <c r="E17" i="30"/>
  <c r="F17" i="30" s="1"/>
  <c r="E91" i="31"/>
  <c r="B93" i="31" s="1"/>
  <c r="E89" i="30"/>
  <c r="F89" i="30" s="1"/>
  <c r="E26" i="30"/>
  <c r="F26" i="30" s="1"/>
  <c r="Q53" i="31"/>
  <c r="Q180" i="31"/>
  <c r="P112" i="30"/>
  <c r="P144" i="30"/>
  <c r="P181" i="30"/>
  <c r="E106" i="30"/>
  <c r="F106" i="30" s="1"/>
  <c r="E111" i="30"/>
  <c r="F111" i="30" s="1"/>
  <c r="P115" i="30" s="1"/>
  <c r="E122" i="30"/>
  <c r="F122" i="30" s="1"/>
  <c r="P117" i="30" s="1"/>
  <c r="E13" i="30"/>
  <c r="F13" i="30" s="1"/>
  <c r="P17" i="30" s="1"/>
  <c r="D155" i="30"/>
  <c r="D156" i="30" s="1"/>
  <c r="P177" i="30"/>
  <c r="P246" i="31"/>
  <c r="P241" i="31"/>
  <c r="C27" i="30"/>
  <c r="C28" i="30" s="1"/>
  <c r="D187" i="30"/>
  <c r="D188" i="30" s="1"/>
  <c r="C155" i="30"/>
  <c r="C156" i="30" s="1"/>
  <c r="E11" i="30"/>
  <c r="F11" i="30" s="1"/>
  <c r="P15" i="30" s="1"/>
  <c r="P242" i="31"/>
  <c r="D91" i="30"/>
  <c r="D92" i="30" s="1"/>
  <c r="D27" i="30"/>
  <c r="D28" i="30" s="1"/>
  <c r="C123" i="30"/>
  <c r="C124" i="30" s="1"/>
  <c r="E118" i="30"/>
  <c r="F118" i="30" s="1"/>
  <c r="P113" i="30" s="1"/>
  <c r="P10" i="30"/>
  <c r="F107" i="30"/>
  <c r="P111" i="30" s="1"/>
  <c r="P116" i="30"/>
  <c r="P178" i="30"/>
  <c r="P82" i="30"/>
  <c r="P42" i="30"/>
  <c r="P78" i="30"/>
  <c r="P210" i="31"/>
  <c r="P147" i="30"/>
  <c r="E77" i="30"/>
  <c r="F77" i="30" s="1"/>
  <c r="P81" i="30" s="1"/>
  <c r="E176" i="30"/>
  <c r="F176" i="30" s="1"/>
  <c r="P180" i="30" s="1"/>
  <c r="E146" i="30"/>
  <c r="F146" i="30" s="1"/>
  <c r="D123" i="30"/>
  <c r="D124" i="30" s="1"/>
  <c r="E76" i="30"/>
  <c r="F76" i="30" s="1"/>
  <c r="E46" i="30"/>
  <c r="F46" i="30" s="1"/>
  <c r="P50" i="30" s="1"/>
  <c r="E15" i="30"/>
  <c r="F15" i="30" s="1"/>
  <c r="P19" i="30" s="1"/>
  <c r="F155" i="30"/>
  <c r="E137" i="30"/>
  <c r="F137" i="30" s="1"/>
  <c r="E169" i="30"/>
  <c r="F187" i="30"/>
  <c r="Q20" i="31"/>
  <c r="Q181" i="31"/>
  <c r="Q49" i="31"/>
  <c r="E220" i="31"/>
  <c r="B222" i="31" s="1"/>
  <c r="C59" i="30"/>
  <c r="C60" i="30" s="1"/>
  <c r="P211" i="31"/>
  <c r="E139" i="30"/>
  <c r="F139" i="30" s="1"/>
  <c r="P143" i="30" s="1"/>
  <c r="E172" i="30"/>
  <c r="F172" i="30" s="1"/>
  <c r="P176" i="30" s="1"/>
  <c r="E142" i="30"/>
  <c r="F142" i="30" s="1"/>
  <c r="P110" i="30"/>
  <c r="E42" i="30"/>
  <c r="F42" i="30" s="1"/>
  <c r="P46" i="30" s="1"/>
  <c r="E14" i="30"/>
  <c r="F14" i="30" s="1"/>
  <c r="P18" i="30" s="1"/>
  <c r="F91" i="30"/>
  <c r="B91" i="30"/>
  <c r="B92" i="30" s="1"/>
  <c r="P174" i="30"/>
  <c r="Q170" i="31"/>
  <c r="Q179" i="31"/>
  <c r="Q175" i="31"/>
  <c r="B187" i="30"/>
  <c r="I207" i="31"/>
  <c r="J207" i="31" s="1"/>
  <c r="B123" i="30"/>
  <c r="E123" i="31"/>
  <c r="B125" i="31" s="1"/>
  <c r="Q138" i="31"/>
  <c r="P9" i="31"/>
  <c r="Q150" i="31"/>
  <c r="Q42" i="31"/>
  <c r="Q177" i="31"/>
  <c r="E141" i="30"/>
  <c r="F141" i="30" s="1"/>
  <c r="E151" i="30"/>
  <c r="F151" i="30" s="1"/>
  <c r="E85" i="30"/>
  <c r="F85" i="30" s="1"/>
  <c r="P74" i="30" s="1"/>
  <c r="E184" i="30"/>
  <c r="F184" i="30" s="1"/>
  <c r="E154" i="30"/>
  <c r="F154" i="30" s="1"/>
  <c r="P149" i="30" s="1"/>
  <c r="E110" i="30"/>
  <c r="F110" i="30" s="1"/>
  <c r="P114" i="30" s="1"/>
  <c r="C91" i="30"/>
  <c r="C92" i="30" s="1"/>
  <c r="E12" i="30"/>
  <c r="F12" i="30" s="1"/>
  <c r="P16" i="30" s="1"/>
  <c r="F59" i="30"/>
  <c r="B59" i="30"/>
  <c r="B60" i="30" s="1"/>
  <c r="E175" i="30"/>
  <c r="F175" i="30" s="1"/>
  <c r="P179" i="30" s="1"/>
  <c r="E147" i="30"/>
  <c r="F147" i="30" s="1"/>
  <c r="P142" i="30" s="1"/>
  <c r="E81" i="30"/>
  <c r="F81" i="30" s="1"/>
  <c r="P85" i="30" s="1"/>
  <c r="E180" i="30"/>
  <c r="F180" i="30" s="1"/>
  <c r="P175" i="30" s="1"/>
  <c r="C187" i="30"/>
  <c r="C188" i="30" s="1"/>
  <c r="E150" i="30"/>
  <c r="F150" i="30" s="1"/>
  <c r="E114" i="30"/>
  <c r="F114" i="30" s="1"/>
  <c r="P106" i="30" s="1"/>
  <c r="E80" i="30"/>
  <c r="F80" i="30" s="1"/>
  <c r="P84" i="30" s="1"/>
  <c r="P113" i="31"/>
  <c r="Q117" i="31" s="1"/>
  <c r="F27" i="30"/>
  <c r="E16" i="30"/>
  <c r="F16" i="30" s="1"/>
  <c r="P20" i="30" s="1"/>
  <c r="D30" i="31"/>
  <c r="I11" i="31" s="1"/>
  <c r="J11" i="31" s="1"/>
  <c r="H145" i="30"/>
  <c r="H81" i="30"/>
  <c r="E252" i="31"/>
  <c r="B254" i="31" s="1"/>
  <c r="F234" i="31"/>
  <c r="Q210" i="31"/>
  <c r="B224" i="31"/>
  <c r="I205" i="31" s="1"/>
  <c r="Q203" i="31"/>
  <c r="Q176" i="31"/>
  <c r="Q182" i="31"/>
  <c r="Q178" i="31"/>
  <c r="Q116" i="31"/>
  <c r="Q111" i="31"/>
  <c r="Q115" i="31"/>
  <c r="Q74" i="31"/>
  <c r="Q9" i="31"/>
  <c r="Q17" i="31"/>
  <c r="I49" i="31"/>
  <c r="D63" i="31"/>
  <c r="I48" i="31" s="1"/>
  <c r="J48" i="31" s="1"/>
  <c r="I15" i="31"/>
  <c r="J15" i="31" s="1"/>
  <c r="J12" i="31"/>
  <c r="Q78" i="31"/>
  <c r="Q207" i="31"/>
  <c r="Q142" i="31"/>
  <c r="Q85" i="31"/>
  <c r="Q46" i="31"/>
  <c r="Q77" i="31"/>
  <c r="Q10" i="31"/>
  <c r="Q47" i="31"/>
  <c r="Q18" i="31"/>
  <c r="D160" i="31"/>
  <c r="I145" i="31" s="1"/>
  <c r="J145" i="31" s="1"/>
  <c r="I146" i="31"/>
  <c r="J205" i="31"/>
  <c r="I176" i="31"/>
  <c r="J176" i="31" s="1"/>
  <c r="J173" i="31"/>
  <c r="Q41" i="31"/>
  <c r="Q202" i="31"/>
  <c r="Q73" i="31"/>
  <c r="Q148" i="31"/>
  <c r="Q80" i="31"/>
  <c r="Q209" i="31"/>
  <c r="Q144" i="31"/>
  <c r="Q109" i="31"/>
  <c r="Q48" i="31"/>
  <c r="Q171" i="31"/>
  <c r="Q146" i="31"/>
  <c r="Q79" i="31"/>
  <c r="Q51" i="31"/>
  <c r="Q15" i="31"/>
  <c r="Q206" i="31"/>
  <c r="Q139" i="31"/>
  <c r="Q112" i="31"/>
  <c r="Q50" i="31"/>
  <c r="Q19" i="31"/>
  <c r="I178" i="31"/>
  <c r="D192" i="31"/>
  <c r="I177" i="31" s="1"/>
  <c r="J177" i="31" s="1"/>
  <c r="D31" i="31"/>
  <c r="I16" i="31" s="1"/>
  <c r="J16" i="31" s="1"/>
  <c r="K43" i="31" s="1"/>
  <c r="M43" i="31" s="1"/>
  <c r="I17" i="31"/>
  <c r="Q147" i="31"/>
  <c r="Q149" i="31"/>
  <c r="Q82" i="31"/>
  <c r="Q14" i="31"/>
  <c r="Q208" i="31"/>
  <c r="Q106" i="31"/>
  <c r="Q81" i="31"/>
  <c r="Q21" i="31"/>
  <c r="Q105" i="31"/>
  <c r="L116" i="31"/>
  <c r="B126" i="31"/>
  <c r="I110" i="31"/>
  <c r="J110" i="31" s="1"/>
  <c r="B127" i="31"/>
  <c r="I108" i="31" s="1"/>
  <c r="D126" i="31"/>
  <c r="I107" i="31" s="1"/>
  <c r="J107" i="31" s="1"/>
  <c r="I109" i="31"/>
  <c r="J109" i="31" s="1"/>
  <c r="I144" i="31"/>
  <c r="J144" i="31" s="1"/>
  <c r="J141" i="31"/>
  <c r="I47" i="31"/>
  <c r="J47" i="31" s="1"/>
  <c r="J44" i="31"/>
  <c r="Q214" i="31"/>
  <c r="Q113" i="31"/>
  <c r="Q52" i="31"/>
  <c r="Q16" i="31"/>
  <c r="Q211" i="31"/>
  <c r="Q143" i="31"/>
  <c r="Q84" i="31"/>
  <c r="Q45" i="31"/>
  <c r="Q13" i="31"/>
  <c r="K11" i="31"/>
  <c r="M11" i="31" s="1"/>
  <c r="B188" i="30"/>
  <c r="B95" i="30"/>
  <c r="I76" i="30" s="1"/>
  <c r="E91" i="30"/>
  <c r="B93" i="30" s="1"/>
  <c r="B94" i="30" s="1"/>
  <c r="F73" i="30"/>
  <c r="P141" i="30"/>
  <c r="P137" i="30"/>
  <c r="B124" i="30"/>
  <c r="F9" i="30"/>
  <c r="E27" i="30"/>
  <c r="B29" i="30" s="1"/>
  <c r="B30" i="30" s="1"/>
  <c r="P109" i="30"/>
  <c r="Q113" i="30" s="1"/>
  <c r="P105" i="30"/>
  <c r="Q105" i="30" s="1"/>
  <c r="B156" i="30"/>
  <c r="E59" i="30"/>
  <c r="B61" i="30" s="1"/>
  <c r="B63" i="30" s="1"/>
  <c r="I44" i="30" s="1"/>
  <c r="F41" i="30"/>
  <c r="E155" i="30"/>
  <c r="B157" i="30" s="1"/>
  <c r="B158" i="30" s="1"/>
  <c r="Q111" i="30"/>
  <c r="D94" i="31" l="1"/>
  <c r="I75" i="31" s="1"/>
  <c r="J75" i="31" s="1"/>
  <c r="I78" i="31"/>
  <c r="J78" i="31" s="1"/>
  <c r="B95" i="31"/>
  <c r="I76" i="31" s="1"/>
  <c r="B94" i="31"/>
  <c r="I77" i="31"/>
  <c r="J77" i="31" s="1"/>
  <c r="P21" i="30"/>
  <c r="P79" i="30"/>
  <c r="Q213" i="31"/>
  <c r="K109" i="31"/>
  <c r="M109" i="31" s="1"/>
  <c r="K44" i="31"/>
  <c r="M44" i="31" s="1"/>
  <c r="Q114" i="31"/>
  <c r="Q212" i="31"/>
  <c r="Q110" i="31"/>
  <c r="B223" i="31"/>
  <c r="D223" i="31"/>
  <c r="I204" i="31" s="1"/>
  <c r="J204" i="31" s="1"/>
  <c r="I206" i="31"/>
  <c r="J206" i="31" s="1"/>
  <c r="K206" i="31" s="1"/>
  <c r="M206" i="31" s="1"/>
  <c r="E187" i="30"/>
  <c r="B189" i="30" s="1"/>
  <c r="F169" i="30"/>
  <c r="K14" i="31"/>
  <c r="M14" i="31" s="1"/>
  <c r="K46" i="31"/>
  <c r="M46" i="31" s="1"/>
  <c r="P146" i="30"/>
  <c r="P138" i="30"/>
  <c r="Q138" i="30" s="1"/>
  <c r="P170" i="30"/>
  <c r="E123" i="30"/>
  <c r="B125" i="30" s="1"/>
  <c r="I78" i="30"/>
  <c r="J78" i="30" s="1"/>
  <c r="P145" i="30"/>
  <c r="Q145" i="30" s="1"/>
  <c r="P80" i="30"/>
  <c r="K110" i="31"/>
  <c r="M110" i="31" s="1"/>
  <c r="K174" i="31"/>
  <c r="M174" i="31" s="1"/>
  <c r="K144" i="31"/>
  <c r="M144" i="31" s="1"/>
  <c r="K141" i="31"/>
  <c r="M141" i="31" s="1"/>
  <c r="K140" i="31"/>
  <c r="M140" i="31" s="1"/>
  <c r="K172" i="31"/>
  <c r="M172" i="31" s="1"/>
  <c r="K47" i="31"/>
  <c r="M47" i="31" s="1"/>
  <c r="K107" i="31"/>
  <c r="M107" i="31" s="1"/>
  <c r="B159" i="30"/>
  <c r="I140" i="30" s="1"/>
  <c r="I77" i="30"/>
  <c r="J77" i="30" s="1"/>
  <c r="D94" i="30"/>
  <c r="I75" i="30" s="1"/>
  <c r="J75" i="30" s="1"/>
  <c r="P238" i="31"/>
  <c r="P234" i="31"/>
  <c r="I239" i="31"/>
  <c r="J239" i="31" s="1"/>
  <c r="K239" i="31" s="1"/>
  <c r="M239" i="31" s="1"/>
  <c r="B255" i="31"/>
  <c r="I238" i="31"/>
  <c r="J238" i="31" s="1"/>
  <c r="K238" i="31" s="1"/>
  <c r="M238" i="31" s="1"/>
  <c r="B256" i="31"/>
  <c r="I237" i="31" s="1"/>
  <c r="D255" i="31"/>
  <c r="I236" i="31" s="1"/>
  <c r="J236" i="31" s="1"/>
  <c r="K236" i="31" s="1"/>
  <c r="M236" i="31" s="1"/>
  <c r="K75" i="31"/>
  <c r="M75" i="31" s="1"/>
  <c r="K207" i="31"/>
  <c r="M207" i="31" s="1"/>
  <c r="I113" i="31"/>
  <c r="D127" i="31"/>
  <c r="I112" i="31" s="1"/>
  <c r="J112" i="31" s="1"/>
  <c r="H18" i="31"/>
  <c r="P11" i="31"/>
  <c r="H19" i="31"/>
  <c r="P12" i="31"/>
  <c r="P23" i="31"/>
  <c r="H20" i="31"/>
  <c r="P22" i="31"/>
  <c r="K205" i="31"/>
  <c r="M205" i="31" s="1"/>
  <c r="K175" i="31"/>
  <c r="M175" i="31" s="1"/>
  <c r="K204" i="31"/>
  <c r="M204" i="31" s="1"/>
  <c r="K142" i="31"/>
  <c r="M142" i="31" s="1"/>
  <c r="K15" i="31"/>
  <c r="M15" i="31" s="1"/>
  <c r="H147" i="31"/>
  <c r="P140" i="31"/>
  <c r="H148" i="31"/>
  <c r="P141" i="31"/>
  <c r="P152" i="31"/>
  <c r="H149" i="31"/>
  <c r="P151" i="31"/>
  <c r="K13" i="31"/>
  <c r="M13" i="31" s="1"/>
  <c r="K176" i="31"/>
  <c r="M176" i="31" s="1"/>
  <c r="K45" i="31"/>
  <c r="M45" i="31" s="1"/>
  <c r="K77" i="31"/>
  <c r="M77" i="31" s="1"/>
  <c r="K12" i="31"/>
  <c r="M12" i="31" s="1"/>
  <c r="I111" i="31"/>
  <c r="J111" i="31" s="1"/>
  <c r="K111" i="31" s="1"/>
  <c r="M111" i="31" s="1"/>
  <c r="J108" i="31"/>
  <c r="K108" i="31" s="1"/>
  <c r="M108" i="31" s="1"/>
  <c r="K143" i="31"/>
  <c r="M143" i="31" s="1"/>
  <c r="K173" i="31"/>
  <c r="M173" i="31" s="1"/>
  <c r="K78" i="31"/>
  <c r="M78" i="31" s="1"/>
  <c r="P184" i="31"/>
  <c r="H181" i="31"/>
  <c r="P183" i="31"/>
  <c r="H179" i="31"/>
  <c r="P172" i="31"/>
  <c r="H180" i="31"/>
  <c r="P173" i="31"/>
  <c r="P55" i="31"/>
  <c r="H52" i="31"/>
  <c r="P54" i="31"/>
  <c r="H50" i="31"/>
  <c r="P43" i="31"/>
  <c r="H51" i="31"/>
  <c r="P44" i="31"/>
  <c r="J44" i="30"/>
  <c r="Q109" i="30"/>
  <c r="Q116" i="30"/>
  <c r="Q117" i="30"/>
  <c r="Q110" i="30"/>
  <c r="Q114" i="30"/>
  <c r="Q115" i="30"/>
  <c r="Q112" i="30"/>
  <c r="P77" i="30"/>
  <c r="P73" i="30"/>
  <c r="I142" i="30"/>
  <c r="J142" i="30" s="1"/>
  <c r="I46" i="30"/>
  <c r="J46" i="30" s="1"/>
  <c r="B31" i="30"/>
  <c r="I12" i="30" s="1"/>
  <c r="Q106" i="30"/>
  <c r="B62" i="30"/>
  <c r="D62" i="30"/>
  <c r="I43" i="30" s="1"/>
  <c r="J43" i="30" s="1"/>
  <c r="I17" i="30"/>
  <c r="I79" i="30"/>
  <c r="J79" i="30" s="1"/>
  <c r="J76" i="30"/>
  <c r="I13" i="30"/>
  <c r="J13" i="30" s="1"/>
  <c r="J140" i="30"/>
  <c r="P13" i="30"/>
  <c r="P9" i="30"/>
  <c r="Q141" i="30"/>
  <c r="Q147" i="30"/>
  <c r="Q149" i="30"/>
  <c r="Q143" i="30"/>
  <c r="Q146" i="30"/>
  <c r="D95" i="30"/>
  <c r="I80" i="30" s="1"/>
  <c r="J80" i="30" s="1"/>
  <c r="I81" i="30"/>
  <c r="I45" i="30"/>
  <c r="J45" i="30" s="1"/>
  <c r="I141" i="30"/>
  <c r="J141" i="30" s="1"/>
  <c r="I145" i="30"/>
  <c r="P45" i="30"/>
  <c r="P41" i="30"/>
  <c r="D158" i="30"/>
  <c r="I139" i="30" s="1"/>
  <c r="J139" i="30" s="1"/>
  <c r="I14" i="30"/>
  <c r="J14" i="30" s="1"/>
  <c r="D30" i="30"/>
  <c r="I11" i="30" s="1"/>
  <c r="J11" i="30" s="1"/>
  <c r="F252" i="28"/>
  <c r="D252" i="28"/>
  <c r="D253" i="28" s="1"/>
  <c r="C252" i="28"/>
  <c r="C253" i="28" s="1"/>
  <c r="B252" i="28"/>
  <c r="B253" i="28" s="1"/>
  <c r="E251" i="28"/>
  <c r="F251" i="28" s="1"/>
  <c r="E250" i="28"/>
  <c r="F250" i="28" s="1"/>
  <c r="E249" i="28"/>
  <c r="F249" i="28" s="1"/>
  <c r="E248" i="28"/>
  <c r="F248" i="28" s="1"/>
  <c r="E247" i="28"/>
  <c r="F247" i="28" s="1"/>
  <c r="E246" i="28"/>
  <c r="F246" i="28" s="1"/>
  <c r="E245" i="28"/>
  <c r="F245" i="28" s="1"/>
  <c r="E244" i="28"/>
  <c r="F244" i="28" s="1"/>
  <c r="F243" i="28"/>
  <c r="E243" i="28"/>
  <c r="L242" i="28"/>
  <c r="E242" i="28"/>
  <c r="F242" i="28" s="1"/>
  <c r="H241" i="28"/>
  <c r="E241" i="28"/>
  <c r="F241" i="28" s="1"/>
  <c r="P245" i="28" s="1"/>
  <c r="E240" i="28"/>
  <c r="F240" i="28" s="1"/>
  <c r="P244" i="28" s="1"/>
  <c r="H239" i="28"/>
  <c r="E239" i="28"/>
  <c r="F239" i="28" s="1"/>
  <c r="H238" i="28"/>
  <c r="H240" i="28" s="1"/>
  <c r="E238" i="28"/>
  <c r="F238" i="28" s="1"/>
  <c r="P242" i="28" s="1"/>
  <c r="H237" i="28"/>
  <c r="E237" i="28"/>
  <c r="F237" i="28" s="1"/>
  <c r="P241" i="28" s="1"/>
  <c r="H236" i="28"/>
  <c r="F236" i="28"/>
  <c r="E236" i="28"/>
  <c r="F235" i="28"/>
  <c r="P239" i="28" s="1"/>
  <c r="E235" i="28"/>
  <c r="F234" i="28"/>
  <c r="E234" i="28"/>
  <c r="C221" i="28"/>
  <c r="F220" i="28"/>
  <c r="D220" i="28"/>
  <c r="D221" i="28" s="1"/>
  <c r="C220" i="28"/>
  <c r="B220" i="28"/>
  <c r="B221" i="28" s="1"/>
  <c r="E219" i="28"/>
  <c r="F219" i="28" s="1"/>
  <c r="E218" i="28"/>
  <c r="F218" i="28" s="1"/>
  <c r="E217" i="28"/>
  <c r="F217" i="28" s="1"/>
  <c r="F216" i="28"/>
  <c r="E216" i="28"/>
  <c r="E215" i="28"/>
  <c r="F215" i="28" s="1"/>
  <c r="E214" i="28"/>
  <c r="F214" i="28" s="1"/>
  <c r="F213" i="28"/>
  <c r="E213" i="28"/>
  <c r="E212" i="28"/>
  <c r="F212" i="28" s="1"/>
  <c r="E211" i="28"/>
  <c r="F211" i="28" s="1"/>
  <c r="L210" i="28"/>
  <c r="E210" i="28"/>
  <c r="F210" i="28" s="1"/>
  <c r="P214" i="28" s="1"/>
  <c r="H209" i="28"/>
  <c r="E209" i="28"/>
  <c r="F209" i="28" s="1"/>
  <c r="F208" i="28"/>
  <c r="P212" i="28" s="1"/>
  <c r="E208" i="28"/>
  <c r="H207" i="28"/>
  <c r="E207" i="28"/>
  <c r="F207" i="28" s="1"/>
  <c r="H206" i="28"/>
  <c r="E206" i="28"/>
  <c r="F206" i="28" s="1"/>
  <c r="H205" i="28"/>
  <c r="E205" i="28"/>
  <c r="F205" i="28" s="1"/>
  <c r="P209" i="28" s="1"/>
  <c r="H204" i="28"/>
  <c r="E204" i="28"/>
  <c r="F204" i="28" s="1"/>
  <c r="E203" i="28"/>
  <c r="F203" i="28" s="1"/>
  <c r="P207" i="28" s="1"/>
  <c r="E202" i="28"/>
  <c r="F188" i="28"/>
  <c r="D188" i="28"/>
  <c r="D189" i="28" s="1"/>
  <c r="C188" i="28"/>
  <c r="C189" i="28" s="1"/>
  <c r="B188" i="28"/>
  <c r="B189" i="28" s="1"/>
  <c r="E187" i="28"/>
  <c r="F187" i="28" s="1"/>
  <c r="E186" i="28"/>
  <c r="F186" i="28" s="1"/>
  <c r="E185" i="28"/>
  <c r="F185" i="28" s="1"/>
  <c r="E184" i="28"/>
  <c r="F184" i="28" s="1"/>
  <c r="E183" i="28"/>
  <c r="F183" i="28" s="1"/>
  <c r="E182" i="28"/>
  <c r="F182" i="28" s="1"/>
  <c r="E181" i="28"/>
  <c r="F181" i="28" s="1"/>
  <c r="E180" i="28"/>
  <c r="F180" i="28" s="1"/>
  <c r="E179" i="28"/>
  <c r="F179" i="28" s="1"/>
  <c r="L178" i="28"/>
  <c r="E178" i="28"/>
  <c r="F178" i="28" s="1"/>
  <c r="H177" i="28"/>
  <c r="E177" i="28"/>
  <c r="F177" i="28" s="1"/>
  <c r="P181" i="28" s="1"/>
  <c r="F176" i="28"/>
  <c r="P180" i="28" s="1"/>
  <c r="E176" i="28"/>
  <c r="H175" i="28"/>
  <c r="F175" i="28"/>
  <c r="P179" i="28" s="1"/>
  <c r="E175" i="28"/>
  <c r="H174" i="28"/>
  <c r="E174" i="28"/>
  <c r="F174" i="28" s="1"/>
  <c r="H173" i="28"/>
  <c r="E173" i="28"/>
  <c r="F173" i="28" s="1"/>
  <c r="H172" i="28"/>
  <c r="E172" i="28"/>
  <c r="F172" i="28" s="1"/>
  <c r="E171" i="28"/>
  <c r="F171" i="28" s="1"/>
  <c r="P175" i="28" s="1"/>
  <c r="F170" i="28"/>
  <c r="E170" i="28"/>
  <c r="F156" i="28"/>
  <c r="D156" i="28"/>
  <c r="D157" i="28" s="1"/>
  <c r="C156" i="28"/>
  <c r="C157" i="28" s="1"/>
  <c r="B156" i="28"/>
  <c r="B157" i="28" s="1"/>
  <c r="E155" i="28"/>
  <c r="F155" i="28" s="1"/>
  <c r="E154" i="28"/>
  <c r="F154" i="28" s="1"/>
  <c r="E153" i="28"/>
  <c r="F153" i="28" s="1"/>
  <c r="E152" i="28"/>
  <c r="F152" i="28" s="1"/>
  <c r="E151" i="28"/>
  <c r="F151" i="28" s="1"/>
  <c r="E150" i="28"/>
  <c r="F150" i="28" s="1"/>
  <c r="E149" i="28"/>
  <c r="F149" i="28" s="1"/>
  <c r="E148" i="28"/>
  <c r="F148" i="28" s="1"/>
  <c r="F147" i="28"/>
  <c r="E147" i="28"/>
  <c r="L146" i="28"/>
  <c r="E146" i="28"/>
  <c r="F146" i="28" s="1"/>
  <c r="P150" i="28" s="1"/>
  <c r="H145" i="28"/>
  <c r="E145" i="28"/>
  <c r="F145" i="28" s="1"/>
  <c r="E144" i="28"/>
  <c r="F144" i="28" s="1"/>
  <c r="H143" i="28"/>
  <c r="E143" i="28"/>
  <c r="F143" i="28" s="1"/>
  <c r="H142" i="28"/>
  <c r="F142" i="28"/>
  <c r="P146" i="28" s="1"/>
  <c r="E142" i="28"/>
  <c r="H141" i="28"/>
  <c r="E141" i="28"/>
  <c r="F141" i="28" s="1"/>
  <c r="H140" i="28"/>
  <c r="E140" i="28"/>
  <c r="F140" i="28" s="1"/>
  <c r="E139" i="28"/>
  <c r="F139" i="28" s="1"/>
  <c r="E138" i="28"/>
  <c r="F123" i="28"/>
  <c r="D123" i="28"/>
  <c r="D124" i="28" s="1"/>
  <c r="C123" i="28"/>
  <c r="C124" i="28" s="1"/>
  <c r="B123" i="28"/>
  <c r="B124" i="28" s="1"/>
  <c r="E122" i="28"/>
  <c r="F122" i="28" s="1"/>
  <c r="E121" i="28"/>
  <c r="F121" i="28" s="1"/>
  <c r="E120" i="28"/>
  <c r="F120" i="28" s="1"/>
  <c r="E119" i="28"/>
  <c r="F119" i="28" s="1"/>
  <c r="E118" i="28"/>
  <c r="F118" i="28" s="1"/>
  <c r="E117" i="28"/>
  <c r="F117" i="28" s="1"/>
  <c r="E116" i="28"/>
  <c r="F116" i="28" s="1"/>
  <c r="E115" i="28"/>
  <c r="F115" i="28" s="1"/>
  <c r="F114" i="28"/>
  <c r="E114" i="28"/>
  <c r="L113" i="28"/>
  <c r="E113" i="28"/>
  <c r="F113" i="28" s="1"/>
  <c r="H112" i="28"/>
  <c r="E112" i="28"/>
  <c r="F112" i="28" s="1"/>
  <c r="P116" i="28" s="1"/>
  <c r="F111" i="28"/>
  <c r="E111" i="28"/>
  <c r="H110" i="28"/>
  <c r="E110" i="28"/>
  <c r="F110" i="28" s="1"/>
  <c r="H109" i="28"/>
  <c r="H111" i="28" s="1"/>
  <c r="E109" i="28"/>
  <c r="F109" i="28" s="1"/>
  <c r="P113" i="28" s="1"/>
  <c r="H108" i="28"/>
  <c r="E108" i="28"/>
  <c r="F108" i="28" s="1"/>
  <c r="P112" i="28" s="1"/>
  <c r="H107" i="28"/>
  <c r="E107" i="28"/>
  <c r="F107" i="28" s="1"/>
  <c r="E106" i="28"/>
  <c r="F106" i="28" s="1"/>
  <c r="P110" i="28" s="1"/>
  <c r="E105" i="28"/>
  <c r="F91" i="28"/>
  <c r="D91" i="28"/>
  <c r="D92" i="28" s="1"/>
  <c r="C91" i="28"/>
  <c r="C92" i="28" s="1"/>
  <c r="B91" i="28"/>
  <c r="B92" i="28" s="1"/>
  <c r="E90" i="28"/>
  <c r="F90" i="28" s="1"/>
  <c r="E89" i="28"/>
  <c r="F89" i="28" s="1"/>
  <c r="E88" i="28"/>
  <c r="F88" i="28" s="1"/>
  <c r="F87" i="28"/>
  <c r="E87" i="28"/>
  <c r="E86" i="28"/>
  <c r="F86" i="28" s="1"/>
  <c r="E85" i="28"/>
  <c r="F85" i="28" s="1"/>
  <c r="F84" i="28"/>
  <c r="E84" i="28"/>
  <c r="E83" i="28"/>
  <c r="F83" i="28" s="1"/>
  <c r="E82" i="28"/>
  <c r="F82" i="28" s="1"/>
  <c r="L81" i="28"/>
  <c r="E81" i="28"/>
  <c r="F81" i="28" s="1"/>
  <c r="P85" i="28" s="1"/>
  <c r="H80" i="28"/>
  <c r="E80" i="28"/>
  <c r="F80" i="28" s="1"/>
  <c r="P84" i="28" s="1"/>
  <c r="E79" i="28"/>
  <c r="F79" i="28" s="1"/>
  <c r="P83" i="28" s="1"/>
  <c r="H78" i="28"/>
  <c r="F78" i="28"/>
  <c r="P82" i="28" s="1"/>
  <c r="E78" i="28"/>
  <c r="H77" i="28"/>
  <c r="H79" i="28" s="1"/>
  <c r="E77" i="28"/>
  <c r="F77" i="28" s="1"/>
  <c r="H76" i="28"/>
  <c r="H81" i="28" s="1"/>
  <c r="E76" i="28"/>
  <c r="F76" i="28" s="1"/>
  <c r="H75" i="28"/>
  <c r="E75" i="28"/>
  <c r="F75" i="28" s="1"/>
  <c r="P79" i="28" s="1"/>
  <c r="E74" i="28"/>
  <c r="F74" i="28" s="1"/>
  <c r="E73" i="28"/>
  <c r="F73" i="28" s="1"/>
  <c r="F59" i="28"/>
  <c r="D59" i="28"/>
  <c r="D60" i="28" s="1"/>
  <c r="C59" i="28"/>
  <c r="C60" i="28" s="1"/>
  <c r="B59" i="28"/>
  <c r="B60" i="28" s="1"/>
  <c r="E58" i="28"/>
  <c r="F58" i="28" s="1"/>
  <c r="E57" i="28"/>
  <c r="F57" i="28" s="1"/>
  <c r="E56" i="28"/>
  <c r="F56" i="28" s="1"/>
  <c r="E55" i="28"/>
  <c r="F55" i="28" s="1"/>
  <c r="F54" i="28"/>
  <c r="E54" i="28"/>
  <c r="E53" i="28"/>
  <c r="F53" i="28" s="1"/>
  <c r="E52" i="28"/>
  <c r="F52" i="28" s="1"/>
  <c r="F51" i="28"/>
  <c r="E51" i="28"/>
  <c r="E50" i="28"/>
  <c r="F50" i="28" s="1"/>
  <c r="L49" i="28"/>
  <c r="E49" i="28"/>
  <c r="F49" i="28" s="1"/>
  <c r="H48" i="28"/>
  <c r="E48" i="28"/>
  <c r="F48" i="28" s="1"/>
  <c r="E47" i="28"/>
  <c r="F47" i="28" s="1"/>
  <c r="H46" i="28"/>
  <c r="L46" i="28" s="1"/>
  <c r="E46" i="28"/>
  <c r="F46" i="28" s="1"/>
  <c r="H45" i="28"/>
  <c r="E45" i="28"/>
  <c r="F45" i="28" s="1"/>
  <c r="H44" i="28"/>
  <c r="E44" i="28"/>
  <c r="F44" i="28" s="1"/>
  <c r="H43" i="28"/>
  <c r="L43" i="28" s="1"/>
  <c r="E43" i="28"/>
  <c r="F43" i="28" s="1"/>
  <c r="P47" i="28" s="1"/>
  <c r="E42" i="28"/>
  <c r="F42" i="28" s="1"/>
  <c r="P46" i="28" s="1"/>
  <c r="E41" i="28"/>
  <c r="F27" i="28"/>
  <c r="D27" i="28"/>
  <c r="D28" i="28" s="1"/>
  <c r="C27" i="28"/>
  <c r="C28" i="28" s="1"/>
  <c r="B27" i="28"/>
  <c r="B28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L17" i="28"/>
  <c r="E17" i="28"/>
  <c r="F17" i="28" s="1"/>
  <c r="H16" i="28"/>
  <c r="E16" i="28"/>
  <c r="F16" i="28" s="1"/>
  <c r="E15" i="28"/>
  <c r="F15" i="28" s="1"/>
  <c r="H14" i="28"/>
  <c r="L14" i="28" s="1"/>
  <c r="E14" i="28"/>
  <c r="F14" i="28" s="1"/>
  <c r="P18" i="28" s="1"/>
  <c r="H13" i="28"/>
  <c r="E13" i="28"/>
  <c r="F13" i="28" s="1"/>
  <c r="H12" i="28"/>
  <c r="E12" i="28"/>
  <c r="F12" i="28" s="1"/>
  <c r="H11" i="28"/>
  <c r="L11" i="28" s="1"/>
  <c r="E11" i="28"/>
  <c r="F11" i="28" s="1"/>
  <c r="E10" i="28"/>
  <c r="F10" i="28" s="1"/>
  <c r="E9" i="28"/>
  <c r="P81" i="28" l="1"/>
  <c r="H113" i="28"/>
  <c r="P208" i="28"/>
  <c r="P210" i="28"/>
  <c r="D95" i="31"/>
  <c r="I80" i="31" s="1"/>
  <c r="J80" i="31" s="1"/>
  <c r="I81" i="31"/>
  <c r="P49" i="28"/>
  <c r="P51" i="28"/>
  <c r="H15" i="28"/>
  <c r="L15" i="28" s="1"/>
  <c r="J76" i="31"/>
  <c r="K76" i="31" s="1"/>
  <c r="M76" i="31" s="1"/>
  <c r="I79" i="31"/>
  <c r="J79" i="31" s="1"/>
  <c r="K79" i="31" s="1"/>
  <c r="M79" i="31" s="1"/>
  <c r="H47" i="28"/>
  <c r="L47" i="28" s="1"/>
  <c r="P52" i="28"/>
  <c r="H144" i="28"/>
  <c r="P149" i="28"/>
  <c r="P178" i="28"/>
  <c r="E220" i="28"/>
  <c r="B222" i="28" s="1"/>
  <c r="P211" i="28"/>
  <c r="P213" i="28"/>
  <c r="P203" i="28"/>
  <c r="P53" i="28"/>
  <c r="P143" i="28"/>
  <c r="H146" i="28"/>
  <c r="P147" i="28"/>
  <c r="P182" i="28"/>
  <c r="F202" i="28"/>
  <c r="E123" i="28"/>
  <c r="B125" i="28" s="1"/>
  <c r="E91" i="28"/>
  <c r="B93" i="28" s="1"/>
  <c r="P145" i="28"/>
  <c r="E188" i="28"/>
  <c r="B190" i="28" s="1"/>
  <c r="H17" i="28"/>
  <c r="P177" i="28"/>
  <c r="H176" i="28"/>
  <c r="H178" i="28" s="1"/>
  <c r="H208" i="28"/>
  <c r="H210" i="28" s="1"/>
  <c r="H242" i="28"/>
  <c r="P246" i="28"/>
  <c r="P176" i="28"/>
  <c r="P21" i="28"/>
  <c r="H49" i="28"/>
  <c r="P78" i="28"/>
  <c r="P80" i="28"/>
  <c r="P148" i="28"/>
  <c r="P48" i="28"/>
  <c r="P50" i="28"/>
  <c r="P144" i="28"/>
  <c r="P169" i="30"/>
  <c r="Q169" i="30" s="1"/>
  <c r="P173" i="30"/>
  <c r="Q148" i="30"/>
  <c r="Q137" i="30"/>
  <c r="Q144" i="30"/>
  <c r="Q142" i="30"/>
  <c r="I210" i="31"/>
  <c r="D224" i="31"/>
  <c r="I209" i="31" s="1"/>
  <c r="J209" i="31" s="1"/>
  <c r="P15" i="28"/>
  <c r="Q170" i="30"/>
  <c r="I208" i="31"/>
  <c r="J208" i="31" s="1"/>
  <c r="K208" i="31" s="1"/>
  <c r="M208" i="31" s="1"/>
  <c r="I109" i="30"/>
  <c r="J109" i="30" s="1"/>
  <c r="D126" i="30"/>
  <c r="I107" i="30" s="1"/>
  <c r="J107" i="30" s="1"/>
  <c r="I110" i="30"/>
  <c r="J110" i="30" s="1"/>
  <c r="B126" i="30"/>
  <c r="B127" i="30"/>
  <c r="I108" i="30" s="1"/>
  <c r="B190" i="30"/>
  <c r="I173" i="30"/>
  <c r="J173" i="30" s="1"/>
  <c r="D190" i="30"/>
  <c r="I171" i="30" s="1"/>
  <c r="J171" i="30" s="1"/>
  <c r="I174" i="30"/>
  <c r="J174" i="30" s="1"/>
  <c r="B191" i="30"/>
  <c r="I172" i="30" s="1"/>
  <c r="D159" i="30"/>
  <c r="I144" i="30" s="1"/>
  <c r="J144" i="30" s="1"/>
  <c r="P151" i="30" s="1"/>
  <c r="D256" i="31"/>
  <c r="I241" i="31" s="1"/>
  <c r="J241" i="31" s="1"/>
  <c r="I242" i="31"/>
  <c r="Q241" i="31"/>
  <c r="Q242" i="31"/>
  <c r="Q243" i="31"/>
  <c r="Q240" i="31"/>
  <c r="Q246" i="31"/>
  <c r="Q239" i="31"/>
  <c r="Q238" i="31"/>
  <c r="Q244" i="31"/>
  <c r="Q245" i="31"/>
  <c r="I240" i="31"/>
  <c r="J240" i="31" s="1"/>
  <c r="K240" i="31" s="1"/>
  <c r="M240" i="31" s="1"/>
  <c r="J237" i="31"/>
  <c r="K237" i="31" s="1"/>
  <c r="M237" i="31" s="1"/>
  <c r="Q234" i="31"/>
  <c r="Q235" i="31"/>
  <c r="H116" i="31"/>
  <c r="P119" i="31"/>
  <c r="P118" i="31"/>
  <c r="H114" i="31"/>
  <c r="P107" i="31"/>
  <c r="H115" i="31"/>
  <c r="P108" i="31"/>
  <c r="Q41" i="30"/>
  <c r="Q42" i="30"/>
  <c r="I15" i="30"/>
  <c r="J15" i="30" s="1"/>
  <c r="J12" i="30"/>
  <c r="Q73" i="30"/>
  <c r="Q74" i="30"/>
  <c r="I143" i="30"/>
  <c r="J143" i="30" s="1"/>
  <c r="P150" i="30"/>
  <c r="H84" i="30"/>
  <c r="H83" i="30"/>
  <c r="H82" i="30"/>
  <c r="P87" i="30"/>
  <c r="P86" i="30"/>
  <c r="P76" i="30"/>
  <c r="P75" i="30"/>
  <c r="D31" i="30"/>
  <c r="I16" i="30" s="1"/>
  <c r="J16" i="30" s="1"/>
  <c r="K11" i="30" s="1"/>
  <c r="M11" i="30" s="1"/>
  <c r="I47" i="30"/>
  <c r="J47" i="30" s="1"/>
  <c r="Q13" i="30"/>
  <c r="Q15" i="30"/>
  <c r="Q17" i="30"/>
  <c r="Q18" i="30"/>
  <c r="Q14" i="30"/>
  <c r="Q16" i="30"/>
  <c r="Q20" i="30"/>
  <c r="Q21" i="30"/>
  <c r="Q19" i="30"/>
  <c r="Q45" i="30"/>
  <c r="Q51" i="30"/>
  <c r="Q46" i="30"/>
  <c r="Q50" i="30"/>
  <c r="Q53" i="30"/>
  <c r="Q47" i="30"/>
  <c r="Q48" i="30"/>
  <c r="Q49" i="30"/>
  <c r="Q52" i="30"/>
  <c r="Q9" i="30"/>
  <c r="Q10" i="30"/>
  <c r="D63" i="30"/>
  <c r="I48" i="30" s="1"/>
  <c r="J48" i="30" s="1"/>
  <c r="I49" i="30"/>
  <c r="Q77" i="30"/>
  <c r="Q81" i="30"/>
  <c r="Q85" i="30"/>
  <c r="Q80" i="30"/>
  <c r="Q83" i="30"/>
  <c r="Q79" i="30"/>
  <c r="Q84" i="30"/>
  <c r="Q82" i="30"/>
  <c r="Q78" i="30"/>
  <c r="P240" i="28"/>
  <c r="P243" i="28"/>
  <c r="E252" i="28"/>
  <c r="B254" i="28" s="1"/>
  <c r="B255" i="28" s="1"/>
  <c r="P115" i="28"/>
  <c r="P117" i="28"/>
  <c r="P111" i="28"/>
  <c r="P114" i="28"/>
  <c r="F105" i="28"/>
  <c r="E156" i="28"/>
  <c r="B158" i="28" s="1"/>
  <c r="B160" i="28" s="1"/>
  <c r="I141" i="28" s="1"/>
  <c r="F138" i="28"/>
  <c r="P20" i="28"/>
  <c r="P14" i="28"/>
  <c r="P16" i="28"/>
  <c r="P17" i="28"/>
  <c r="P19" i="28"/>
  <c r="B95" i="28"/>
  <c r="I76" i="28" s="1"/>
  <c r="B94" i="28"/>
  <c r="I77" i="28"/>
  <c r="J77" i="28" s="1"/>
  <c r="D94" i="28"/>
  <c r="I75" i="28" s="1"/>
  <c r="J75" i="28" s="1"/>
  <c r="B127" i="28"/>
  <c r="I108" i="28" s="1"/>
  <c r="B126" i="28"/>
  <c r="D126" i="28"/>
  <c r="I107" i="28" s="1"/>
  <c r="J107" i="28" s="1"/>
  <c r="I109" i="28"/>
  <c r="J109" i="28" s="1"/>
  <c r="I142" i="28"/>
  <c r="J142" i="28" s="1"/>
  <c r="B192" i="28"/>
  <c r="I173" i="28" s="1"/>
  <c r="B191" i="28"/>
  <c r="D191" i="28"/>
  <c r="I172" i="28" s="1"/>
  <c r="J172" i="28" s="1"/>
  <c r="I174" i="28"/>
  <c r="J174" i="28" s="1"/>
  <c r="B224" i="28"/>
  <c r="I205" i="28" s="1"/>
  <c r="B223" i="28"/>
  <c r="D223" i="28"/>
  <c r="I204" i="28" s="1"/>
  <c r="J204" i="28" s="1"/>
  <c r="I206" i="28"/>
  <c r="J206" i="28" s="1"/>
  <c r="P10" i="28"/>
  <c r="P42" i="28"/>
  <c r="B256" i="28"/>
  <c r="I237" i="28" s="1"/>
  <c r="D255" i="28"/>
  <c r="I236" i="28" s="1"/>
  <c r="J236" i="28" s="1"/>
  <c r="L107" i="28"/>
  <c r="L110" i="28"/>
  <c r="L172" i="28"/>
  <c r="L175" i="28"/>
  <c r="L204" i="28"/>
  <c r="L207" i="28"/>
  <c r="L236" i="28"/>
  <c r="I238" i="28"/>
  <c r="J238" i="28" s="1"/>
  <c r="L239" i="28"/>
  <c r="P77" i="28"/>
  <c r="Q83" i="28" s="1"/>
  <c r="P73" i="28"/>
  <c r="P109" i="28"/>
  <c r="Q115" i="28" s="1"/>
  <c r="P105" i="28"/>
  <c r="P142" i="28"/>
  <c r="Q148" i="28" s="1"/>
  <c r="P138" i="28"/>
  <c r="P174" i="28"/>
  <c r="Q180" i="28" s="1"/>
  <c r="P170" i="28"/>
  <c r="P206" i="28"/>
  <c r="Q212" i="28" s="1"/>
  <c r="P202" i="28"/>
  <c r="P238" i="28"/>
  <c r="Q238" i="28" s="1"/>
  <c r="P234" i="28"/>
  <c r="L13" i="28"/>
  <c r="E27" i="28"/>
  <c r="B29" i="28" s="1"/>
  <c r="L45" i="28"/>
  <c r="E59" i="28"/>
  <c r="B61" i="28" s="1"/>
  <c r="L75" i="28"/>
  <c r="L78" i="28"/>
  <c r="Q114" i="28"/>
  <c r="L140" i="28"/>
  <c r="L143" i="28"/>
  <c r="F9" i="28"/>
  <c r="L12" i="28"/>
  <c r="F41" i="28"/>
  <c r="L44" i="28"/>
  <c r="L76" i="28"/>
  <c r="L79" i="28"/>
  <c r="I78" i="28"/>
  <c r="J78" i="28" s="1"/>
  <c r="P74" i="28"/>
  <c r="Q74" i="28" s="1"/>
  <c r="L108" i="28"/>
  <c r="L111" i="28"/>
  <c r="I110" i="28"/>
  <c r="J110" i="28" s="1"/>
  <c r="P106" i="28"/>
  <c r="L141" i="28"/>
  <c r="L144" i="28"/>
  <c r="I143" i="28"/>
  <c r="J143" i="28" s="1"/>
  <c r="P139" i="28"/>
  <c r="Q139" i="28" s="1"/>
  <c r="L173" i="28"/>
  <c r="L176" i="28"/>
  <c r="I175" i="28"/>
  <c r="J175" i="28" s="1"/>
  <c r="P171" i="28"/>
  <c r="Q171" i="28" s="1"/>
  <c r="L205" i="28"/>
  <c r="L208" i="28"/>
  <c r="I207" i="28"/>
  <c r="J207" i="28" s="1"/>
  <c r="L237" i="28"/>
  <c r="L240" i="28"/>
  <c r="Q243" i="28"/>
  <c r="P235" i="28"/>
  <c r="Q235" i="28" s="1"/>
  <c r="L77" i="28"/>
  <c r="L109" i="28"/>
  <c r="L142" i="28"/>
  <c r="L174" i="28"/>
  <c r="L206" i="28"/>
  <c r="L238" i="28"/>
  <c r="E185" i="25"/>
  <c r="F185" i="25" s="1"/>
  <c r="E183" i="25"/>
  <c r="F183" i="25" s="1"/>
  <c r="E182" i="25"/>
  <c r="F182" i="25" s="1"/>
  <c r="E179" i="25"/>
  <c r="F179" i="25" s="1"/>
  <c r="E175" i="25"/>
  <c r="F175" i="25" s="1"/>
  <c r="E174" i="25"/>
  <c r="F174" i="25" s="1"/>
  <c r="E171" i="25"/>
  <c r="F171" i="25" s="1"/>
  <c r="E170" i="25"/>
  <c r="F170" i="25" s="1"/>
  <c r="D187" i="25"/>
  <c r="D188" i="25" s="1"/>
  <c r="B187" i="25"/>
  <c r="B188" i="25" s="1"/>
  <c r="E145" i="25"/>
  <c r="F145" i="25" s="1"/>
  <c r="B155" i="25"/>
  <c r="B156" i="25" s="1"/>
  <c r="E121" i="25"/>
  <c r="F121" i="25" s="1"/>
  <c r="E119" i="25"/>
  <c r="F119" i="25" s="1"/>
  <c r="E117" i="25"/>
  <c r="F117" i="25" s="1"/>
  <c r="E115" i="25"/>
  <c r="F115" i="25" s="1"/>
  <c r="E112" i="25"/>
  <c r="F112" i="25" s="1"/>
  <c r="P116" i="25" s="1"/>
  <c r="E111" i="25"/>
  <c r="F111" i="25" s="1"/>
  <c r="E110" i="25"/>
  <c r="F110" i="25" s="1"/>
  <c r="E106" i="25"/>
  <c r="F106" i="25" s="1"/>
  <c r="D123" i="25"/>
  <c r="D124" i="25" s="1"/>
  <c r="B123" i="25"/>
  <c r="B124" i="25" s="1"/>
  <c r="F91" i="25"/>
  <c r="F187" i="25"/>
  <c r="C187" i="25"/>
  <c r="C188" i="25" s="1"/>
  <c r="E186" i="25"/>
  <c r="F186" i="25" s="1"/>
  <c r="E184" i="25"/>
  <c r="F184" i="25" s="1"/>
  <c r="E181" i="25"/>
  <c r="F181" i="25" s="1"/>
  <c r="E180" i="25"/>
  <c r="F180" i="25" s="1"/>
  <c r="E178" i="25"/>
  <c r="F178" i="25" s="1"/>
  <c r="L177" i="25"/>
  <c r="E177" i="25"/>
  <c r="F177" i="25" s="1"/>
  <c r="H176" i="25"/>
  <c r="H174" i="25"/>
  <c r="H173" i="25"/>
  <c r="E173" i="25"/>
  <c r="F173" i="25" s="1"/>
  <c r="H172" i="25"/>
  <c r="E172" i="25"/>
  <c r="F172" i="25" s="1"/>
  <c r="H171" i="25"/>
  <c r="E169" i="25"/>
  <c r="F169" i="25" s="1"/>
  <c r="F155" i="25"/>
  <c r="D155" i="25"/>
  <c r="D156" i="25" s="1"/>
  <c r="C155" i="25"/>
  <c r="C156" i="25" s="1"/>
  <c r="E154" i="25"/>
  <c r="F154" i="25" s="1"/>
  <c r="E153" i="25"/>
  <c r="F153" i="25" s="1"/>
  <c r="E152" i="25"/>
  <c r="F152" i="25" s="1"/>
  <c r="E151" i="25"/>
  <c r="F151" i="25" s="1"/>
  <c r="E150" i="25"/>
  <c r="F150" i="25" s="1"/>
  <c r="E149" i="25"/>
  <c r="F149" i="25" s="1"/>
  <c r="E148" i="25"/>
  <c r="F148" i="25" s="1"/>
  <c r="E147" i="25"/>
  <c r="F147" i="25" s="1"/>
  <c r="E146" i="25"/>
  <c r="F146" i="25" s="1"/>
  <c r="L145" i="25"/>
  <c r="H144" i="25"/>
  <c r="E144" i="25"/>
  <c r="F144" i="25" s="1"/>
  <c r="E143" i="25"/>
  <c r="F143" i="25" s="1"/>
  <c r="H142" i="25"/>
  <c r="E142" i="25"/>
  <c r="F142" i="25" s="1"/>
  <c r="H141" i="25"/>
  <c r="E141" i="25"/>
  <c r="F141" i="25" s="1"/>
  <c r="H140" i="25"/>
  <c r="E140" i="25"/>
  <c r="F140" i="25" s="1"/>
  <c r="H139" i="25"/>
  <c r="E139" i="25"/>
  <c r="F139" i="25" s="1"/>
  <c r="E138" i="25"/>
  <c r="F138" i="25" s="1"/>
  <c r="F123" i="25"/>
  <c r="C123" i="25"/>
  <c r="C124" i="25" s="1"/>
  <c r="E122" i="25"/>
  <c r="F122" i="25" s="1"/>
  <c r="E120" i="25"/>
  <c r="F120" i="25" s="1"/>
  <c r="E118" i="25"/>
  <c r="F118" i="25" s="1"/>
  <c r="E116" i="25"/>
  <c r="F116" i="25" s="1"/>
  <c r="E114" i="25"/>
  <c r="F114" i="25" s="1"/>
  <c r="L113" i="25"/>
  <c r="E113" i="25"/>
  <c r="F113" i="25" s="1"/>
  <c r="H112" i="25"/>
  <c r="H110" i="25"/>
  <c r="H109" i="25"/>
  <c r="H111" i="25" s="1"/>
  <c r="E109" i="25"/>
  <c r="F109" i="25" s="1"/>
  <c r="P113" i="25" s="1"/>
  <c r="H108" i="25"/>
  <c r="E108" i="25"/>
  <c r="F108" i="25" s="1"/>
  <c r="H107" i="25"/>
  <c r="E107" i="25"/>
  <c r="F107" i="25" s="1"/>
  <c r="E105" i="25"/>
  <c r="F105" i="25" s="1"/>
  <c r="D91" i="25"/>
  <c r="D92" i="25" s="1"/>
  <c r="C91" i="25"/>
  <c r="C92" i="25" s="1"/>
  <c r="B91" i="25"/>
  <c r="B92" i="25" s="1"/>
  <c r="E90" i="25"/>
  <c r="F90" i="25" s="1"/>
  <c r="E89" i="25"/>
  <c r="F89" i="25" s="1"/>
  <c r="E88" i="25"/>
  <c r="F88" i="25" s="1"/>
  <c r="E87" i="25"/>
  <c r="F87" i="25" s="1"/>
  <c r="E86" i="25"/>
  <c r="F86" i="25" s="1"/>
  <c r="E85" i="25"/>
  <c r="F85" i="25" s="1"/>
  <c r="E84" i="25"/>
  <c r="F84" i="25" s="1"/>
  <c r="E83" i="25"/>
  <c r="F83" i="25" s="1"/>
  <c r="E82" i="25"/>
  <c r="F82" i="25" s="1"/>
  <c r="L81" i="25"/>
  <c r="E81" i="25"/>
  <c r="F81" i="25" s="1"/>
  <c r="P85" i="25" s="1"/>
  <c r="H80" i="25"/>
  <c r="E80" i="25"/>
  <c r="F80" i="25" s="1"/>
  <c r="E79" i="25"/>
  <c r="F79" i="25" s="1"/>
  <c r="H78" i="25"/>
  <c r="E78" i="25"/>
  <c r="F78" i="25" s="1"/>
  <c r="H77" i="25"/>
  <c r="E77" i="25"/>
  <c r="F77" i="25" s="1"/>
  <c r="H76" i="25"/>
  <c r="E76" i="25"/>
  <c r="F76" i="25" s="1"/>
  <c r="H75" i="25"/>
  <c r="E75" i="25"/>
  <c r="F75" i="25" s="1"/>
  <c r="E74" i="25"/>
  <c r="F74" i="25" s="1"/>
  <c r="F59" i="25"/>
  <c r="D59" i="25"/>
  <c r="D60" i="25" s="1"/>
  <c r="C59" i="25"/>
  <c r="B59" i="25"/>
  <c r="B60" i="25" s="1"/>
  <c r="E58" i="25"/>
  <c r="F58" i="25" s="1"/>
  <c r="E57" i="25"/>
  <c r="F57" i="25" s="1"/>
  <c r="E56" i="25"/>
  <c r="F56" i="25" s="1"/>
  <c r="E55" i="25"/>
  <c r="F55" i="25" s="1"/>
  <c r="E54" i="25"/>
  <c r="F54" i="25" s="1"/>
  <c r="E53" i="25"/>
  <c r="F53" i="25" s="1"/>
  <c r="E52" i="25"/>
  <c r="F52" i="25" s="1"/>
  <c r="E51" i="25"/>
  <c r="F51" i="25" s="1"/>
  <c r="E50" i="25"/>
  <c r="F50" i="25" s="1"/>
  <c r="L49" i="25"/>
  <c r="E49" i="25"/>
  <c r="F49" i="25" s="1"/>
  <c r="H48" i="25"/>
  <c r="E48" i="25"/>
  <c r="F48" i="25" s="1"/>
  <c r="E47" i="25"/>
  <c r="F47" i="25" s="1"/>
  <c r="H46" i="25"/>
  <c r="E46" i="25"/>
  <c r="F46" i="25" s="1"/>
  <c r="P50" i="25" s="1"/>
  <c r="H45" i="25"/>
  <c r="E45" i="25"/>
  <c r="F45" i="25" s="1"/>
  <c r="H44" i="25"/>
  <c r="E44" i="25"/>
  <c r="F44" i="25" s="1"/>
  <c r="H43" i="25"/>
  <c r="E43" i="25"/>
  <c r="F43" i="25" s="1"/>
  <c r="E42" i="25"/>
  <c r="F42" i="25" s="1"/>
  <c r="E41" i="25"/>
  <c r="E26" i="25"/>
  <c r="F26" i="25" s="1"/>
  <c r="E25" i="25"/>
  <c r="F25" i="25" s="1"/>
  <c r="E24" i="25"/>
  <c r="F24" i="25" s="1"/>
  <c r="E23" i="25"/>
  <c r="F23" i="25" s="1"/>
  <c r="E22" i="25"/>
  <c r="F22" i="25" s="1"/>
  <c r="E21" i="25"/>
  <c r="F21" i="25" s="1"/>
  <c r="E20" i="25"/>
  <c r="F20" i="25" s="1"/>
  <c r="E19" i="25"/>
  <c r="F19" i="25" s="1"/>
  <c r="E18" i="25"/>
  <c r="F18" i="25" s="1"/>
  <c r="L17" i="25"/>
  <c r="E17" i="25"/>
  <c r="F17" i="25" s="1"/>
  <c r="H16" i="25"/>
  <c r="E16" i="25"/>
  <c r="F16" i="25" s="1"/>
  <c r="H14" i="25"/>
  <c r="H13" i="25"/>
  <c r="H12" i="25"/>
  <c r="L12" i="25" s="1"/>
  <c r="H11" i="25"/>
  <c r="P47" i="25" l="1"/>
  <c r="L14" i="25"/>
  <c r="H143" i="25"/>
  <c r="P75" i="31"/>
  <c r="H84" i="31"/>
  <c r="H83" i="31"/>
  <c r="P86" i="31"/>
  <c r="P76" i="31"/>
  <c r="H82" i="31"/>
  <c r="P87" i="31"/>
  <c r="P142" i="25"/>
  <c r="H79" i="25"/>
  <c r="H81" i="25" s="1"/>
  <c r="D159" i="28"/>
  <c r="I140" i="28" s="1"/>
  <c r="J140" i="28" s="1"/>
  <c r="P140" i="30"/>
  <c r="P83" i="25"/>
  <c r="P147" i="25"/>
  <c r="P177" i="25"/>
  <c r="P181" i="25"/>
  <c r="P139" i="30"/>
  <c r="H148" i="30"/>
  <c r="B159" i="28"/>
  <c r="D160" i="28" s="1"/>
  <c r="I145" i="28" s="1"/>
  <c r="J145" i="28" s="1"/>
  <c r="H146" i="30"/>
  <c r="H147" i="30"/>
  <c r="J108" i="30"/>
  <c r="K108" i="30" s="1"/>
  <c r="M108" i="30" s="1"/>
  <c r="I111" i="30"/>
  <c r="J111" i="30" s="1"/>
  <c r="P78" i="25"/>
  <c r="I175" i="30"/>
  <c r="J175" i="30" s="1"/>
  <c r="J172" i="30"/>
  <c r="K172" i="30" s="1"/>
  <c r="M172" i="30" s="1"/>
  <c r="I177" i="30"/>
  <c r="D191" i="30"/>
  <c r="I176" i="30" s="1"/>
  <c r="J176" i="30" s="1"/>
  <c r="Q174" i="30"/>
  <c r="Q177" i="30"/>
  <c r="Q176" i="30"/>
  <c r="Q180" i="30"/>
  <c r="Q175" i="30"/>
  <c r="Q181" i="30"/>
  <c r="Q173" i="30"/>
  <c r="Q178" i="30"/>
  <c r="Q179" i="30"/>
  <c r="I113" i="30"/>
  <c r="D127" i="30"/>
  <c r="I112" i="30" s="1"/>
  <c r="J112" i="30" s="1"/>
  <c r="P205" i="31"/>
  <c r="H212" i="31"/>
  <c r="P215" i="31"/>
  <c r="P204" i="31"/>
  <c r="H213" i="31"/>
  <c r="H211" i="31"/>
  <c r="P216" i="31"/>
  <c r="K142" i="30"/>
  <c r="M142" i="30" s="1"/>
  <c r="K46" i="30"/>
  <c r="M46" i="30" s="1"/>
  <c r="K14" i="30"/>
  <c r="M14" i="30" s="1"/>
  <c r="K111" i="30"/>
  <c r="M111" i="30" s="1"/>
  <c r="K139" i="30"/>
  <c r="M139" i="30" s="1"/>
  <c r="K140" i="30"/>
  <c r="M140" i="30" s="1"/>
  <c r="P248" i="31"/>
  <c r="P236" i="31"/>
  <c r="P247" i="31"/>
  <c r="P237" i="31"/>
  <c r="H243" i="31"/>
  <c r="H245" i="31"/>
  <c r="H244" i="31"/>
  <c r="K47" i="30"/>
  <c r="M47" i="30" s="1"/>
  <c r="K141" i="30"/>
  <c r="M141" i="30" s="1"/>
  <c r="K43" i="30"/>
  <c r="M43" i="30" s="1"/>
  <c r="K45" i="30"/>
  <c r="M45" i="30" s="1"/>
  <c r="K44" i="30"/>
  <c r="M44" i="30" s="1"/>
  <c r="K143" i="30"/>
  <c r="M143" i="30" s="1"/>
  <c r="P55" i="30"/>
  <c r="H52" i="30"/>
  <c r="H51" i="30"/>
  <c r="H50" i="30"/>
  <c r="P54" i="30"/>
  <c r="P44" i="30"/>
  <c r="P43" i="30"/>
  <c r="K76" i="30"/>
  <c r="M76" i="30" s="1"/>
  <c r="K79" i="30"/>
  <c r="M79" i="30" s="1"/>
  <c r="K13" i="30"/>
  <c r="M13" i="30" s="1"/>
  <c r="K15" i="30"/>
  <c r="M15" i="30" s="1"/>
  <c r="P23" i="30"/>
  <c r="P22" i="30"/>
  <c r="P12" i="30"/>
  <c r="P11" i="30"/>
  <c r="H20" i="30"/>
  <c r="H19" i="30"/>
  <c r="H18" i="30"/>
  <c r="K109" i="30"/>
  <c r="M109" i="30" s="1"/>
  <c r="K110" i="30"/>
  <c r="M110" i="30" s="1"/>
  <c r="K173" i="30"/>
  <c r="M173" i="30" s="1"/>
  <c r="K171" i="30"/>
  <c r="M171" i="30" s="1"/>
  <c r="K78" i="30"/>
  <c r="M78" i="30" s="1"/>
  <c r="K77" i="30"/>
  <c r="M77" i="30" s="1"/>
  <c r="K174" i="30"/>
  <c r="M174" i="30" s="1"/>
  <c r="K107" i="30"/>
  <c r="M107" i="30" s="1"/>
  <c r="K75" i="30"/>
  <c r="M75" i="30" s="1"/>
  <c r="K175" i="30"/>
  <c r="M175" i="30" s="1"/>
  <c r="K12" i="30"/>
  <c r="M12" i="30" s="1"/>
  <c r="P148" i="25"/>
  <c r="P117" i="25"/>
  <c r="P53" i="25"/>
  <c r="L44" i="25"/>
  <c r="L46" i="25"/>
  <c r="H175" i="25"/>
  <c r="H177" i="25" s="1"/>
  <c r="E73" i="25"/>
  <c r="F73" i="25" s="1"/>
  <c r="P77" i="25" s="1"/>
  <c r="P80" i="25"/>
  <c r="P82" i="25"/>
  <c r="P84" i="25"/>
  <c r="P110" i="25"/>
  <c r="P114" i="25"/>
  <c r="P174" i="25"/>
  <c r="E137" i="25"/>
  <c r="F137" i="25" s="1"/>
  <c r="P137" i="25" s="1"/>
  <c r="P144" i="25"/>
  <c r="P21" i="25"/>
  <c r="E176" i="25"/>
  <c r="F176" i="25" s="1"/>
  <c r="P180" i="25" s="1"/>
  <c r="H15" i="25"/>
  <c r="L15" i="25" s="1"/>
  <c r="P46" i="25"/>
  <c r="H113" i="25"/>
  <c r="H47" i="25"/>
  <c r="L47" i="25" s="1"/>
  <c r="P20" i="25"/>
  <c r="P51" i="25"/>
  <c r="H145" i="25"/>
  <c r="P176" i="25"/>
  <c r="P115" i="25"/>
  <c r="P179" i="25"/>
  <c r="P52" i="25"/>
  <c r="P79" i="25"/>
  <c r="P81" i="25"/>
  <c r="P111" i="25"/>
  <c r="P145" i="25"/>
  <c r="P149" i="25"/>
  <c r="F27" i="25"/>
  <c r="E15" i="25"/>
  <c r="F15" i="25" s="1"/>
  <c r="P19" i="25" s="1"/>
  <c r="E13" i="25"/>
  <c r="F13" i="25" s="1"/>
  <c r="P17" i="25" s="1"/>
  <c r="I239" i="28"/>
  <c r="J239" i="28" s="1"/>
  <c r="Q106" i="28"/>
  <c r="B27" i="25"/>
  <c r="B28" i="25" s="1"/>
  <c r="E10" i="25"/>
  <c r="F10" i="25" s="1"/>
  <c r="P14" i="25" s="1"/>
  <c r="E14" i="25"/>
  <c r="F14" i="25" s="1"/>
  <c r="P18" i="25" s="1"/>
  <c r="E12" i="25"/>
  <c r="F12" i="25" s="1"/>
  <c r="C27" i="25"/>
  <c r="C28" i="25" s="1"/>
  <c r="E11" i="25"/>
  <c r="F11" i="25" s="1"/>
  <c r="P15" i="25" s="1"/>
  <c r="P45" i="28"/>
  <c r="P41" i="28"/>
  <c r="P13" i="28"/>
  <c r="P9" i="28"/>
  <c r="B63" i="28"/>
  <c r="I44" i="28" s="1"/>
  <c r="B62" i="28"/>
  <c r="I45" i="28"/>
  <c r="J45" i="28" s="1"/>
  <c r="D62" i="28"/>
  <c r="I43" i="28" s="1"/>
  <c r="J43" i="28" s="1"/>
  <c r="D30" i="28"/>
  <c r="I11" i="28" s="1"/>
  <c r="J11" i="28" s="1"/>
  <c r="I13" i="28"/>
  <c r="J13" i="28" s="1"/>
  <c r="B31" i="28"/>
  <c r="I12" i="28" s="1"/>
  <c r="B30" i="28"/>
  <c r="Q203" i="28"/>
  <c r="Q202" i="28"/>
  <c r="J237" i="28"/>
  <c r="I208" i="28"/>
  <c r="J208" i="28" s="1"/>
  <c r="J205" i="28"/>
  <c r="I176" i="28"/>
  <c r="J176" i="28" s="1"/>
  <c r="J173" i="28"/>
  <c r="I144" i="28"/>
  <c r="J144" i="28" s="1"/>
  <c r="J141" i="28"/>
  <c r="I111" i="28"/>
  <c r="J111" i="28" s="1"/>
  <c r="J108" i="28"/>
  <c r="I79" i="28"/>
  <c r="J79" i="28" s="1"/>
  <c r="J76" i="28"/>
  <c r="Q234" i="28"/>
  <c r="Q170" i="28"/>
  <c r="Q138" i="28"/>
  <c r="Q105" i="28"/>
  <c r="Q73" i="28"/>
  <c r="Q246" i="28"/>
  <c r="Q244" i="28"/>
  <c r="Q147" i="28"/>
  <c r="Q209" i="28"/>
  <c r="Q177" i="28"/>
  <c r="Q145" i="28"/>
  <c r="Q112" i="28"/>
  <c r="Q80" i="28"/>
  <c r="Q42" i="28"/>
  <c r="I14" i="28"/>
  <c r="J14" i="28" s="1"/>
  <c r="Q240" i="28"/>
  <c r="Q214" i="28"/>
  <c r="Q182" i="28"/>
  <c r="Q150" i="28"/>
  <c r="Q117" i="28"/>
  <c r="Q85" i="28"/>
  <c r="Q206" i="28"/>
  <c r="Q208" i="28"/>
  <c r="Q174" i="28"/>
  <c r="Q176" i="28"/>
  <c r="Q142" i="28"/>
  <c r="Q144" i="28"/>
  <c r="Q109" i="28"/>
  <c r="Q111" i="28"/>
  <c r="Q77" i="28"/>
  <c r="Q79" i="28"/>
  <c r="I242" i="28"/>
  <c r="D256" i="28"/>
  <c r="I241" i="28" s="1"/>
  <c r="J241" i="28" s="1"/>
  <c r="I210" i="28"/>
  <c r="D224" i="28"/>
  <c r="I209" i="28" s="1"/>
  <c r="J209" i="28" s="1"/>
  <c r="I178" i="28"/>
  <c r="D192" i="28"/>
  <c r="I177" i="28" s="1"/>
  <c r="J177" i="28" s="1"/>
  <c r="I146" i="28"/>
  <c r="I113" i="28"/>
  <c r="D127" i="28"/>
  <c r="I112" i="28" s="1"/>
  <c r="J112" i="28" s="1"/>
  <c r="I81" i="28"/>
  <c r="D95" i="28"/>
  <c r="I80" i="28" s="1"/>
  <c r="J80" i="28" s="1"/>
  <c r="Q245" i="28"/>
  <c r="Q242" i="28"/>
  <c r="Q179" i="28"/>
  <c r="Q82" i="28"/>
  <c r="Q211" i="28"/>
  <c r="Q207" i="28"/>
  <c r="Q175" i="28"/>
  <c r="Q143" i="28"/>
  <c r="Q110" i="28"/>
  <c r="Q78" i="28"/>
  <c r="I46" i="28"/>
  <c r="J46" i="28" s="1"/>
  <c r="Q241" i="28"/>
  <c r="Q239" i="28"/>
  <c r="Q213" i="28"/>
  <c r="Q210" i="28"/>
  <c r="Q181" i="28"/>
  <c r="Q178" i="28"/>
  <c r="Q149" i="28"/>
  <c r="Q146" i="28"/>
  <c r="Q116" i="28"/>
  <c r="Q113" i="28"/>
  <c r="Q84" i="28"/>
  <c r="Q81" i="28"/>
  <c r="D27" i="25"/>
  <c r="D28" i="25" s="1"/>
  <c r="E9" i="25"/>
  <c r="F9" i="25" s="1"/>
  <c r="P178" i="25"/>
  <c r="P175" i="25"/>
  <c r="P112" i="25"/>
  <c r="P170" i="25"/>
  <c r="P143" i="25"/>
  <c r="P146" i="25"/>
  <c r="P138" i="25"/>
  <c r="P48" i="25"/>
  <c r="P49" i="25"/>
  <c r="P16" i="25"/>
  <c r="H17" i="25"/>
  <c r="P10" i="25"/>
  <c r="P42" i="25"/>
  <c r="L11" i="25"/>
  <c r="L13" i="25"/>
  <c r="L43" i="25"/>
  <c r="L45" i="25"/>
  <c r="E59" i="25"/>
  <c r="B61" i="25" s="1"/>
  <c r="B62" i="25" s="1"/>
  <c r="C60" i="25"/>
  <c r="L75" i="25"/>
  <c r="L78" i="25"/>
  <c r="L107" i="25"/>
  <c r="L110" i="25"/>
  <c r="L139" i="25"/>
  <c r="L142" i="25"/>
  <c r="L171" i="25"/>
  <c r="L174" i="25"/>
  <c r="P73" i="25"/>
  <c r="P109" i="25"/>
  <c r="P105" i="25"/>
  <c r="P141" i="25"/>
  <c r="P173" i="25"/>
  <c r="F41" i="25"/>
  <c r="I45" i="25"/>
  <c r="J45" i="25" s="1"/>
  <c r="I46" i="25"/>
  <c r="J46" i="25" s="1"/>
  <c r="L76" i="25"/>
  <c r="L79" i="25"/>
  <c r="P74" i="25"/>
  <c r="L108" i="25"/>
  <c r="L111" i="25"/>
  <c r="P106" i="25"/>
  <c r="L140" i="25"/>
  <c r="L143" i="25"/>
  <c r="L172" i="25"/>
  <c r="L175" i="25"/>
  <c r="L77" i="25"/>
  <c r="L109" i="25"/>
  <c r="E123" i="25"/>
  <c r="B125" i="25" s="1"/>
  <c r="B126" i="25" s="1"/>
  <c r="L141" i="25"/>
  <c r="L173" i="25"/>
  <c r="H49" i="25" l="1"/>
  <c r="E187" i="25"/>
  <c r="B189" i="25" s="1"/>
  <c r="B190" i="25" s="1"/>
  <c r="Q178" i="25"/>
  <c r="Q82" i="25"/>
  <c r="E155" i="25"/>
  <c r="B157" i="25" s="1"/>
  <c r="B158" i="25" s="1"/>
  <c r="E91" i="25"/>
  <c r="B93" i="25" s="1"/>
  <c r="B94" i="25" s="1"/>
  <c r="Q173" i="25"/>
  <c r="H114" i="30"/>
  <c r="H115" i="30"/>
  <c r="P107" i="30"/>
  <c r="H116" i="30"/>
  <c r="P108" i="30"/>
  <c r="P119" i="30"/>
  <c r="P118" i="30"/>
  <c r="H179" i="30"/>
  <c r="P172" i="30"/>
  <c r="H180" i="30"/>
  <c r="P182" i="30"/>
  <c r="P183" i="30"/>
  <c r="H178" i="30"/>
  <c r="P171" i="30"/>
  <c r="P169" i="25"/>
  <c r="Q169" i="25" s="1"/>
  <c r="I78" i="25"/>
  <c r="J78" i="25" s="1"/>
  <c r="I240" i="28"/>
  <c r="J240" i="28" s="1"/>
  <c r="Q41" i="28"/>
  <c r="E27" i="25"/>
  <c r="B29" i="25" s="1"/>
  <c r="B30" i="25" s="1"/>
  <c r="I17" i="25" s="1"/>
  <c r="Q9" i="28"/>
  <c r="P87" i="28"/>
  <c r="H84" i="28"/>
  <c r="H82" i="28"/>
  <c r="P75" i="28"/>
  <c r="P76" i="28"/>
  <c r="P86" i="28"/>
  <c r="H83" i="28"/>
  <c r="P119" i="28"/>
  <c r="H116" i="28"/>
  <c r="H114" i="28"/>
  <c r="P107" i="28"/>
  <c r="P118" i="28"/>
  <c r="H115" i="28"/>
  <c r="P108" i="28"/>
  <c r="P152" i="28"/>
  <c r="H149" i="28"/>
  <c r="H147" i="28"/>
  <c r="P140" i="28"/>
  <c r="P141" i="28"/>
  <c r="P151" i="28"/>
  <c r="H148" i="28"/>
  <c r="P184" i="28"/>
  <c r="H181" i="28"/>
  <c r="H179" i="28"/>
  <c r="P172" i="28"/>
  <c r="P183" i="28"/>
  <c r="H180" i="28"/>
  <c r="P173" i="28"/>
  <c r="P216" i="28"/>
  <c r="H213" i="28"/>
  <c r="H211" i="28"/>
  <c r="P204" i="28"/>
  <c r="P215" i="28"/>
  <c r="H212" i="28"/>
  <c r="P205" i="28"/>
  <c r="P248" i="28"/>
  <c r="H245" i="28"/>
  <c r="H243" i="28"/>
  <c r="P236" i="28"/>
  <c r="P247" i="28"/>
  <c r="H244" i="28"/>
  <c r="P237" i="28"/>
  <c r="D31" i="28"/>
  <c r="I16" i="28" s="1"/>
  <c r="J16" i="28" s="1"/>
  <c r="K46" i="28" s="1"/>
  <c r="M46" i="28" s="1"/>
  <c r="I17" i="28"/>
  <c r="D63" i="28"/>
  <c r="I48" i="28" s="1"/>
  <c r="J48" i="28" s="1"/>
  <c r="I49" i="28"/>
  <c r="I15" i="28"/>
  <c r="J15" i="28" s="1"/>
  <c r="K15" i="28" s="1"/>
  <c r="M15" i="28" s="1"/>
  <c r="J12" i="28"/>
  <c r="I47" i="28"/>
  <c r="J47" i="28" s="1"/>
  <c r="J44" i="28"/>
  <c r="Q13" i="28"/>
  <c r="Q15" i="28"/>
  <c r="Q14" i="28"/>
  <c r="Q17" i="28"/>
  <c r="Q19" i="28"/>
  <c r="Q20" i="28"/>
  <c r="Q16" i="28"/>
  <c r="Q18" i="28"/>
  <c r="Q21" i="28"/>
  <c r="Q45" i="28"/>
  <c r="Q48" i="28"/>
  <c r="Q50" i="28"/>
  <c r="Q53" i="28"/>
  <c r="Q52" i="28"/>
  <c r="Q47" i="28"/>
  <c r="Q46" i="28"/>
  <c r="Q49" i="28"/>
  <c r="Q51" i="28"/>
  <c r="Q10" i="28"/>
  <c r="K14" i="28"/>
  <c r="M14" i="28" s="1"/>
  <c r="K45" i="28"/>
  <c r="M45" i="28" s="1"/>
  <c r="I174" i="25"/>
  <c r="J174" i="25" s="1"/>
  <c r="I142" i="25"/>
  <c r="J142" i="25" s="1"/>
  <c r="Q180" i="25"/>
  <c r="Q177" i="25"/>
  <c r="Q105" i="25"/>
  <c r="I110" i="25"/>
  <c r="J110" i="25" s="1"/>
  <c r="Q73" i="25"/>
  <c r="I177" i="25"/>
  <c r="I145" i="25"/>
  <c r="I113" i="25"/>
  <c r="I81" i="25"/>
  <c r="P45" i="25"/>
  <c r="P41" i="25"/>
  <c r="Q41" i="25" s="1"/>
  <c r="P13" i="25"/>
  <c r="P9" i="25"/>
  <c r="Q9" i="25" s="1"/>
  <c r="Q141" i="25"/>
  <c r="Q143" i="25"/>
  <c r="Q109" i="25"/>
  <c r="Q111" i="25"/>
  <c r="Q77" i="25"/>
  <c r="Q79" i="25"/>
  <c r="I49" i="25"/>
  <c r="D190" i="25"/>
  <c r="I171" i="25" s="1"/>
  <c r="J171" i="25" s="1"/>
  <c r="Q106" i="25"/>
  <c r="Q74" i="25"/>
  <c r="Q181" i="25"/>
  <c r="Q179" i="25"/>
  <c r="I173" i="25"/>
  <c r="J173" i="25" s="1"/>
  <c r="D158" i="25"/>
  <c r="I139" i="25" s="1"/>
  <c r="J139" i="25" s="1"/>
  <c r="I141" i="25"/>
  <c r="J141" i="25" s="1"/>
  <c r="B159" i="25"/>
  <c r="I140" i="25" s="1"/>
  <c r="Q114" i="25"/>
  <c r="I109" i="25"/>
  <c r="J109" i="25" s="1"/>
  <c r="B127" i="25"/>
  <c r="I108" i="25" s="1"/>
  <c r="I77" i="25"/>
  <c r="J77" i="25" s="1"/>
  <c r="B95" i="25"/>
  <c r="I76" i="25" s="1"/>
  <c r="Q146" i="25"/>
  <c r="Q142" i="25"/>
  <c r="Q110" i="25"/>
  <c r="Q78" i="25"/>
  <c r="Q42" i="25"/>
  <c r="Q175" i="25"/>
  <c r="Q149" i="25"/>
  <c r="Q147" i="25"/>
  <c r="Q117" i="25"/>
  <c r="Q115" i="25"/>
  <c r="Q85" i="25"/>
  <c r="Q83" i="25"/>
  <c r="Q170" i="25"/>
  <c r="Q138" i="25"/>
  <c r="Q137" i="25"/>
  <c r="D94" i="25"/>
  <c r="I75" i="25" s="1"/>
  <c r="J75" i="25" s="1"/>
  <c r="B191" i="25"/>
  <c r="I172" i="25" s="1"/>
  <c r="D126" i="25"/>
  <c r="I107" i="25" s="1"/>
  <c r="J107" i="25" s="1"/>
  <c r="B63" i="25"/>
  <c r="I44" i="25" s="1"/>
  <c r="Q144" i="25"/>
  <c r="Q112" i="25"/>
  <c r="Q80" i="25"/>
  <c r="D62" i="25"/>
  <c r="I43" i="25" s="1"/>
  <c r="J43" i="25" s="1"/>
  <c r="Q176" i="25"/>
  <c r="Q174" i="25"/>
  <c r="Q148" i="25"/>
  <c r="Q145" i="25"/>
  <c r="Q116" i="25"/>
  <c r="Q113" i="25"/>
  <c r="Q84" i="25"/>
  <c r="Q81" i="25"/>
  <c r="K79" i="28" l="1"/>
  <c r="M79" i="28" s="1"/>
  <c r="K176" i="28"/>
  <c r="M176" i="28" s="1"/>
  <c r="K237" i="28"/>
  <c r="M237" i="28" s="1"/>
  <c r="D30" i="25"/>
  <c r="I11" i="25" s="1"/>
  <c r="J11" i="25" s="1"/>
  <c r="K208" i="28"/>
  <c r="M208" i="28" s="1"/>
  <c r="K141" i="28"/>
  <c r="M141" i="28" s="1"/>
  <c r="K240" i="28"/>
  <c r="M240" i="28" s="1"/>
  <c r="K111" i="28"/>
  <c r="M111" i="28" s="1"/>
  <c r="K13" i="28"/>
  <c r="M13" i="28" s="1"/>
  <c r="B31" i="25"/>
  <c r="I12" i="25" s="1"/>
  <c r="J12" i="25" s="1"/>
  <c r="K11" i="28"/>
  <c r="M11" i="28" s="1"/>
  <c r="K144" i="28"/>
  <c r="M144" i="28" s="1"/>
  <c r="K108" i="28"/>
  <c r="M108" i="28" s="1"/>
  <c r="K205" i="28"/>
  <c r="M205" i="28" s="1"/>
  <c r="K76" i="28"/>
  <c r="M76" i="28" s="1"/>
  <c r="K43" i="28"/>
  <c r="M43" i="28" s="1"/>
  <c r="K173" i="28"/>
  <c r="M173" i="28" s="1"/>
  <c r="K47" i="28"/>
  <c r="M47" i="28" s="1"/>
  <c r="I14" i="25"/>
  <c r="J14" i="25" s="1"/>
  <c r="I13" i="25"/>
  <c r="J13" i="25" s="1"/>
  <c r="K44" i="28"/>
  <c r="M44" i="28" s="1"/>
  <c r="K12" i="28"/>
  <c r="M12" i="28" s="1"/>
  <c r="P54" i="28"/>
  <c r="H51" i="28"/>
  <c r="P44" i="28"/>
  <c r="P55" i="28"/>
  <c r="H52" i="28"/>
  <c r="H50" i="28"/>
  <c r="P43" i="28"/>
  <c r="P22" i="28"/>
  <c r="H19" i="28"/>
  <c r="P12" i="28"/>
  <c r="P23" i="28"/>
  <c r="H20" i="28"/>
  <c r="H18" i="28"/>
  <c r="P11" i="28"/>
  <c r="K239" i="28"/>
  <c r="M239" i="28" s="1"/>
  <c r="K175" i="28"/>
  <c r="M175" i="28" s="1"/>
  <c r="K110" i="28"/>
  <c r="M110" i="28" s="1"/>
  <c r="K172" i="28"/>
  <c r="M172" i="28" s="1"/>
  <c r="K107" i="28"/>
  <c r="M107" i="28" s="1"/>
  <c r="K206" i="28"/>
  <c r="M206" i="28" s="1"/>
  <c r="K140" i="28"/>
  <c r="M140" i="28" s="1"/>
  <c r="K75" i="28"/>
  <c r="M75" i="28" s="1"/>
  <c r="K207" i="28"/>
  <c r="M207" i="28" s="1"/>
  <c r="K143" i="28"/>
  <c r="M143" i="28" s="1"/>
  <c r="K78" i="28"/>
  <c r="M78" i="28" s="1"/>
  <c r="K238" i="28"/>
  <c r="M238" i="28" s="1"/>
  <c r="K236" i="28"/>
  <c r="M236" i="28" s="1"/>
  <c r="K204" i="28"/>
  <c r="M204" i="28" s="1"/>
  <c r="K142" i="28"/>
  <c r="M142" i="28" s="1"/>
  <c r="K77" i="28"/>
  <c r="M77" i="28" s="1"/>
  <c r="K174" i="28"/>
  <c r="M174" i="28" s="1"/>
  <c r="K109" i="28"/>
  <c r="M109" i="28" s="1"/>
  <c r="Q10" i="25"/>
  <c r="I47" i="25"/>
  <c r="J47" i="25" s="1"/>
  <c r="J44" i="25"/>
  <c r="I111" i="25"/>
  <c r="J111" i="25" s="1"/>
  <c r="J108" i="25"/>
  <c r="Q13" i="25"/>
  <c r="Q15" i="25"/>
  <c r="Q14" i="25"/>
  <c r="Q16" i="25"/>
  <c r="Q18" i="25"/>
  <c r="Q21" i="25"/>
  <c r="Q20" i="25"/>
  <c r="Q17" i="25"/>
  <c r="Q19" i="25"/>
  <c r="Q45" i="25"/>
  <c r="Q46" i="25"/>
  <c r="Q48" i="25"/>
  <c r="Q50" i="25"/>
  <c r="Q53" i="25"/>
  <c r="Q52" i="25"/>
  <c r="Q47" i="25"/>
  <c r="Q49" i="25"/>
  <c r="Q51" i="25"/>
  <c r="D63" i="25"/>
  <c r="I48" i="25" s="1"/>
  <c r="J48" i="25" s="1"/>
  <c r="I175" i="25"/>
  <c r="J175" i="25" s="1"/>
  <c r="J172" i="25"/>
  <c r="I79" i="25"/>
  <c r="J79" i="25" s="1"/>
  <c r="J76" i="25"/>
  <c r="I143" i="25"/>
  <c r="J143" i="25" s="1"/>
  <c r="J140" i="25"/>
  <c r="D95" i="25"/>
  <c r="I80" i="25" s="1"/>
  <c r="J80" i="25" s="1"/>
  <c r="D127" i="25"/>
  <c r="I112" i="25" s="1"/>
  <c r="J112" i="25" s="1"/>
  <c r="D159" i="25"/>
  <c r="I144" i="25" s="1"/>
  <c r="J144" i="25" s="1"/>
  <c r="D191" i="25"/>
  <c r="I176" i="25" s="1"/>
  <c r="J176" i="25" s="1"/>
  <c r="D31" i="25" l="1"/>
  <c r="I16" i="25" s="1"/>
  <c r="J16" i="25" s="1"/>
  <c r="K171" i="25" s="1"/>
  <c r="M171" i="25" s="1"/>
  <c r="I15" i="25"/>
  <c r="J15" i="25" s="1"/>
  <c r="P183" i="25"/>
  <c r="H180" i="25"/>
  <c r="H178" i="25"/>
  <c r="P171" i="25"/>
  <c r="P182" i="25"/>
  <c r="H179" i="25"/>
  <c r="P172" i="25"/>
  <c r="P119" i="25"/>
  <c r="H116" i="25"/>
  <c r="H114" i="25"/>
  <c r="P107" i="25"/>
  <c r="P118" i="25"/>
  <c r="H115" i="25"/>
  <c r="P108" i="25"/>
  <c r="P87" i="25"/>
  <c r="H84" i="25"/>
  <c r="H82" i="25"/>
  <c r="P75" i="25"/>
  <c r="P86" i="25"/>
  <c r="H83" i="25"/>
  <c r="P76" i="25"/>
  <c r="P54" i="25"/>
  <c r="H51" i="25"/>
  <c r="P44" i="25"/>
  <c r="P55" i="25"/>
  <c r="H52" i="25"/>
  <c r="H50" i="25"/>
  <c r="P43" i="25"/>
  <c r="P151" i="25"/>
  <c r="H148" i="25"/>
  <c r="H146" i="25"/>
  <c r="P139" i="25"/>
  <c r="P150" i="25"/>
  <c r="H147" i="25"/>
  <c r="P140" i="25"/>
  <c r="H19" i="25"/>
  <c r="H18" i="25"/>
  <c r="K110" i="25"/>
  <c r="M110" i="25" s="1"/>
  <c r="K13" i="25"/>
  <c r="M13" i="25" s="1"/>
  <c r="K79" i="25"/>
  <c r="M79" i="25" s="1"/>
  <c r="K107" i="25"/>
  <c r="M107" i="25" s="1"/>
  <c r="P12" i="25" l="1"/>
  <c r="K108" i="25"/>
  <c r="M108" i="25" s="1"/>
  <c r="K75" i="25"/>
  <c r="M75" i="25" s="1"/>
  <c r="P11" i="25"/>
  <c r="K44" i="25"/>
  <c r="M44" i="25" s="1"/>
  <c r="K15" i="25"/>
  <c r="M15" i="25" s="1"/>
  <c r="K43" i="25"/>
  <c r="M43" i="25" s="1"/>
  <c r="K174" i="25"/>
  <c r="M174" i="25" s="1"/>
  <c r="K142" i="25"/>
  <c r="M142" i="25" s="1"/>
  <c r="P23" i="25"/>
  <c r="K172" i="25"/>
  <c r="M172" i="25" s="1"/>
  <c r="K175" i="25"/>
  <c r="M175" i="25" s="1"/>
  <c r="K45" i="25"/>
  <c r="M45" i="25" s="1"/>
  <c r="K141" i="25"/>
  <c r="M141" i="25" s="1"/>
  <c r="K143" i="25"/>
  <c r="M143" i="25" s="1"/>
  <c r="K78" i="25"/>
  <c r="M78" i="25" s="1"/>
  <c r="K46" i="25"/>
  <c r="M46" i="25" s="1"/>
  <c r="H20" i="25"/>
  <c r="P22" i="25"/>
  <c r="K47" i="25"/>
  <c r="M47" i="25" s="1"/>
  <c r="K173" i="25"/>
  <c r="M173" i="25" s="1"/>
  <c r="K77" i="25"/>
  <c r="M77" i="25" s="1"/>
  <c r="K140" i="25"/>
  <c r="M140" i="25" s="1"/>
  <c r="K111" i="25"/>
  <c r="M111" i="25" s="1"/>
  <c r="K76" i="25"/>
  <c r="M76" i="25" s="1"/>
  <c r="K109" i="25"/>
  <c r="M109" i="25" s="1"/>
  <c r="K14" i="25"/>
  <c r="M14" i="25" s="1"/>
  <c r="K11" i="25"/>
  <c r="M11" i="25" s="1"/>
  <c r="K139" i="25"/>
  <c r="M139" i="25" s="1"/>
  <c r="K12" i="25"/>
  <c r="M12" i="25" s="1"/>
  <c r="F188" i="19"/>
  <c r="D188" i="19"/>
  <c r="D189" i="19" s="1"/>
  <c r="C188" i="19"/>
  <c r="C189" i="19" s="1"/>
  <c r="B188" i="19"/>
  <c r="B189" i="19" s="1"/>
  <c r="E187" i="19"/>
  <c r="F187" i="19" s="1"/>
  <c r="F186" i="19"/>
  <c r="E186" i="19"/>
  <c r="E185" i="19"/>
  <c r="F185" i="19" s="1"/>
  <c r="E184" i="19"/>
  <c r="F184" i="19" s="1"/>
  <c r="E183" i="19"/>
  <c r="F183" i="19" s="1"/>
  <c r="E182" i="19"/>
  <c r="F182" i="19" s="1"/>
  <c r="E181" i="19"/>
  <c r="F181" i="19" s="1"/>
  <c r="E180" i="19"/>
  <c r="F180" i="19" s="1"/>
  <c r="E179" i="19"/>
  <c r="F179" i="19" s="1"/>
  <c r="L178" i="19"/>
  <c r="E178" i="19"/>
  <c r="F178" i="19" s="1"/>
  <c r="P182" i="19" s="1"/>
  <c r="H177" i="19"/>
  <c r="E177" i="19"/>
  <c r="F177" i="19" s="1"/>
  <c r="E176" i="19"/>
  <c r="F176" i="19" s="1"/>
  <c r="H175" i="19"/>
  <c r="E175" i="19"/>
  <c r="F175" i="19" s="1"/>
  <c r="H174" i="19"/>
  <c r="E174" i="19"/>
  <c r="F174" i="19" s="1"/>
  <c r="P178" i="19" s="1"/>
  <c r="H173" i="19"/>
  <c r="F173" i="19"/>
  <c r="E173" i="19"/>
  <c r="H172" i="19"/>
  <c r="E172" i="19"/>
  <c r="F172" i="19" s="1"/>
  <c r="E171" i="19"/>
  <c r="F171" i="19" s="1"/>
  <c r="P175" i="19" s="1"/>
  <c r="E170" i="19"/>
  <c r="F170" i="19" s="1"/>
  <c r="C157" i="19"/>
  <c r="F156" i="19"/>
  <c r="D156" i="19"/>
  <c r="D157" i="19" s="1"/>
  <c r="C156" i="19"/>
  <c r="B156" i="19"/>
  <c r="B157" i="19" s="1"/>
  <c r="E155" i="19"/>
  <c r="F155" i="19" s="1"/>
  <c r="E154" i="19"/>
  <c r="F154" i="19" s="1"/>
  <c r="E153" i="19"/>
  <c r="F153" i="19" s="1"/>
  <c r="E152" i="19"/>
  <c r="F152" i="19" s="1"/>
  <c r="E151" i="19"/>
  <c r="F151" i="19" s="1"/>
  <c r="E150" i="19"/>
  <c r="F150" i="19" s="1"/>
  <c r="E149" i="19"/>
  <c r="F149" i="19" s="1"/>
  <c r="E148" i="19"/>
  <c r="F148" i="19" s="1"/>
  <c r="E147" i="19"/>
  <c r="F147" i="19" s="1"/>
  <c r="L146" i="19"/>
  <c r="E146" i="19"/>
  <c r="F146" i="19" s="1"/>
  <c r="H145" i="19"/>
  <c r="E145" i="19"/>
  <c r="F145" i="19" s="1"/>
  <c r="E144" i="19"/>
  <c r="F144" i="19" s="1"/>
  <c r="P148" i="19" s="1"/>
  <c r="H143" i="19"/>
  <c r="E143" i="19"/>
  <c r="F143" i="19" s="1"/>
  <c r="H142" i="19"/>
  <c r="E142" i="19"/>
  <c r="F142" i="19" s="1"/>
  <c r="H141" i="19"/>
  <c r="E141" i="19"/>
  <c r="F141" i="19" s="1"/>
  <c r="H140" i="19"/>
  <c r="E140" i="19"/>
  <c r="F140" i="19" s="1"/>
  <c r="E139" i="19"/>
  <c r="F139" i="19" s="1"/>
  <c r="F138" i="19"/>
  <c r="E138" i="19"/>
  <c r="F124" i="19"/>
  <c r="D124" i="19"/>
  <c r="D125" i="19" s="1"/>
  <c r="C124" i="19"/>
  <c r="C125" i="19" s="1"/>
  <c r="B124" i="19"/>
  <c r="B125" i="19" s="1"/>
  <c r="E123" i="19"/>
  <c r="F123" i="19" s="1"/>
  <c r="E122" i="19"/>
  <c r="F122" i="19" s="1"/>
  <c r="E121" i="19"/>
  <c r="F121" i="19" s="1"/>
  <c r="E120" i="19"/>
  <c r="F120" i="19" s="1"/>
  <c r="E119" i="19"/>
  <c r="F119" i="19" s="1"/>
  <c r="E118" i="19"/>
  <c r="F118" i="19" s="1"/>
  <c r="E117" i="19"/>
  <c r="F117" i="19" s="1"/>
  <c r="E116" i="19"/>
  <c r="F116" i="19" s="1"/>
  <c r="E115" i="19"/>
  <c r="F115" i="19" s="1"/>
  <c r="L114" i="19"/>
  <c r="E114" i="19"/>
  <c r="F114" i="19" s="1"/>
  <c r="H113" i="19"/>
  <c r="E113" i="19"/>
  <c r="F113" i="19" s="1"/>
  <c r="P117" i="19" s="1"/>
  <c r="E112" i="19"/>
  <c r="F112" i="19" s="1"/>
  <c r="P116" i="19" s="1"/>
  <c r="H111" i="19"/>
  <c r="E111" i="19"/>
  <c r="F111" i="19" s="1"/>
  <c r="P115" i="19" s="1"/>
  <c r="H110" i="19"/>
  <c r="H112" i="19" s="1"/>
  <c r="E110" i="19"/>
  <c r="F110" i="19" s="1"/>
  <c r="H109" i="19"/>
  <c r="E109" i="19"/>
  <c r="F109" i="19" s="1"/>
  <c r="H108" i="19"/>
  <c r="E108" i="19"/>
  <c r="F108" i="19" s="1"/>
  <c r="E107" i="19"/>
  <c r="F107" i="19" s="1"/>
  <c r="E106" i="19"/>
  <c r="F106" i="19" s="1"/>
  <c r="F91" i="19"/>
  <c r="D91" i="19"/>
  <c r="D92" i="19" s="1"/>
  <c r="C91" i="19"/>
  <c r="C92" i="19" s="1"/>
  <c r="B91" i="19"/>
  <c r="B92" i="19" s="1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F84" i="19"/>
  <c r="E84" i="19"/>
  <c r="E83" i="19"/>
  <c r="F83" i="19" s="1"/>
  <c r="E82" i="19"/>
  <c r="F82" i="19" s="1"/>
  <c r="L81" i="19"/>
  <c r="E81" i="19"/>
  <c r="F81" i="19" s="1"/>
  <c r="H80" i="19"/>
  <c r="E80" i="19"/>
  <c r="F80" i="19" s="1"/>
  <c r="P84" i="19" s="1"/>
  <c r="E79" i="19"/>
  <c r="F79" i="19" s="1"/>
  <c r="P83" i="19" s="1"/>
  <c r="H78" i="19"/>
  <c r="E78" i="19"/>
  <c r="F78" i="19" s="1"/>
  <c r="P82" i="19" s="1"/>
  <c r="H77" i="19"/>
  <c r="E77" i="19"/>
  <c r="F77" i="19" s="1"/>
  <c r="H76" i="19"/>
  <c r="E76" i="19"/>
  <c r="F76" i="19" s="1"/>
  <c r="P80" i="19" s="1"/>
  <c r="H75" i="19"/>
  <c r="E75" i="19"/>
  <c r="F75" i="19" s="1"/>
  <c r="P79" i="19" s="1"/>
  <c r="E74" i="19"/>
  <c r="F74" i="19" s="1"/>
  <c r="E73" i="19"/>
  <c r="F73" i="19" s="1"/>
  <c r="F59" i="19"/>
  <c r="D59" i="19"/>
  <c r="D60" i="19" s="1"/>
  <c r="C59" i="19"/>
  <c r="C60" i="19" s="1"/>
  <c r="B59" i="19"/>
  <c r="B60" i="19" s="1"/>
  <c r="E58" i="19"/>
  <c r="F58" i="19" s="1"/>
  <c r="E57" i="19"/>
  <c r="F57" i="19" s="1"/>
  <c r="E56" i="19"/>
  <c r="F56" i="19" s="1"/>
  <c r="E55" i="19"/>
  <c r="F55" i="19" s="1"/>
  <c r="E54" i="19"/>
  <c r="F54" i="19" s="1"/>
  <c r="E53" i="19"/>
  <c r="F53" i="19" s="1"/>
  <c r="E52" i="19"/>
  <c r="F52" i="19" s="1"/>
  <c r="E51" i="19"/>
  <c r="F51" i="19" s="1"/>
  <c r="E50" i="19"/>
  <c r="F50" i="19" s="1"/>
  <c r="L49" i="19"/>
  <c r="E49" i="19"/>
  <c r="F49" i="19" s="1"/>
  <c r="H48" i="19"/>
  <c r="E48" i="19"/>
  <c r="F48" i="19" s="1"/>
  <c r="E47" i="19"/>
  <c r="F47" i="19" s="1"/>
  <c r="P51" i="19" s="1"/>
  <c r="H46" i="19"/>
  <c r="E46" i="19"/>
  <c r="F46" i="19" s="1"/>
  <c r="H45" i="19"/>
  <c r="E45" i="19"/>
  <c r="F45" i="19" s="1"/>
  <c r="H44" i="19"/>
  <c r="E44" i="19"/>
  <c r="H43" i="19"/>
  <c r="E43" i="19"/>
  <c r="F43" i="19" s="1"/>
  <c r="E42" i="19"/>
  <c r="F42" i="19" s="1"/>
  <c r="E41" i="19"/>
  <c r="F41" i="19" s="1"/>
  <c r="F27" i="19"/>
  <c r="D27" i="19"/>
  <c r="D28" i="19" s="1"/>
  <c r="C27" i="19"/>
  <c r="C28" i="19" s="1"/>
  <c r="B27" i="19"/>
  <c r="B28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F18" i="19"/>
  <c r="E18" i="19"/>
  <c r="L17" i="19"/>
  <c r="E17" i="19"/>
  <c r="F17" i="19" s="1"/>
  <c r="H16" i="19"/>
  <c r="L76" i="19" s="1"/>
  <c r="E16" i="19"/>
  <c r="F16" i="19" s="1"/>
  <c r="P20" i="19" s="1"/>
  <c r="E15" i="19"/>
  <c r="F15" i="19" s="1"/>
  <c r="P19" i="19" s="1"/>
  <c r="H14" i="19"/>
  <c r="F14" i="19"/>
  <c r="E14" i="19"/>
  <c r="H13" i="19"/>
  <c r="H15" i="19" s="1"/>
  <c r="L15" i="19" s="1"/>
  <c r="E13" i="19"/>
  <c r="F13" i="19" s="1"/>
  <c r="H12" i="19"/>
  <c r="H17" i="19" s="1"/>
  <c r="E12" i="19"/>
  <c r="F12" i="19" s="1"/>
  <c r="H11" i="19"/>
  <c r="E11" i="19"/>
  <c r="F11" i="19" s="1"/>
  <c r="E10" i="19"/>
  <c r="F10" i="19" s="1"/>
  <c r="P14" i="19" s="1"/>
  <c r="E9" i="19"/>
  <c r="F9" i="19" s="1"/>
  <c r="P17" i="19" l="1"/>
  <c r="H144" i="19"/>
  <c r="H47" i="19"/>
  <c r="H49" i="19" s="1"/>
  <c r="P181" i="19"/>
  <c r="P85" i="19"/>
  <c r="P49" i="19"/>
  <c r="P15" i="19"/>
  <c r="P13" i="19"/>
  <c r="P47" i="19"/>
  <c r="P50" i="19"/>
  <c r="H176" i="19"/>
  <c r="L176" i="19" s="1"/>
  <c r="L47" i="19"/>
  <c r="P113" i="19"/>
  <c r="L14" i="19"/>
  <c r="L43" i="19"/>
  <c r="L46" i="19"/>
  <c r="H79" i="19"/>
  <c r="L79" i="19" s="1"/>
  <c r="L108" i="19"/>
  <c r="L112" i="19"/>
  <c r="P118" i="19"/>
  <c r="L140" i="19"/>
  <c r="P150" i="19"/>
  <c r="L172" i="19"/>
  <c r="L175" i="19"/>
  <c r="L78" i="19"/>
  <c r="P114" i="19"/>
  <c r="L111" i="19"/>
  <c r="L143" i="19"/>
  <c r="P176" i="19"/>
  <c r="P174" i="19"/>
  <c r="P46" i="19"/>
  <c r="L75" i="19"/>
  <c r="L11" i="19"/>
  <c r="P18" i="19"/>
  <c r="L12" i="19"/>
  <c r="P21" i="19"/>
  <c r="E59" i="19"/>
  <c r="B61" i="19" s="1"/>
  <c r="B62" i="19" s="1"/>
  <c r="L44" i="19"/>
  <c r="P53" i="19"/>
  <c r="L109" i="19"/>
  <c r="L141" i="19"/>
  <c r="P179" i="19"/>
  <c r="P177" i="19"/>
  <c r="P143" i="19"/>
  <c r="P145" i="19"/>
  <c r="P146" i="19"/>
  <c r="P142" i="19"/>
  <c r="P144" i="19"/>
  <c r="P147" i="19"/>
  <c r="P112" i="19"/>
  <c r="P110" i="19"/>
  <c r="E124" i="19"/>
  <c r="B126" i="19" s="1"/>
  <c r="I110" i="19" s="1"/>
  <c r="J110" i="19" s="1"/>
  <c r="P45" i="19"/>
  <c r="F44" i="19"/>
  <c r="P48" i="19" s="1"/>
  <c r="P81" i="19"/>
  <c r="P73" i="19"/>
  <c r="I111" i="19"/>
  <c r="J111" i="19" s="1"/>
  <c r="E27" i="19"/>
  <c r="B29" i="19" s="1"/>
  <c r="I14" i="19" s="1"/>
  <c r="J14" i="19" s="1"/>
  <c r="P52" i="19"/>
  <c r="P42" i="19"/>
  <c r="E91" i="19"/>
  <c r="B93" i="19" s="1"/>
  <c r="I78" i="19" s="1"/>
  <c r="J78" i="19" s="1"/>
  <c r="P149" i="19"/>
  <c r="P77" i="19"/>
  <c r="P74" i="19"/>
  <c r="H146" i="19"/>
  <c r="L144" i="19"/>
  <c r="P16" i="19"/>
  <c r="P10" i="19"/>
  <c r="I45" i="19"/>
  <c r="J45" i="19" s="1"/>
  <c r="P78" i="19"/>
  <c r="P111" i="19"/>
  <c r="Q147" i="19"/>
  <c r="P180" i="19"/>
  <c r="P139" i="19"/>
  <c r="P9" i="19"/>
  <c r="L45" i="19"/>
  <c r="P106" i="19"/>
  <c r="P107" i="19"/>
  <c r="L142" i="19"/>
  <c r="E156" i="19"/>
  <c r="B158" i="19" s="1"/>
  <c r="I143" i="19" s="1"/>
  <c r="J143" i="19" s="1"/>
  <c r="P170" i="19"/>
  <c r="P171" i="19"/>
  <c r="L173" i="19"/>
  <c r="H114" i="19"/>
  <c r="L13" i="19"/>
  <c r="L77" i="19"/>
  <c r="L110" i="19"/>
  <c r="P138" i="19"/>
  <c r="L174" i="19"/>
  <c r="E188" i="19"/>
  <c r="B190" i="19" s="1"/>
  <c r="Q142" i="19" l="1"/>
  <c r="Q106" i="19"/>
  <c r="Q148" i="19"/>
  <c r="P41" i="19"/>
  <c r="Q42" i="19" s="1"/>
  <c r="Q181" i="19"/>
  <c r="Q138" i="19"/>
  <c r="Q143" i="19"/>
  <c r="Q51" i="19"/>
  <c r="H178" i="19"/>
  <c r="D62" i="19"/>
  <c r="I43" i="19" s="1"/>
  <c r="J43" i="19" s="1"/>
  <c r="Q177" i="19"/>
  <c r="Q178" i="19"/>
  <c r="Q170" i="19"/>
  <c r="Q174" i="19"/>
  <c r="Q53" i="19"/>
  <c r="B63" i="19"/>
  <c r="I44" i="19" s="1"/>
  <c r="J44" i="19" s="1"/>
  <c r="Q47" i="19"/>
  <c r="I46" i="19"/>
  <c r="J46" i="19" s="1"/>
  <c r="Q16" i="19"/>
  <c r="Q83" i="19"/>
  <c r="Q18" i="19"/>
  <c r="D127" i="19"/>
  <c r="I108" i="19" s="1"/>
  <c r="J108" i="19" s="1"/>
  <c r="Q180" i="19"/>
  <c r="Q111" i="19"/>
  <c r="Q78" i="19"/>
  <c r="Q17" i="19"/>
  <c r="Q82" i="19"/>
  <c r="Q74" i="19"/>
  <c r="Q52" i="19"/>
  <c r="B127" i="19"/>
  <c r="I114" i="19" s="1"/>
  <c r="B128" i="19"/>
  <c r="I109" i="19" s="1"/>
  <c r="J109" i="19" s="1"/>
  <c r="Q144" i="19"/>
  <c r="H81" i="19"/>
  <c r="Q10" i="19"/>
  <c r="Q146" i="19"/>
  <c r="Q145" i="19"/>
  <c r="Q150" i="19"/>
  <c r="Q149" i="19"/>
  <c r="I175" i="19"/>
  <c r="J175" i="19" s="1"/>
  <c r="B191" i="19"/>
  <c r="I49" i="19"/>
  <c r="B95" i="19"/>
  <c r="I76" i="19" s="1"/>
  <c r="I77" i="19"/>
  <c r="J77" i="19" s="1"/>
  <c r="B94" i="19"/>
  <c r="D94" i="19"/>
  <c r="I75" i="19" s="1"/>
  <c r="J75" i="19" s="1"/>
  <c r="I112" i="19"/>
  <c r="J112" i="19" s="1"/>
  <c r="Q45" i="19"/>
  <c r="Q46" i="19"/>
  <c r="I174" i="19"/>
  <c r="J174" i="19" s="1"/>
  <c r="Q117" i="19"/>
  <c r="Q179" i="19"/>
  <c r="Q20" i="19"/>
  <c r="Q81" i="19"/>
  <c r="Q85" i="19"/>
  <c r="Q15" i="19"/>
  <c r="B31" i="19"/>
  <c r="I12" i="19" s="1"/>
  <c r="I13" i="19"/>
  <c r="J13" i="19" s="1"/>
  <c r="B30" i="19"/>
  <c r="D30" i="19"/>
  <c r="I11" i="19" s="1"/>
  <c r="J11" i="19" s="1"/>
  <c r="Q171" i="19"/>
  <c r="Q107" i="19"/>
  <c r="D191" i="19"/>
  <c r="I172" i="19" s="1"/>
  <c r="J172" i="19" s="1"/>
  <c r="Q139" i="19"/>
  <c r="Q114" i="19"/>
  <c r="Q112" i="19"/>
  <c r="Q182" i="19"/>
  <c r="Q113" i="19"/>
  <c r="Q80" i="19"/>
  <c r="Q73" i="19"/>
  <c r="Q13" i="19"/>
  <c r="Q19" i="19"/>
  <c r="B192" i="19"/>
  <c r="I173" i="19" s="1"/>
  <c r="Q110" i="19"/>
  <c r="Q14" i="19"/>
  <c r="Q115" i="19"/>
  <c r="Q48" i="19"/>
  <c r="Q21" i="19"/>
  <c r="B159" i="19"/>
  <c r="D159" i="19"/>
  <c r="I140" i="19" s="1"/>
  <c r="J140" i="19" s="1"/>
  <c r="I142" i="19"/>
  <c r="J142" i="19" s="1"/>
  <c r="B160" i="19"/>
  <c r="I141" i="19" s="1"/>
  <c r="Q77" i="19"/>
  <c r="Q79" i="19"/>
  <c r="Q9" i="19"/>
  <c r="Q175" i="19"/>
  <c r="Q116" i="19"/>
  <c r="Q84" i="19"/>
  <c r="Q176" i="19"/>
  <c r="Q118" i="19"/>
  <c r="Q49" i="19"/>
  <c r="Q50" i="19"/>
  <c r="D63" i="19" l="1"/>
  <c r="I48" i="19" s="1"/>
  <c r="J48" i="19" s="1"/>
  <c r="Q41" i="19"/>
  <c r="I47" i="19"/>
  <c r="J47" i="19" s="1"/>
  <c r="D128" i="19"/>
  <c r="I113" i="19" s="1"/>
  <c r="J113" i="19" s="1"/>
  <c r="P108" i="19" s="1"/>
  <c r="I15" i="19"/>
  <c r="J15" i="19" s="1"/>
  <c r="J12" i="19"/>
  <c r="D95" i="19"/>
  <c r="I80" i="19" s="1"/>
  <c r="J80" i="19" s="1"/>
  <c r="I81" i="19"/>
  <c r="I144" i="19"/>
  <c r="J144" i="19" s="1"/>
  <c r="J141" i="19"/>
  <c r="I176" i="19"/>
  <c r="J176" i="19" s="1"/>
  <c r="J173" i="19"/>
  <c r="D31" i="19"/>
  <c r="I16" i="19" s="1"/>
  <c r="J16" i="19" s="1"/>
  <c r="K11" i="19" s="1"/>
  <c r="M11" i="19" s="1"/>
  <c r="I17" i="19"/>
  <c r="P55" i="19"/>
  <c r="H52" i="19"/>
  <c r="P54" i="19"/>
  <c r="H50" i="19"/>
  <c r="P43" i="19"/>
  <c r="H51" i="19"/>
  <c r="P44" i="19"/>
  <c r="D192" i="19"/>
  <c r="I177" i="19" s="1"/>
  <c r="J177" i="19" s="1"/>
  <c r="I178" i="19"/>
  <c r="I146" i="19"/>
  <c r="D160" i="19"/>
  <c r="I145" i="19" s="1"/>
  <c r="J145" i="19" s="1"/>
  <c r="P109" i="19"/>
  <c r="I79" i="19"/>
  <c r="J79" i="19" s="1"/>
  <c r="J76" i="19"/>
  <c r="K44" i="19"/>
  <c r="M44" i="19" s="1"/>
  <c r="K174" i="19"/>
  <c r="M174" i="19" s="1"/>
  <c r="H117" i="19" l="1"/>
  <c r="P120" i="19"/>
  <c r="H115" i="19"/>
  <c r="H116" i="19"/>
  <c r="P119" i="19"/>
  <c r="K109" i="19"/>
  <c r="M109" i="19" s="1"/>
  <c r="K79" i="19"/>
  <c r="M79" i="19" s="1"/>
  <c r="K176" i="19"/>
  <c r="M176" i="19" s="1"/>
  <c r="K76" i="19"/>
  <c r="M76" i="19" s="1"/>
  <c r="K172" i="19"/>
  <c r="M172" i="19" s="1"/>
  <c r="H82" i="19"/>
  <c r="P75" i="19"/>
  <c r="H83" i="19"/>
  <c r="P76" i="19"/>
  <c r="P87" i="19"/>
  <c r="H84" i="19"/>
  <c r="P86" i="19"/>
  <c r="K141" i="19"/>
  <c r="M141" i="19" s="1"/>
  <c r="K13" i="19"/>
  <c r="M13" i="19" s="1"/>
  <c r="K15" i="19"/>
  <c r="M15" i="19" s="1"/>
  <c r="P152" i="19"/>
  <c r="H149" i="19"/>
  <c r="P151" i="19"/>
  <c r="H148" i="19"/>
  <c r="P141" i="19"/>
  <c r="H147" i="19"/>
  <c r="P140" i="19"/>
  <c r="H18" i="19"/>
  <c r="P11" i="19"/>
  <c r="H19" i="19"/>
  <c r="P12" i="19"/>
  <c r="P23" i="19"/>
  <c r="H20" i="19"/>
  <c r="P22" i="19"/>
  <c r="K43" i="19"/>
  <c r="M43" i="19" s="1"/>
  <c r="K78" i="19"/>
  <c r="M78" i="19" s="1"/>
  <c r="K108" i="19"/>
  <c r="M108" i="19" s="1"/>
  <c r="K14" i="19"/>
  <c r="M14" i="19" s="1"/>
  <c r="K110" i="19"/>
  <c r="M110" i="19" s="1"/>
  <c r="K45" i="19"/>
  <c r="M45" i="19" s="1"/>
  <c r="K143" i="19"/>
  <c r="M143" i="19" s="1"/>
  <c r="K111" i="19"/>
  <c r="M111" i="19" s="1"/>
  <c r="K46" i="19"/>
  <c r="M46" i="19" s="1"/>
  <c r="K173" i="19"/>
  <c r="M173" i="19" s="1"/>
  <c r="K112" i="19"/>
  <c r="M112" i="19" s="1"/>
  <c r="K47" i="19"/>
  <c r="M47" i="19" s="1"/>
  <c r="K12" i="19"/>
  <c r="M12" i="19" s="1"/>
  <c r="H179" i="19"/>
  <c r="P172" i="19"/>
  <c r="H180" i="19"/>
  <c r="P173" i="19"/>
  <c r="P184" i="19"/>
  <c r="H181" i="19"/>
  <c r="P183" i="19"/>
  <c r="K175" i="19"/>
  <c r="M175" i="19" s="1"/>
  <c r="K142" i="19"/>
  <c r="M142" i="19" s="1"/>
  <c r="K77" i="19"/>
  <c r="M77" i="19" s="1"/>
  <c r="K75" i="19"/>
  <c r="M75" i="19" s="1"/>
  <c r="K144" i="19"/>
  <c r="M144" i="19" s="1"/>
  <c r="K140" i="19"/>
  <c r="M140" i="19" s="1"/>
  <c r="F10" i="15" l="1"/>
  <c r="F11" i="15"/>
  <c r="F9" i="15"/>
  <c r="F6" i="15"/>
  <c r="F7" i="15"/>
  <c r="F5" i="15"/>
  <c r="F4" i="15"/>
  <c r="O9" i="15"/>
  <c r="O10" i="15"/>
  <c r="O11" i="15"/>
  <c r="O8" i="15"/>
  <c r="S11" i="15"/>
  <c r="Q11" i="15"/>
  <c r="K11" i="15"/>
  <c r="Q10" i="15"/>
  <c r="S10" i="15" s="1"/>
  <c r="K10" i="15"/>
  <c r="Q9" i="15"/>
  <c r="S9" i="15" s="1"/>
  <c r="K9" i="15"/>
  <c r="S8" i="15"/>
  <c r="Q8" i="15"/>
  <c r="K8" i="15"/>
  <c r="Q7" i="15"/>
  <c r="S7" i="15" s="1"/>
  <c r="K7" i="15"/>
  <c r="O7" i="15"/>
  <c r="Q6" i="15"/>
  <c r="S6" i="15" s="1"/>
  <c r="K6" i="15"/>
  <c r="Q5" i="15"/>
  <c r="S5" i="15" s="1"/>
  <c r="K5" i="15"/>
  <c r="Q4" i="15"/>
  <c r="S4" i="15" s="1"/>
  <c r="K4" i="15"/>
  <c r="O6" i="15" l="1"/>
  <c r="O5" i="15"/>
  <c r="T5" i="15" s="1"/>
  <c r="O4" i="15"/>
  <c r="T4" i="15" s="1"/>
  <c r="T9" i="15"/>
  <c r="U9" i="15"/>
  <c r="T7" i="15"/>
  <c r="T10" i="15"/>
  <c r="T11" i="15"/>
  <c r="U5" i="15"/>
  <c r="T6" i="15"/>
  <c r="U6" i="15"/>
  <c r="U8" i="15"/>
  <c r="T8" i="15"/>
  <c r="U10" i="15"/>
  <c r="U7" i="15"/>
  <c r="U11" i="15"/>
  <c r="D277" i="12"/>
  <c r="D278" i="12"/>
  <c r="D279" i="12"/>
  <c r="D280" i="12"/>
  <c r="D281" i="12"/>
  <c r="D282" i="12"/>
  <c r="D283" i="12"/>
  <c r="D276" i="12"/>
  <c r="C277" i="12"/>
  <c r="C278" i="12"/>
  <c r="C279" i="12"/>
  <c r="C280" i="12"/>
  <c r="C281" i="12"/>
  <c r="C282" i="12"/>
  <c r="C283" i="12"/>
  <c r="C276" i="12"/>
  <c r="B277" i="12"/>
  <c r="E277" i="12" s="1"/>
  <c r="F277" i="12" s="1"/>
  <c r="B278" i="12"/>
  <c r="B279" i="12"/>
  <c r="E279" i="12" s="1"/>
  <c r="F279" i="12" s="1"/>
  <c r="E280" i="12"/>
  <c r="F280" i="12" s="1"/>
  <c r="B281" i="12"/>
  <c r="E281" i="12" s="1"/>
  <c r="F281" i="12" s="1"/>
  <c r="B282" i="12"/>
  <c r="E282" i="12" s="1"/>
  <c r="F282" i="12" s="1"/>
  <c r="B283" i="12"/>
  <c r="E283" i="12" s="1"/>
  <c r="F283" i="12" s="1"/>
  <c r="B276" i="12"/>
  <c r="L284" i="12"/>
  <c r="L282" i="12"/>
  <c r="L281" i="12"/>
  <c r="L280" i="12"/>
  <c r="L279" i="12"/>
  <c r="L278" i="12"/>
  <c r="D181" i="12"/>
  <c r="D182" i="12"/>
  <c r="D183" i="12"/>
  <c r="D184" i="12"/>
  <c r="D185" i="12"/>
  <c r="D186" i="12"/>
  <c r="D187" i="12"/>
  <c r="D180" i="12"/>
  <c r="C181" i="12"/>
  <c r="C182" i="12"/>
  <c r="C183" i="12"/>
  <c r="C184" i="12"/>
  <c r="C185" i="12"/>
  <c r="C186" i="12"/>
  <c r="C187" i="12"/>
  <c r="C180" i="12"/>
  <c r="B181" i="12"/>
  <c r="E181" i="12" s="1"/>
  <c r="F181" i="12" s="1"/>
  <c r="B182" i="12"/>
  <c r="E182" i="12" s="1"/>
  <c r="F182" i="12" s="1"/>
  <c r="B183" i="12"/>
  <c r="E183" i="12" s="1"/>
  <c r="F183" i="12" s="1"/>
  <c r="E184" i="12"/>
  <c r="F184" i="12" s="1"/>
  <c r="B185" i="12"/>
  <c r="E185" i="12" s="1"/>
  <c r="F185" i="12" s="1"/>
  <c r="B186" i="12"/>
  <c r="E186" i="12" s="1"/>
  <c r="F186" i="12" s="1"/>
  <c r="B187" i="12"/>
  <c r="E187" i="12" s="1"/>
  <c r="F187" i="12" s="1"/>
  <c r="B180" i="12"/>
  <c r="L188" i="12"/>
  <c r="L186" i="12"/>
  <c r="L185" i="12"/>
  <c r="L184" i="12"/>
  <c r="L183" i="12"/>
  <c r="L182" i="12"/>
  <c r="D85" i="12"/>
  <c r="D86" i="12"/>
  <c r="D87" i="12"/>
  <c r="D88" i="12"/>
  <c r="D89" i="12"/>
  <c r="D90" i="12"/>
  <c r="D91" i="12"/>
  <c r="D84" i="12"/>
  <c r="C85" i="12"/>
  <c r="C86" i="12"/>
  <c r="C87" i="12"/>
  <c r="C88" i="12"/>
  <c r="C89" i="12"/>
  <c r="C90" i="12"/>
  <c r="C91" i="12"/>
  <c r="C84" i="12"/>
  <c r="B85" i="12"/>
  <c r="B86" i="12"/>
  <c r="E86" i="12" s="1"/>
  <c r="F86" i="12" s="1"/>
  <c r="B87" i="12"/>
  <c r="E87" i="12" s="1"/>
  <c r="F87" i="12" s="1"/>
  <c r="B89" i="12"/>
  <c r="B90" i="12"/>
  <c r="B91" i="12"/>
  <c r="E91" i="12" s="1"/>
  <c r="F91" i="12" s="1"/>
  <c r="B84" i="12"/>
  <c r="L92" i="12"/>
  <c r="L90" i="12"/>
  <c r="L89" i="12"/>
  <c r="L88" i="12"/>
  <c r="L87" i="12"/>
  <c r="L86" i="12"/>
  <c r="U4" i="15" l="1"/>
  <c r="O283" i="12"/>
  <c r="E278" i="12"/>
  <c r="F278" i="12" s="1"/>
  <c r="O282" i="12" s="1"/>
  <c r="D92" i="12"/>
  <c r="D93" i="12" s="1"/>
  <c r="C284" i="12"/>
  <c r="C285" i="12" s="1"/>
  <c r="D284" i="12"/>
  <c r="D285" i="12" s="1"/>
  <c r="E88" i="12"/>
  <c r="F88" i="12" s="1"/>
  <c r="E89" i="12"/>
  <c r="F89" i="12" s="1"/>
  <c r="E85" i="12"/>
  <c r="F85" i="12" s="1"/>
  <c r="C188" i="12"/>
  <c r="C189" i="12" s="1"/>
  <c r="E90" i="12"/>
  <c r="F90" i="12" s="1"/>
  <c r="O90" i="12" s="1"/>
  <c r="E276" i="12"/>
  <c r="F276" i="12" s="1"/>
  <c r="B284" i="12"/>
  <c r="B285" i="12" s="1"/>
  <c r="F284" i="12"/>
  <c r="O281" i="12"/>
  <c r="O277" i="12"/>
  <c r="O187" i="12"/>
  <c r="F188" i="12"/>
  <c r="D188" i="12"/>
  <c r="D189" i="12" s="1"/>
  <c r="O186" i="12"/>
  <c r="O181" i="12"/>
  <c r="B188" i="12"/>
  <c r="B189" i="12" s="1"/>
  <c r="E180" i="12"/>
  <c r="F180" i="12" s="1"/>
  <c r="O184" i="12" s="1"/>
  <c r="O185" i="12"/>
  <c r="C92" i="12"/>
  <c r="C93" i="12" s="1"/>
  <c r="O91" i="12"/>
  <c r="F92" i="12"/>
  <c r="B92" i="12"/>
  <c r="B93" i="12" s="1"/>
  <c r="E84" i="12"/>
  <c r="F84" i="12" s="1"/>
  <c r="O89" i="12" l="1"/>
  <c r="O84" i="12"/>
  <c r="O276" i="12"/>
  <c r="O85" i="12"/>
  <c r="E188" i="12"/>
  <c r="B190" i="12" s="1"/>
  <c r="B191" i="12" s="1"/>
  <c r="I188" i="12" s="1"/>
  <c r="O280" i="12"/>
  <c r="E284" i="12"/>
  <c r="B286" i="12" s="1"/>
  <c r="B287" i="12" s="1"/>
  <c r="I284" i="12" s="1"/>
  <c r="O180" i="12"/>
  <c r="O88" i="12"/>
  <c r="E92" i="12"/>
  <c r="B94" i="12" s="1"/>
  <c r="B95" i="12" s="1"/>
  <c r="I92" i="12" s="1"/>
  <c r="I184" i="12" l="1"/>
  <c r="J184" i="12" s="1"/>
  <c r="D191" i="12"/>
  <c r="I182" i="12" s="1"/>
  <c r="J182" i="12" s="1"/>
  <c r="B192" i="12"/>
  <c r="I183" i="12" s="1"/>
  <c r="J183" i="12" s="1"/>
  <c r="I185" i="12"/>
  <c r="J185" i="12" s="1"/>
  <c r="I281" i="12"/>
  <c r="J281" i="12" s="1"/>
  <c r="D287" i="12"/>
  <c r="I278" i="12" s="1"/>
  <c r="J278" i="12" s="1"/>
  <c r="I280" i="12"/>
  <c r="J280" i="12" s="1"/>
  <c r="B288" i="12"/>
  <c r="I279" i="12" s="1"/>
  <c r="J279" i="12" s="1"/>
  <c r="I88" i="12"/>
  <c r="J88" i="12" s="1"/>
  <c r="D95" i="12"/>
  <c r="I86" i="12" s="1"/>
  <c r="J86" i="12" s="1"/>
  <c r="B96" i="12"/>
  <c r="I87" i="12" s="1"/>
  <c r="I89" i="12"/>
  <c r="J89" i="12" s="1"/>
  <c r="D192" i="12" l="1"/>
  <c r="I187" i="12" s="1"/>
  <c r="J187" i="12" s="1"/>
  <c r="K185" i="12" s="1"/>
  <c r="M185" i="12" s="1"/>
  <c r="I186" i="12"/>
  <c r="J186" i="12" s="1"/>
  <c r="I282" i="12"/>
  <c r="J282" i="12" s="1"/>
  <c r="D288" i="12"/>
  <c r="I283" i="12" s="1"/>
  <c r="J283" i="12" s="1"/>
  <c r="K280" i="12" s="1"/>
  <c r="M280" i="12" s="1"/>
  <c r="I90" i="12"/>
  <c r="J90" i="12" s="1"/>
  <c r="D96" i="12"/>
  <c r="I91" i="12" s="1"/>
  <c r="J91" i="12" s="1"/>
  <c r="K89" i="12" s="1"/>
  <c r="M89" i="12" s="1"/>
  <c r="J87" i="12"/>
  <c r="O189" i="12" l="1"/>
  <c r="H190" i="12"/>
  <c r="H286" i="12"/>
  <c r="K282" i="12"/>
  <c r="M282" i="12" s="1"/>
  <c r="H189" i="12"/>
  <c r="O188" i="12"/>
  <c r="O183" i="12"/>
  <c r="K183" i="12"/>
  <c r="M183" i="12" s="1"/>
  <c r="H191" i="12"/>
  <c r="K186" i="12"/>
  <c r="M186" i="12" s="1"/>
  <c r="K184" i="12"/>
  <c r="M184" i="12" s="1"/>
  <c r="O182" i="12"/>
  <c r="K182" i="12"/>
  <c r="M182" i="12" s="1"/>
  <c r="H285" i="12"/>
  <c r="K281" i="12"/>
  <c r="M281" i="12" s="1"/>
  <c r="O285" i="12"/>
  <c r="H287" i="12"/>
  <c r="O284" i="12"/>
  <c r="O279" i="12"/>
  <c r="K278" i="12"/>
  <c r="M278" i="12" s="1"/>
  <c r="O278" i="12"/>
  <c r="K279" i="12"/>
  <c r="M279" i="12" s="1"/>
  <c r="K87" i="12"/>
  <c r="M87" i="12" s="1"/>
  <c r="H94" i="12"/>
  <c r="O93" i="12"/>
  <c r="K88" i="12"/>
  <c r="M88" i="12" s="1"/>
  <c r="K86" i="12"/>
  <c r="M86" i="12" s="1"/>
  <c r="H93" i="12"/>
  <c r="H95" i="12"/>
  <c r="K90" i="12"/>
  <c r="M90" i="12" s="1"/>
  <c r="O86" i="12"/>
  <c r="O92" i="12"/>
  <c r="O87" i="12"/>
  <c r="L268" i="12" l="1"/>
  <c r="F268" i="12"/>
  <c r="D268" i="12"/>
  <c r="D269" i="12" s="1"/>
  <c r="C268" i="12"/>
  <c r="C269" i="12" s="1"/>
  <c r="B268" i="12"/>
  <c r="E267" i="12"/>
  <c r="F267" i="12" s="1"/>
  <c r="L266" i="12"/>
  <c r="E266" i="12"/>
  <c r="F266" i="12" s="1"/>
  <c r="L265" i="12"/>
  <c r="E265" i="12"/>
  <c r="F265" i="12" s="1"/>
  <c r="L264" i="12"/>
  <c r="E264" i="12"/>
  <c r="F264" i="12" s="1"/>
  <c r="L263" i="12"/>
  <c r="E263" i="12"/>
  <c r="F263" i="12" s="1"/>
  <c r="L262" i="12"/>
  <c r="E262" i="12"/>
  <c r="F262" i="12" s="1"/>
  <c r="E261" i="12"/>
  <c r="F261" i="12" s="1"/>
  <c r="E260" i="12"/>
  <c r="F260" i="12" s="1"/>
  <c r="L252" i="12"/>
  <c r="F252" i="12"/>
  <c r="D252" i="12"/>
  <c r="D253" i="12" s="1"/>
  <c r="C252" i="12"/>
  <c r="C253" i="12" s="1"/>
  <c r="B252" i="12"/>
  <c r="E251" i="12"/>
  <c r="F251" i="12" s="1"/>
  <c r="L250" i="12"/>
  <c r="E250" i="12"/>
  <c r="F250" i="12" s="1"/>
  <c r="L249" i="12"/>
  <c r="E249" i="12"/>
  <c r="F249" i="12" s="1"/>
  <c r="L248" i="12"/>
  <c r="E248" i="12"/>
  <c r="F248" i="12" s="1"/>
  <c r="L247" i="12"/>
  <c r="E247" i="12"/>
  <c r="F247" i="12" s="1"/>
  <c r="O251" i="12" s="1"/>
  <c r="L246" i="12"/>
  <c r="E246" i="12"/>
  <c r="F246" i="12" s="1"/>
  <c r="O250" i="12" s="1"/>
  <c r="E245" i="12"/>
  <c r="E244" i="12"/>
  <c r="L236" i="12"/>
  <c r="F236" i="12"/>
  <c r="D236" i="12"/>
  <c r="D237" i="12" s="1"/>
  <c r="C236" i="12"/>
  <c r="C237" i="12" s="1"/>
  <c r="B236" i="12"/>
  <c r="E235" i="12"/>
  <c r="F235" i="12" s="1"/>
  <c r="L234" i="12"/>
  <c r="E234" i="12"/>
  <c r="F234" i="12" s="1"/>
  <c r="L233" i="12"/>
  <c r="E233" i="12"/>
  <c r="F233" i="12" s="1"/>
  <c r="L232" i="12"/>
  <c r="E232" i="12"/>
  <c r="F232" i="12" s="1"/>
  <c r="L231" i="12"/>
  <c r="E231" i="12"/>
  <c r="F231" i="12" s="1"/>
  <c r="O235" i="12" s="1"/>
  <c r="L230" i="12"/>
  <c r="E230" i="12"/>
  <c r="F230" i="12" s="1"/>
  <c r="O234" i="12" s="1"/>
  <c r="E229" i="12"/>
  <c r="E228" i="12"/>
  <c r="F228" i="12" s="1"/>
  <c r="L220" i="12"/>
  <c r="F220" i="12"/>
  <c r="D220" i="12"/>
  <c r="D221" i="12" s="1"/>
  <c r="C220" i="12"/>
  <c r="C221" i="12" s="1"/>
  <c r="B220" i="12"/>
  <c r="E219" i="12"/>
  <c r="F219" i="12" s="1"/>
  <c r="L218" i="12"/>
  <c r="E218" i="12"/>
  <c r="F218" i="12" s="1"/>
  <c r="L217" i="12"/>
  <c r="E217" i="12"/>
  <c r="F217" i="12" s="1"/>
  <c r="L216" i="12"/>
  <c r="E216" i="12"/>
  <c r="F216" i="12" s="1"/>
  <c r="L215" i="12"/>
  <c r="E215" i="12"/>
  <c r="F215" i="12" s="1"/>
  <c r="O219" i="12" s="1"/>
  <c r="L214" i="12"/>
  <c r="E214" i="12"/>
  <c r="E213" i="12"/>
  <c r="F213" i="12" s="1"/>
  <c r="E212" i="12"/>
  <c r="F212" i="12" s="1"/>
  <c r="L204" i="12"/>
  <c r="F204" i="12"/>
  <c r="D204" i="12"/>
  <c r="D205" i="12" s="1"/>
  <c r="C204" i="12"/>
  <c r="C205" i="12" s="1"/>
  <c r="B204" i="12"/>
  <c r="E203" i="12"/>
  <c r="F203" i="12" s="1"/>
  <c r="L202" i="12"/>
  <c r="E202" i="12"/>
  <c r="F202" i="12" s="1"/>
  <c r="L201" i="12"/>
  <c r="E201" i="12"/>
  <c r="F201" i="12" s="1"/>
  <c r="L200" i="12"/>
  <c r="E200" i="12"/>
  <c r="F200" i="12" s="1"/>
  <c r="L199" i="12"/>
  <c r="E199" i="12"/>
  <c r="F199" i="12" s="1"/>
  <c r="L198" i="12"/>
  <c r="E198" i="12"/>
  <c r="F198" i="12" s="1"/>
  <c r="E197" i="12"/>
  <c r="F197" i="12" s="1"/>
  <c r="E196" i="12"/>
  <c r="F196" i="12" s="1"/>
  <c r="L172" i="12"/>
  <c r="F172" i="12"/>
  <c r="D172" i="12"/>
  <c r="D173" i="12" s="1"/>
  <c r="C172" i="12"/>
  <c r="C173" i="12" s="1"/>
  <c r="B172" i="12"/>
  <c r="E171" i="12"/>
  <c r="F171" i="12" s="1"/>
  <c r="L170" i="12"/>
  <c r="E170" i="12"/>
  <c r="F170" i="12" s="1"/>
  <c r="L169" i="12"/>
  <c r="E169" i="12"/>
  <c r="F169" i="12" s="1"/>
  <c r="L168" i="12"/>
  <c r="E168" i="12"/>
  <c r="F168" i="12" s="1"/>
  <c r="L167" i="12"/>
  <c r="E167" i="12"/>
  <c r="F167" i="12" s="1"/>
  <c r="O171" i="12" s="1"/>
  <c r="L166" i="12"/>
  <c r="E166" i="12"/>
  <c r="E165" i="12"/>
  <c r="F165" i="12" s="1"/>
  <c r="E164" i="12"/>
  <c r="F164" i="12" s="1"/>
  <c r="L156" i="12"/>
  <c r="F156" i="12"/>
  <c r="D156" i="12"/>
  <c r="D157" i="12" s="1"/>
  <c r="C156" i="12"/>
  <c r="C157" i="12" s="1"/>
  <c r="B156" i="12"/>
  <c r="E155" i="12"/>
  <c r="F155" i="12" s="1"/>
  <c r="L154" i="12"/>
  <c r="E154" i="12"/>
  <c r="F154" i="12" s="1"/>
  <c r="L153" i="12"/>
  <c r="E153" i="12"/>
  <c r="F153" i="12" s="1"/>
  <c r="L152" i="12"/>
  <c r="E152" i="12"/>
  <c r="F152" i="12" s="1"/>
  <c r="L151" i="12"/>
  <c r="E151" i="12"/>
  <c r="F151" i="12" s="1"/>
  <c r="O155" i="12" s="1"/>
  <c r="L150" i="12"/>
  <c r="E150" i="12"/>
  <c r="F150" i="12" s="1"/>
  <c r="E149" i="12"/>
  <c r="E148" i="12"/>
  <c r="F148" i="12" s="1"/>
  <c r="L140" i="12"/>
  <c r="F140" i="12"/>
  <c r="D140" i="12"/>
  <c r="D141" i="12" s="1"/>
  <c r="C140" i="12"/>
  <c r="C141" i="12" s="1"/>
  <c r="B140" i="12"/>
  <c r="E139" i="12"/>
  <c r="F139" i="12" s="1"/>
  <c r="L138" i="12"/>
  <c r="E138" i="12"/>
  <c r="F138" i="12" s="1"/>
  <c r="L137" i="12"/>
  <c r="E137" i="12"/>
  <c r="F137" i="12" s="1"/>
  <c r="L136" i="12"/>
  <c r="E136" i="12"/>
  <c r="F136" i="12" s="1"/>
  <c r="L135" i="12"/>
  <c r="E135" i="12"/>
  <c r="F135" i="12" s="1"/>
  <c r="O139" i="12" s="1"/>
  <c r="L134" i="12"/>
  <c r="E134" i="12"/>
  <c r="F134" i="12" s="1"/>
  <c r="O138" i="12" s="1"/>
  <c r="E133" i="12"/>
  <c r="F133" i="12" s="1"/>
  <c r="E132" i="12"/>
  <c r="L124" i="12"/>
  <c r="F124" i="12"/>
  <c r="D124" i="12"/>
  <c r="D125" i="12" s="1"/>
  <c r="C124" i="12"/>
  <c r="C125" i="12" s="1"/>
  <c r="B124" i="12"/>
  <c r="E123" i="12"/>
  <c r="F123" i="12" s="1"/>
  <c r="L122" i="12"/>
  <c r="E122" i="12"/>
  <c r="F122" i="12" s="1"/>
  <c r="L121" i="12"/>
  <c r="E121" i="12"/>
  <c r="F121" i="12" s="1"/>
  <c r="L120" i="12"/>
  <c r="E120" i="12"/>
  <c r="F120" i="12" s="1"/>
  <c r="L119" i="12"/>
  <c r="E119" i="12"/>
  <c r="F119" i="12" s="1"/>
  <c r="L118" i="12"/>
  <c r="E118" i="12"/>
  <c r="F118" i="12" s="1"/>
  <c r="E117" i="12"/>
  <c r="F117" i="12" s="1"/>
  <c r="E116" i="12"/>
  <c r="F116" i="12" s="1"/>
  <c r="L108" i="12"/>
  <c r="F108" i="12"/>
  <c r="D108" i="12"/>
  <c r="D109" i="12" s="1"/>
  <c r="C108" i="12"/>
  <c r="C109" i="12" s="1"/>
  <c r="B108" i="12"/>
  <c r="E107" i="12"/>
  <c r="F107" i="12" s="1"/>
  <c r="L106" i="12"/>
  <c r="E106" i="12"/>
  <c r="F106" i="12" s="1"/>
  <c r="L105" i="12"/>
  <c r="E105" i="12"/>
  <c r="F105" i="12" s="1"/>
  <c r="L104" i="12"/>
  <c r="E104" i="12"/>
  <c r="F104" i="12" s="1"/>
  <c r="L103" i="12"/>
  <c r="E103" i="12"/>
  <c r="F103" i="12" s="1"/>
  <c r="O107" i="12" s="1"/>
  <c r="L102" i="12"/>
  <c r="E102" i="12"/>
  <c r="F102" i="12" s="1"/>
  <c r="O106" i="12" s="1"/>
  <c r="E101" i="12"/>
  <c r="F101" i="12" s="1"/>
  <c r="E100" i="12"/>
  <c r="L76" i="12"/>
  <c r="F76" i="12"/>
  <c r="D76" i="12"/>
  <c r="D77" i="12" s="1"/>
  <c r="C76" i="12"/>
  <c r="C77" i="12" s="1"/>
  <c r="B76" i="12"/>
  <c r="E75" i="12"/>
  <c r="F75" i="12" s="1"/>
  <c r="L74" i="12"/>
  <c r="E74" i="12"/>
  <c r="F74" i="12" s="1"/>
  <c r="L73" i="12"/>
  <c r="E73" i="12"/>
  <c r="F73" i="12" s="1"/>
  <c r="L72" i="12"/>
  <c r="E72" i="12"/>
  <c r="F72" i="12" s="1"/>
  <c r="L71" i="12"/>
  <c r="E71" i="12"/>
  <c r="F71" i="12" s="1"/>
  <c r="O75" i="12" s="1"/>
  <c r="L70" i="12"/>
  <c r="E70" i="12"/>
  <c r="F70" i="12" s="1"/>
  <c r="E69" i="12"/>
  <c r="E68" i="12"/>
  <c r="F68" i="12" s="1"/>
  <c r="L60" i="12"/>
  <c r="F60" i="12"/>
  <c r="D60" i="12"/>
  <c r="D61" i="12" s="1"/>
  <c r="C60" i="12"/>
  <c r="C61" i="12" s="1"/>
  <c r="B60" i="12"/>
  <c r="E59" i="12"/>
  <c r="F59" i="12" s="1"/>
  <c r="L58" i="12"/>
  <c r="E58" i="12"/>
  <c r="F58" i="12" s="1"/>
  <c r="L57" i="12"/>
  <c r="E57" i="12"/>
  <c r="F57" i="12" s="1"/>
  <c r="L56" i="12"/>
  <c r="E56" i="12"/>
  <c r="F56" i="12" s="1"/>
  <c r="L55" i="12"/>
  <c r="E55" i="12"/>
  <c r="F55" i="12" s="1"/>
  <c r="L54" i="12"/>
  <c r="E54" i="12"/>
  <c r="F54" i="12" s="1"/>
  <c r="O58" i="12" s="1"/>
  <c r="E53" i="12"/>
  <c r="F53" i="12" s="1"/>
  <c r="E52" i="12"/>
  <c r="L44" i="12"/>
  <c r="F44" i="12"/>
  <c r="D45" i="12"/>
  <c r="C44" i="12"/>
  <c r="C45" i="12" s="1"/>
  <c r="B44" i="12"/>
  <c r="E43" i="12"/>
  <c r="F43" i="12" s="1"/>
  <c r="L42" i="12"/>
  <c r="E42" i="12"/>
  <c r="F42" i="12" s="1"/>
  <c r="L41" i="12"/>
  <c r="E41" i="12"/>
  <c r="F41" i="12" s="1"/>
  <c r="L40" i="12"/>
  <c r="E40" i="12"/>
  <c r="F40" i="12" s="1"/>
  <c r="L39" i="12"/>
  <c r="E39" i="12"/>
  <c r="F39" i="12" s="1"/>
  <c r="O43" i="12" s="1"/>
  <c r="L38" i="12"/>
  <c r="E38" i="12"/>
  <c r="F38" i="12" s="1"/>
  <c r="E37" i="12"/>
  <c r="F37" i="12" s="1"/>
  <c r="E36" i="12"/>
  <c r="F36" i="12" s="1"/>
  <c r="L28" i="12"/>
  <c r="F28" i="12"/>
  <c r="D28" i="12"/>
  <c r="D29" i="12" s="1"/>
  <c r="C28" i="12"/>
  <c r="C29" i="12" s="1"/>
  <c r="B28" i="12"/>
  <c r="E27" i="12"/>
  <c r="F27" i="12" s="1"/>
  <c r="L26" i="12"/>
  <c r="E26" i="12"/>
  <c r="F26" i="12" s="1"/>
  <c r="L25" i="12"/>
  <c r="E25" i="12"/>
  <c r="F25" i="12" s="1"/>
  <c r="L24" i="12"/>
  <c r="E24" i="12"/>
  <c r="F24" i="12" s="1"/>
  <c r="L23" i="12"/>
  <c r="E23" i="12"/>
  <c r="F23" i="12" s="1"/>
  <c r="O27" i="12" s="1"/>
  <c r="L22" i="12"/>
  <c r="E22" i="12"/>
  <c r="F22" i="12" s="1"/>
  <c r="O26" i="12" s="1"/>
  <c r="E21" i="12"/>
  <c r="F21" i="12" s="1"/>
  <c r="E20" i="12"/>
  <c r="L12" i="12"/>
  <c r="F12" i="12"/>
  <c r="D12" i="12"/>
  <c r="D13" i="12" s="1"/>
  <c r="C12" i="12"/>
  <c r="C13" i="12" s="1"/>
  <c r="B12" i="12"/>
  <c r="E11" i="12"/>
  <c r="F11" i="12" s="1"/>
  <c r="L10" i="12"/>
  <c r="E10" i="12"/>
  <c r="F10" i="12" s="1"/>
  <c r="L9" i="12"/>
  <c r="E9" i="12"/>
  <c r="F9" i="12" s="1"/>
  <c r="L8" i="12"/>
  <c r="E8" i="12"/>
  <c r="F8" i="12" s="1"/>
  <c r="L7" i="12"/>
  <c r="E7" i="12"/>
  <c r="F7" i="12" s="1"/>
  <c r="L6" i="12"/>
  <c r="E6" i="12"/>
  <c r="F6" i="12" s="1"/>
  <c r="O10" i="12" s="1"/>
  <c r="E5" i="12"/>
  <c r="E4" i="12"/>
  <c r="F4" i="12" s="1"/>
  <c r="O8" i="12" l="1"/>
  <c r="O21" i="12"/>
  <c r="O25" i="12"/>
  <c r="O40" i="12"/>
  <c r="O197" i="12"/>
  <c r="O72" i="12"/>
  <c r="O122" i="12"/>
  <c r="O117" i="12"/>
  <c r="O152" i="12"/>
  <c r="O42" i="12"/>
  <c r="O123" i="12"/>
  <c r="O57" i="12"/>
  <c r="O266" i="12"/>
  <c r="O261" i="12"/>
  <c r="E252" i="12"/>
  <c r="B254" i="12" s="1"/>
  <c r="B255" i="12" s="1"/>
  <c r="I252" i="12" s="1"/>
  <c r="O245" i="12"/>
  <c r="O264" i="12"/>
  <c r="O265" i="12"/>
  <c r="E172" i="12"/>
  <c r="B174" i="12" s="1"/>
  <c r="B175" i="12" s="1"/>
  <c r="I172" i="12" s="1"/>
  <c r="O165" i="12"/>
  <c r="O149" i="12"/>
  <c r="O154" i="12"/>
  <c r="E156" i="12"/>
  <c r="B158" i="12" s="1"/>
  <c r="I153" i="12" s="1"/>
  <c r="J153" i="12" s="1"/>
  <c r="E76" i="12"/>
  <c r="B78" i="12" s="1"/>
  <c r="B79" i="12" s="1"/>
  <c r="O74" i="12"/>
  <c r="O59" i="12"/>
  <c r="O53" i="12"/>
  <c r="O232" i="12"/>
  <c r="O133" i="12"/>
  <c r="O37" i="12"/>
  <c r="O41" i="12"/>
  <c r="E220" i="12"/>
  <c r="B222" i="12" s="1"/>
  <c r="B223" i="12" s="1"/>
  <c r="I220" i="12" s="1"/>
  <c r="O213" i="12"/>
  <c r="O217" i="12"/>
  <c r="O121" i="12"/>
  <c r="O120" i="12"/>
  <c r="O202" i="12"/>
  <c r="O200" i="12"/>
  <c r="O201" i="12"/>
  <c r="O101" i="12"/>
  <c r="E12" i="12"/>
  <c r="B14" i="12" s="1"/>
  <c r="B15" i="12" s="1"/>
  <c r="I12" i="12" s="1"/>
  <c r="O169" i="12"/>
  <c r="O11" i="12"/>
  <c r="O105" i="12"/>
  <c r="O137" i="12"/>
  <c r="O203" i="12"/>
  <c r="O267" i="12"/>
  <c r="O5" i="12"/>
  <c r="O69" i="12"/>
  <c r="O168" i="12"/>
  <c r="O216" i="12"/>
  <c r="O229" i="12"/>
  <c r="E28" i="12"/>
  <c r="B30" i="12" s="1"/>
  <c r="B31" i="12" s="1"/>
  <c r="E108" i="12"/>
  <c r="B110" i="12" s="1"/>
  <c r="B111" i="12" s="1"/>
  <c r="F5" i="12"/>
  <c r="F20" i="12"/>
  <c r="O36" i="12"/>
  <c r="E44" i="12"/>
  <c r="B46" i="12" s="1"/>
  <c r="B47" i="12" s="1"/>
  <c r="B61" i="12"/>
  <c r="F69" i="12"/>
  <c r="O73" i="12" s="1"/>
  <c r="F100" i="12"/>
  <c r="O116" i="12"/>
  <c r="E124" i="12"/>
  <c r="B126" i="12" s="1"/>
  <c r="B127" i="12" s="1"/>
  <c r="B141" i="12"/>
  <c r="F149" i="12"/>
  <c r="O153" i="12" s="1"/>
  <c r="O196" i="12"/>
  <c r="E204" i="12"/>
  <c r="B206" i="12" s="1"/>
  <c r="B207" i="12" s="1"/>
  <c r="F214" i="12"/>
  <c r="O218" i="12" s="1"/>
  <c r="B221" i="12"/>
  <c r="F229" i="12"/>
  <c r="O233" i="12" s="1"/>
  <c r="F244" i="12"/>
  <c r="O260" i="12"/>
  <c r="E268" i="12"/>
  <c r="B270" i="12" s="1"/>
  <c r="B271" i="12" s="1"/>
  <c r="B13" i="12"/>
  <c r="E60" i="12"/>
  <c r="B62" i="12" s="1"/>
  <c r="B63" i="12" s="1"/>
  <c r="B77" i="12"/>
  <c r="E140" i="12"/>
  <c r="B142" i="12" s="1"/>
  <c r="B143" i="12" s="1"/>
  <c r="B157" i="12"/>
  <c r="B237" i="12"/>
  <c r="F245" i="12"/>
  <c r="O249" i="12" s="1"/>
  <c r="B29" i="12"/>
  <c r="F52" i="12"/>
  <c r="B109" i="12"/>
  <c r="F132" i="12"/>
  <c r="F166" i="12"/>
  <c r="O170" i="12" s="1"/>
  <c r="B173" i="12"/>
  <c r="E236" i="12"/>
  <c r="B238" i="12" s="1"/>
  <c r="B239" i="12" s="1"/>
  <c r="B253" i="12"/>
  <c r="B45" i="12"/>
  <c r="B125" i="12"/>
  <c r="B205" i="12"/>
  <c r="B269" i="12"/>
  <c r="I72" i="12" l="1"/>
  <c r="J72" i="12" s="1"/>
  <c r="B224" i="12"/>
  <c r="I215" i="12" s="1"/>
  <c r="I216" i="12"/>
  <c r="J216" i="12" s="1"/>
  <c r="B144" i="12"/>
  <c r="I135" i="12" s="1"/>
  <c r="J135" i="12" s="1"/>
  <c r="D223" i="12"/>
  <c r="I214" i="12" s="1"/>
  <c r="J214" i="12" s="1"/>
  <c r="B48" i="12"/>
  <c r="I39" i="12" s="1"/>
  <c r="J39" i="12" s="1"/>
  <c r="B208" i="12"/>
  <c r="I199" i="12" s="1"/>
  <c r="B160" i="12"/>
  <c r="I151" i="12" s="1"/>
  <c r="J151" i="12" s="1"/>
  <c r="D175" i="12"/>
  <c r="I166" i="12" s="1"/>
  <c r="J166" i="12" s="1"/>
  <c r="I200" i="12"/>
  <c r="J200" i="12" s="1"/>
  <c r="D31" i="12"/>
  <c r="I22" i="12" s="1"/>
  <c r="J22" i="12" s="1"/>
  <c r="O148" i="12"/>
  <c r="B128" i="12"/>
  <c r="I119" i="12" s="1"/>
  <c r="J119" i="12" s="1"/>
  <c r="I24" i="12"/>
  <c r="J24" i="12" s="1"/>
  <c r="I217" i="12"/>
  <c r="J217" i="12" s="1"/>
  <c r="B32" i="12"/>
  <c r="I23" i="12" s="1"/>
  <c r="J23" i="12" s="1"/>
  <c r="I136" i="12"/>
  <c r="J136" i="12" s="1"/>
  <c r="B176" i="12"/>
  <c r="I167" i="12" s="1"/>
  <c r="J167" i="12" s="1"/>
  <c r="O228" i="12"/>
  <c r="I120" i="12"/>
  <c r="J120" i="12" s="1"/>
  <c r="I57" i="12"/>
  <c r="J57" i="12" s="1"/>
  <c r="I152" i="12"/>
  <c r="J152" i="12" s="1"/>
  <c r="B159" i="12"/>
  <c r="I156" i="12" s="1"/>
  <c r="D159" i="12"/>
  <c r="I150" i="12" s="1"/>
  <c r="J150" i="12" s="1"/>
  <c r="I168" i="12"/>
  <c r="J168" i="12" s="1"/>
  <c r="I169" i="12"/>
  <c r="J169" i="12" s="1"/>
  <c r="O68" i="12"/>
  <c r="I73" i="12"/>
  <c r="J73" i="12" s="1"/>
  <c r="B80" i="12"/>
  <c r="I71" i="12" s="1"/>
  <c r="J71" i="12" s="1"/>
  <c r="I248" i="12"/>
  <c r="J248" i="12" s="1"/>
  <c r="B256" i="12"/>
  <c r="I247" i="12" s="1"/>
  <c r="J247" i="12" s="1"/>
  <c r="I249" i="12"/>
  <c r="J249" i="12" s="1"/>
  <c r="D255" i="12"/>
  <c r="I246" i="12" s="1"/>
  <c r="J246" i="12" s="1"/>
  <c r="I264" i="12"/>
  <c r="J264" i="12" s="1"/>
  <c r="B272" i="12"/>
  <c r="I263" i="12" s="1"/>
  <c r="J263" i="12" s="1"/>
  <c r="D79" i="12"/>
  <c r="I70" i="12" s="1"/>
  <c r="J70" i="12" s="1"/>
  <c r="I56" i="12"/>
  <c r="J56" i="12" s="1"/>
  <c r="B64" i="12"/>
  <c r="I55" i="12" s="1"/>
  <c r="D239" i="12"/>
  <c r="I230" i="12" s="1"/>
  <c r="J230" i="12" s="1"/>
  <c r="I137" i="12"/>
  <c r="J137" i="12" s="1"/>
  <c r="D127" i="12"/>
  <c r="I118" i="12" s="1"/>
  <c r="J118" i="12" s="1"/>
  <c r="I9" i="12"/>
  <c r="J9" i="12" s="1"/>
  <c r="I8" i="12"/>
  <c r="J8" i="12" s="1"/>
  <c r="B16" i="12"/>
  <c r="I7" i="12" s="1"/>
  <c r="J7" i="12" s="1"/>
  <c r="D15" i="12"/>
  <c r="I6" i="12" s="1"/>
  <c r="J6" i="12" s="1"/>
  <c r="I236" i="12"/>
  <c r="O136" i="12"/>
  <c r="O132" i="12"/>
  <c r="I140" i="12"/>
  <c r="I60" i="12"/>
  <c r="I268" i="12"/>
  <c r="I204" i="12"/>
  <c r="O24" i="12"/>
  <c r="O20" i="12"/>
  <c r="I28" i="12"/>
  <c r="I76" i="12"/>
  <c r="O212" i="12"/>
  <c r="I232" i="12"/>
  <c r="J232" i="12" s="1"/>
  <c r="B112" i="12"/>
  <c r="I103" i="12" s="1"/>
  <c r="I233" i="12"/>
  <c r="J233" i="12" s="1"/>
  <c r="O244" i="12"/>
  <c r="O248" i="12"/>
  <c r="I108" i="12"/>
  <c r="I41" i="12"/>
  <c r="J41" i="12" s="1"/>
  <c r="I105" i="12"/>
  <c r="J105" i="12" s="1"/>
  <c r="D111" i="12"/>
  <c r="I102" i="12" s="1"/>
  <c r="J102" i="12" s="1"/>
  <c r="J215" i="12"/>
  <c r="I124" i="12"/>
  <c r="O9" i="12"/>
  <c r="O4" i="12"/>
  <c r="I40" i="12"/>
  <c r="J40" i="12" s="1"/>
  <c r="I104" i="12"/>
  <c r="J104" i="12" s="1"/>
  <c r="I265" i="12"/>
  <c r="J265" i="12" s="1"/>
  <c r="I201" i="12"/>
  <c r="J201" i="12" s="1"/>
  <c r="D63" i="12"/>
  <c r="I54" i="12" s="1"/>
  <c r="J54" i="12" s="1"/>
  <c r="D47" i="12"/>
  <c r="I38" i="12" s="1"/>
  <c r="J38" i="12" s="1"/>
  <c r="I25" i="12"/>
  <c r="J25" i="12" s="1"/>
  <c r="D271" i="12"/>
  <c r="I262" i="12" s="1"/>
  <c r="J262" i="12" s="1"/>
  <c r="D207" i="12"/>
  <c r="I198" i="12" s="1"/>
  <c r="J198" i="12" s="1"/>
  <c r="I121" i="12"/>
  <c r="J121" i="12" s="1"/>
  <c r="O164" i="12"/>
  <c r="O56" i="12"/>
  <c r="O52" i="12"/>
  <c r="J199" i="12"/>
  <c r="O104" i="12"/>
  <c r="O100" i="12"/>
  <c r="I44" i="12"/>
  <c r="B240" i="12"/>
  <c r="I231" i="12" s="1"/>
  <c r="D143" i="12"/>
  <c r="I134" i="12" s="1"/>
  <c r="J134" i="12" s="1"/>
  <c r="D224" i="12" l="1"/>
  <c r="I219" i="12" s="1"/>
  <c r="J219" i="12" s="1"/>
  <c r="K215" i="12" s="1"/>
  <c r="M215" i="12" s="1"/>
  <c r="D16" i="12"/>
  <c r="I11" i="12" s="1"/>
  <c r="J11" i="12" s="1"/>
  <c r="K8" i="12" s="1"/>
  <c r="M8" i="12" s="1"/>
  <c r="I202" i="12"/>
  <c r="J202" i="12" s="1"/>
  <c r="I154" i="12"/>
  <c r="J154" i="12" s="1"/>
  <c r="D176" i="12"/>
  <c r="I171" i="12" s="1"/>
  <c r="J171" i="12" s="1"/>
  <c r="K168" i="12" s="1"/>
  <c r="M168" i="12" s="1"/>
  <c r="I170" i="12"/>
  <c r="J170" i="12" s="1"/>
  <c r="I138" i="12"/>
  <c r="J138" i="12" s="1"/>
  <c r="D32" i="12"/>
  <c r="I27" i="12" s="1"/>
  <c r="J27" i="12" s="1"/>
  <c r="K24" i="12" s="1"/>
  <c r="M24" i="12" s="1"/>
  <c r="I58" i="12"/>
  <c r="J58" i="12" s="1"/>
  <c r="I218" i="12"/>
  <c r="J218" i="12" s="1"/>
  <c r="D160" i="12"/>
  <c r="I155" i="12" s="1"/>
  <c r="J155" i="12" s="1"/>
  <c r="K152" i="12" s="1"/>
  <c r="M152" i="12" s="1"/>
  <c r="I74" i="12"/>
  <c r="J74" i="12" s="1"/>
  <c r="D80" i="12"/>
  <c r="I75" i="12" s="1"/>
  <c r="J75" i="12" s="1"/>
  <c r="K70" i="12" s="1"/>
  <c r="M70" i="12" s="1"/>
  <c r="D256" i="12"/>
  <c r="I251" i="12" s="1"/>
  <c r="J251" i="12" s="1"/>
  <c r="O247" i="12" s="1"/>
  <c r="I250" i="12"/>
  <c r="J250" i="12" s="1"/>
  <c r="J55" i="12"/>
  <c r="I42" i="12"/>
  <c r="J42" i="12" s="1"/>
  <c r="D128" i="12"/>
  <c r="I123" i="12" s="1"/>
  <c r="J123" i="12" s="1"/>
  <c r="K118" i="12" s="1"/>
  <c r="M118" i="12" s="1"/>
  <c r="I10" i="12"/>
  <c r="J10" i="12" s="1"/>
  <c r="J231" i="12"/>
  <c r="I234" i="12"/>
  <c r="J234" i="12" s="1"/>
  <c r="H13" i="12"/>
  <c r="H14" i="12"/>
  <c r="I106" i="12"/>
  <c r="J106" i="12" s="1"/>
  <c r="J103" i="12"/>
  <c r="D240" i="12"/>
  <c r="I235" i="12" s="1"/>
  <c r="J235" i="12" s="1"/>
  <c r="K233" i="12" s="1"/>
  <c r="M233" i="12" s="1"/>
  <c r="D272" i="12"/>
  <c r="I267" i="12" s="1"/>
  <c r="J267" i="12" s="1"/>
  <c r="K262" i="12" s="1"/>
  <c r="M262" i="12" s="1"/>
  <c r="D144" i="12"/>
  <c r="I139" i="12" s="1"/>
  <c r="J139" i="12" s="1"/>
  <c r="K135" i="12" s="1"/>
  <c r="M135" i="12" s="1"/>
  <c r="D112" i="12"/>
  <c r="I107" i="12" s="1"/>
  <c r="J107" i="12" s="1"/>
  <c r="I266" i="12"/>
  <c r="J266" i="12" s="1"/>
  <c r="O172" i="12"/>
  <c r="D48" i="12"/>
  <c r="I43" i="12" s="1"/>
  <c r="J43" i="12" s="1"/>
  <c r="I122" i="12"/>
  <c r="J122" i="12" s="1"/>
  <c r="I26" i="12"/>
  <c r="J26" i="12" s="1"/>
  <c r="D208" i="12"/>
  <c r="I203" i="12" s="1"/>
  <c r="J203" i="12" s="1"/>
  <c r="K198" i="12" s="1"/>
  <c r="M198" i="12" s="1"/>
  <c r="D64" i="12"/>
  <c r="I59" i="12" s="1"/>
  <c r="J59" i="12" s="1"/>
  <c r="K7" i="12" l="1"/>
  <c r="M7" i="12" s="1"/>
  <c r="K266" i="12"/>
  <c r="M266" i="12" s="1"/>
  <c r="K263" i="12"/>
  <c r="M263" i="12" s="1"/>
  <c r="O28" i="12"/>
  <c r="H175" i="12"/>
  <c r="K153" i="12"/>
  <c r="M153" i="12" s="1"/>
  <c r="H158" i="12"/>
  <c r="O125" i="12"/>
  <c r="K9" i="12"/>
  <c r="M9" i="12" s="1"/>
  <c r="O12" i="12"/>
  <c r="K6" i="12"/>
  <c r="M6" i="12" s="1"/>
  <c r="O13" i="12"/>
  <c r="O7" i="12"/>
  <c r="K10" i="12"/>
  <c r="M10" i="12" s="1"/>
  <c r="H15" i="12"/>
  <c r="O6" i="12"/>
  <c r="O167" i="12"/>
  <c r="K25" i="12"/>
  <c r="M25" i="12" s="1"/>
  <c r="K167" i="12"/>
  <c r="M167" i="12" s="1"/>
  <c r="K134" i="12"/>
  <c r="M134" i="12" s="1"/>
  <c r="H31" i="12"/>
  <c r="H30" i="12"/>
  <c r="H29" i="12"/>
  <c r="K246" i="12"/>
  <c r="M246" i="12" s="1"/>
  <c r="K217" i="12"/>
  <c r="M217" i="12" s="1"/>
  <c r="H221" i="12"/>
  <c r="K170" i="12"/>
  <c r="M170" i="12" s="1"/>
  <c r="O166" i="12"/>
  <c r="O173" i="12"/>
  <c r="H223" i="12"/>
  <c r="H222" i="12"/>
  <c r="K216" i="12"/>
  <c r="M216" i="12" s="1"/>
  <c r="O221" i="12"/>
  <c r="O214" i="12"/>
  <c r="O215" i="12"/>
  <c r="H174" i="12"/>
  <c r="H173" i="12"/>
  <c r="O156" i="12"/>
  <c r="K218" i="12"/>
  <c r="M218" i="12" s="1"/>
  <c r="O220" i="12"/>
  <c r="K214" i="12"/>
  <c r="M214" i="12" s="1"/>
  <c r="K169" i="12"/>
  <c r="M169" i="12" s="1"/>
  <c r="K166" i="12"/>
  <c r="M166" i="12" s="1"/>
  <c r="O253" i="12"/>
  <c r="O157" i="12"/>
  <c r="H159" i="12"/>
  <c r="O150" i="12"/>
  <c r="K150" i="12"/>
  <c r="M150" i="12" s="1"/>
  <c r="H157" i="12"/>
  <c r="O151" i="12"/>
  <c r="K26" i="12"/>
  <c r="M26" i="12" s="1"/>
  <c r="O23" i="12"/>
  <c r="K23" i="12"/>
  <c r="M23" i="12" s="1"/>
  <c r="K22" i="12"/>
  <c r="M22" i="12" s="1"/>
  <c r="O22" i="12"/>
  <c r="O29" i="12"/>
  <c r="O118" i="12"/>
  <c r="K122" i="12"/>
  <c r="M122" i="12" s="1"/>
  <c r="O76" i="12"/>
  <c r="O119" i="12"/>
  <c r="K119" i="12"/>
  <c r="M119" i="12" s="1"/>
  <c r="H253" i="12"/>
  <c r="O252" i="12"/>
  <c r="K151" i="12"/>
  <c r="M151" i="12" s="1"/>
  <c r="K120" i="12"/>
  <c r="M120" i="12" s="1"/>
  <c r="O124" i="12"/>
  <c r="H126" i="12"/>
  <c r="K121" i="12"/>
  <c r="M121" i="12" s="1"/>
  <c r="H254" i="12"/>
  <c r="K250" i="12"/>
  <c r="M250" i="12" s="1"/>
  <c r="K42" i="12"/>
  <c r="M42" i="12" s="1"/>
  <c r="H125" i="12"/>
  <c r="H127" i="12"/>
  <c r="K154" i="12"/>
  <c r="M154" i="12" s="1"/>
  <c r="K73" i="12"/>
  <c r="M73" i="12" s="1"/>
  <c r="K71" i="12"/>
  <c r="M71" i="12" s="1"/>
  <c r="H79" i="12"/>
  <c r="O70" i="12"/>
  <c r="H78" i="12"/>
  <c r="H77" i="12"/>
  <c r="K72" i="12"/>
  <c r="M72" i="12" s="1"/>
  <c r="K74" i="12"/>
  <c r="M74" i="12" s="1"/>
  <c r="O77" i="12"/>
  <c r="O71" i="12"/>
  <c r="K248" i="12"/>
  <c r="M248" i="12" s="1"/>
  <c r="K249" i="12"/>
  <c r="M249" i="12" s="1"/>
  <c r="H255" i="12"/>
  <c r="O246" i="12"/>
  <c r="K247" i="12"/>
  <c r="M247" i="12" s="1"/>
  <c r="K232" i="12"/>
  <c r="M232" i="12" s="1"/>
  <c r="K138" i="12"/>
  <c r="M138" i="12" s="1"/>
  <c r="K41" i="12"/>
  <c r="M41" i="12" s="1"/>
  <c r="H63" i="12"/>
  <c r="H62" i="12"/>
  <c r="O55" i="12"/>
  <c r="O54" i="12"/>
  <c r="H61" i="12"/>
  <c r="O60" i="12"/>
  <c r="O61" i="12"/>
  <c r="K57" i="12"/>
  <c r="M57" i="12" s="1"/>
  <c r="K56" i="12"/>
  <c r="M56" i="12" s="1"/>
  <c r="K40" i="12"/>
  <c r="M40" i="12" s="1"/>
  <c r="K199" i="12"/>
  <c r="M199" i="12" s="1"/>
  <c r="K54" i="12"/>
  <c r="M54" i="12" s="1"/>
  <c r="K38" i="12"/>
  <c r="M38" i="12" s="1"/>
  <c r="K231" i="12"/>
  <c r="M231" i="12" s="1"/>
  <c r="O109" i="12"/>
  <c r="H111" i="12"/>
  <c r="H110" i="12"/>
  <c r="O103" i="12"/>
  <c r="O102" i="12"/>
  <c r="H109" i="12"/>
  <c r="O108" i="12"/>
  <c r="O269" i="12"/>
  <c r="H271" i="12"/>
  <c r="H270" i="12"/>
  <c r="O263" i="12"/>
  <c r="O262" i="12"/>
  <c r="H269" i="12"/>
  <c r="O268" i="12"/>
  <c r="K264" i="12"/>
  <c r="M264" i="12" s="1"/>
  <c r="K201" i="12"/>
  <c r="M201" i="12" s="1"/>
  <c r="K58" i="12"/>
  <c r="M58" i="12" s="1"/>
  <c r="K234" i="12"/>
  <c r="M234" i="12" s="1"/>
  <c r="H143" i="12"/>
  <c r="H142" i="12"/>
  <c r="O135" i="12"/>
  <c r="O134" i="12"/>
  <c r="H141" i="12"/>
  <c r="O140" i="12"/>
  <c r="O141" i="12"/>
  <c r="K137" i="12"/>
  <c r="M137" i="12" s="1"/>
  <c r="K136" i="12"/>
  <c r="M136" i="12" s="1"/>
  <c r="H238" i="12"/>
  <c r="O231" i="12"/>
  <c r="O230" i="12"/>
  <c r="H237" i="12"/>
  <c r="O236" i="12"/>
  <c r="O237" i="12"/>
  <c r="H239" i="12"/>
  <c r="K230" i="12"/>
  <c r="M230" i="12" s="1"/>
  <c r="K104" i="12"/>
  <c r="M104" i="12" s="1"/>
  <c r="K265" i="12"/>
  <c r="M265" i="12" s="1"/>
  <c r="K106" i="12"/>
  <c r="M106" i="12" s="1"/>
  <c r="O205" i="12"/>
  <c r="H207" i="12"/>
  <c r="H206" i="12"/>
  <c r="O199" i="12"/>
  <c r="O198" i="12"/>
  <c r="H205" i="12"/>
  <c r="O204" i="12"/>
  <c r="K200" i="12"/>
  <c r="M200" i="12" s="1"/>
  <c r="O45" i="12"/>
  <c r="H47" i="12"/>
  <c r="H46" i="12"/>
  <c r="O39" i="12"/>
  <c r="O38" i="12"/>
  <c r="H45" i="12"/>
  <c r="O44" i="12"/>
  <c r="K39" i="12"/>
  <c r="M39" i="12" s="1"/>
  <c r="K55" i="12"/>
  <c r="M55" i="12" s="1"/>
  <c r="K102" i="12"/>
  <c r="M102" i="12" s="1"/>
  <c r="K202" i="12"/>
  <c r="M202" i="12" s="1"/>
  <c r="K105" i="12"/>
  <c r="M105" i="12" s="1"/>
  <c r="K103" i="12"/>
  <c r="M103" i="12" s="1"/>
</calcChain>
</file>

<file path=xl/sharedStrings.xml><?xml version="1.0" encoding="utf-8"?>
<sst xmlns="http://schemas.openxmlformats.org/spreadsheetml/2006/main" count="2970" uniqueCount="123">
  <si>
    <t>Treatments</t>
  </si>
  <si>
    <t>R1</t>
  </si>
  <si>
    <t>R2</t>
  </si>
  <si>
    <t>R3</t>
  </si>
  <si>
    <t>Total</t>
  </si>
  <si>
    <t>Mean</t>
  </si>
  <si>
    <t>ANOVA</t>
  </si>
  <si>
    <t>Factors Mean</t>
  </si>
  <si>
    <t>df</t>
  </si>
  <si>
    <t>SS</t>
  </si>
  <si>
    <t>MSS</t>
  </si>
  <si>
    <t>Cal F</t>
  </si>
  <si>
    <t>Table F</t>
  </si>
  <si>
    <t>Replication</t>
  </si>
  <si>
    <t>SE.m</t>
  </si>
  <si>
    <t>Treatment</t>
  </si>
  <si>
    <t>CD</t>
  </si>
  <si>
    <t>RDF</t>
  </si>
  <si>
    <t>MC0</t>
  </si>
  <si>
    <t>MC</t>
  </si>
  <si>
    <t>SMC</t>
  </si>
  <si>
    <t>RDFxMC</t>
  </si>
  <si>
    <t>MC3</t>
  </si>
  <si>
    <t>Error</t>
  </si>
  <si>
    <t>MC5</t>
  </si>
  <si>
    <t>t14=</t>
  </si>
  <si>
    <t>CF</t>
  </si>
  <si>
    <t>TSSQ</t>
  </si>
  <si>
    <t>RSSQ</t>
  </si>
  <si>
    <t>CV</t>
  </si>
  <si>
    <t>tSSQ</t>
  </si>
  <si>
    <t>ESSQ</t>
  </si>
  <si>
    <t>T2- 100%RDF-SM</t>
  </si>
  <si>
    <r>
      <t>T1- 100%RDF-M</t>
    </r>
    <r>
      <rPr>
        <vertAlign val="subscript"/>
        <sz val="10"/>
        <rFont val="Arial"/>
        <family val="2"/>
      </rPr>
      <t>0</t>
    </r>
  </si>
  <si>
    <r>
      <t>T3-100%RDF-FM</t>
    </r>
    <r>
      <rPr>
        <vertAlign val="subscript"/>
        <sz val="10"/>
        <rFont val="Arial"/>
        <family val="2"/>
      </rPr>
      <t>3</t>
    </r>
  </si>
  <si>
    <r>
      <t>T4-100%RDF-FM</t>
    </r>
    <r>
      <rPr>
        <vertAlign val="subscript"/>
        <sz val="10"/>
        <rFont val="Arial"/>
        <family val="2"/>
      </rPr>
      <t>5</t>
    </r>
  </si>
  <si>
    <r>
      <t>T5- 75%RDF-M</t>
    </r>
    <r>
      <rPr>
        <vertAlign val="subscript"/>
        <sz val="10"/>
        <rFont val="Arial"/>
        <family val="2"/>
      </rPr>
      <t>0</t>
    </r>
  </si>
  <si>
    <t>T6- 75%RDF-SM</t>
  </si>
  <si>
    <r>
      <t>T7-75%RDF-FM</t>
    </r>
    <r>
      <rPr>
        <vertAlign val="subscript"/>
        <sz val="10"/>
        <rFont val="Arial"/>
        <family val="2"/>
      </rPr>
      <t>3</t>
    </r>
  </si>
  <si>
    <r>
      <t>T8-75%RDF-FM</t>
    </r>
    <r>
      <rPr>
        <vertAlign val="subscript"/>
        <sz val="10"/>
        <rFont val="Arial"/>
        <family val="2"/>
      </rPr>
      <t>5</t>
    </r>
  </si>
  <si>
    <r>
      <t xml:space="preserve">Maize N, K &amp; Bio fertigation - </t>
    </r>
    <r>
      <rPr>
        <sz val="11"/>
        <color theme="1"/>
        <rFont val="Calibri"/>
        <family val="2"/>
        <scheme val="minor"/>
      </rPr>
      <t>yield attributes- 2018-19</t>
    </r>
  </si>
  <si>
    <t>S.NO.</t>
  </si>
  <si>
    <t>Land preparation</t>
  </si>
  <si>
    <t>Seeds and sowing</t>
  </si>
  <si>
    <t>Fertilizers cost</t>
  </si>
  <si>
    <t>Cost of fertilizer application</t>
  </si>
  <si>
    <t>Weed control</t>
  </si>
  <si>
    <t>Plant protection</t>
  </si>
  <si>
    <t>Harvesting, threshing,cleaning and packing</t>
  </si>
  <si>
    <t>Transport</t>
  </si>
  <si>
    <t xml:space="preserve">cost of irrigation </t>
  </si>
  <si>
    <t>Cost of drip system</t>
  </si>
  <si>
    <t>Total production cost</t>
  </si>
  <si>
    <r>
      <t>N UPTAKE AT 30 DAS (kg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</si>
  <si>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N UPTAKE AT 60 DAS (kg ha-1)</t>
  </si>
  <si>
    <t>N UPTAKE AT 90 DAS (kg ha-1)</t>
  </si>
  <si>
    <t>N UPTAKE IN STRAW AT HARVEST (kg ha-1)</t>
  </si>
  <si>
    <t xml:space="preserve"> </t>
  </si>
  <si>
    <t>N UPTAKE IN GRAIN AT HARVEST (kg ha-1)</t>
  </si>
  <si>
    <t>P UPTAKE AT 30 DAS (kg ha-1)</t>
  </si>
  <si>
    <t>P UPTAKE AT 60 DAS (kg ha-1)</t>
  </si>
  <si>
    <t>P UPTAKE AT 90 DAS (kg ha-1)</t>
  </si>
  <si>
    <t>P UPTAKE IN STRAW AT HARVEST (kg ha-1)</t>
  </si>
  <si>
    <t>P UPTAKE IN GRAIN AT HARVEST (kg ha-1)</t>
  </si>
  <si>
    <t>K UPTAKE AT 30 DAS (kg ha-1)</t>
  </si>
  <si>
    <t>K UPTAKE AT 60 DAS (kg ha-1)</t>
  </si>
  <si>
    <t>K UPTAKE AT 90 DAS (kg ha-1)</t>
  </si>
  <si>
    <t>K UPTAKE IN STRAW AT HARVEST (kg ha-1)</t>
  </si>
  <si>
    <t>K UPTAKE IN GRAIN AT HARVEST (kg ha-1)</t>
  </si>
  <si>
    <r>
      <t>Cost of cultivation (Rs /ha) of rabi maize</t>
    </r>
    <r>
      <rPr>
        <i/>
        <sz val="11"/>
        <color indexed="8"/>
        <rFont val="Calibri"/>
        <family val="2"/>
      </rPr>
      <t xml:space="preserve"> as </t>
    </r>
    <r>
      <rPr>
        <sz val="11"/>
        <color indexed="8"/>
        <rFont val="Calibri"/>
        <family val="2"/>
      </rPr>
      <t xml:space="preserve"> influenced by different drip fertigation levels. </t>
    </r>
  </si>
  <si>
    <r>
      <t>T1- 100%RDF-M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</si>
  <si>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T3-100%RDF-FM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</si>
  <si>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T4-100%RDF-FM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</si>
  <si>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T5- 75%RDF-M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</si>
  <si>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T7-75%RDF-FM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</si>
  <si>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T8-75%RDF-FM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</si>
  <si>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Cost of water (Rs. ha mm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</si>
  <si>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Grain yield yield (kg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</si>
  <si>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Income from Grain (Rs. ha-1)</t>
  </si>
  <si>
    <t>Total Gross Returns(Rs. ha-1)</t>
  </si>
  <si>
    <r>
      <t>Net Returns(Rs.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</si>
  <si>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B:C ratio</t>
  </si>
  <si>
    <r>
      <t>Income from Straw 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</si>
  <si>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TOTAL N UPTAKE AT HARVEST (kg ha-1)</t>
  </si>
  <si>
    <t>TOTAL P UPTAKE AT HARVEST (kg ha-1)</t>
  </si>
  <si>
    <t>TOTAL K UPTAKE AT HARVEST (kg ha-1)</t>
  </si>
  <si>
    <t>E1T1</t>
  </si>
  <si>
    <t>E1T2</t>
  </si>
  <si>
    <t>E1T3</t>
  </si>
  <si>
    <t>E1T4</t>
  </si>
  <si>
    <t>E1T5</t>
  </si>
  <si>
    <t>E1T6</t>
  </si>
  <si>
    <t>E1T7</t>
  </si>
  <si>
    <t>E1T8</t>
  </si>
  <si>
    <t>E1T9</t>
  </si>
  <si>
    <t>E2T1</t>
  </si>
  <si>
    <t>E2T2</t>
  </si>
  <si>
    <t>E2T3</t>
  </si>
  <si>
    <t>E2T4</t>
  </si>
  <si>
    <t>E2T5</t>
  </si>
  <si>
    <t>E2T6</t>
  </si>
  <si>
    <t>E2T7</t>
  </si>
  <si>
    <t>E2T8</t>
  </si>
  <si>
    <t>E2T9</t>
  </si>
  <si>
    <t>Main factors</t>
  </si>
  <si>
    <t xml:space="preserve">Sub factors </t>
  </si>
  <si>
    <t>Replications</t>
  </si>
  <si>
    <t>Total factors</t>
  </si>
  <si>
    <t>Factor A</t>
  </si>
  <si>
    <t>Factor B</t>
  </si>
  <si>
    <t>A*B</t>
  </si>
  <si>
    <t>t34=</t>
  </si>
  <si>
    <t>Result</t>
  </si>
  <si>
    <t xml:space="preserve">Factor A </t>
  </si>
  <si>
    <t xml:space="preserve"> 60 DAT</t>
  </si>
  <si>
    <t xml:space="preserve"> 90 DAT</t>
  </si>
  <si>
    <t xml:space="preserve"> AT HARVEST</t>
  </si>
  <si>
    <t>AT HARVEST</t>
  </si>
  <si>
    <t>Dry matter 30DAT</t>
  </si>
  <si>
    <t>LAI 30DAT</t>
  </si>
  <si>
    <t>CGR 30DAT</t>
  </si>
  <si>
    <t>log</t>
  </si>
  <si>
    <t>RGR 30DAT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</si>
</sst>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0.00_)"/>
    <numFmt numFmtId="167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5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4" xfId="0" applyBorder="1" applyAlignment="1"/>
    <xf numFmtId="0" fontId="0" fillId="0" borderId="0" xfId="0" applyFont="1" applyFill="1"/>
    <xf numFmtId="0" fontId="4" fillId="0" borderId="1" xfId="0" applyFont="1" applyBorder="1"/>
    <xf numFmtId="0" fontId="0" fillId="0" borderId="1" xfId="0" applyFont="1" applyBorder="1"/>
    <xf numFmtId="2" fontId="0" fillId="2" borderId="1" xfId="0" applyNumberFormat="1" applyFont="1" applyFill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9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6" fillId="0" borderId="1" xfId="0" applyFont="1" applyBorder="1"/>
    <xf numFmtId="2" fontId="0" fillId="0" borderId="1" xfId="0" applyNumberFormat="1" applyFont="1" applyBorder="1"/>
    <xf numFmtId="2" fontId="7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Font="1" applyFill="1" applyBorder="1"/>
    <xf numFmtId="164" fontId="7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2" borderId="0" xfId="0" applyFont="1" applyFill="1"/>
    <xf numFmtId="0" fontId="0" fillId="0" borderId="4" xfId="0" applyFont="1" applyBorder="1" applyAlignment="1"/>
    <xf numFmtId="0" fontId="0" fillId="0" borderId="0" xfId="0"/>
    <xf numFmtId="2" fontId="2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13" fillId="0" borderId="1" xfId="0" applyNumberFormat="1" applyFont="1" applyBorder="1"/>
    <xf numFmtId="164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4" fillId="0" borderId="1" xfId="0" applyNumberFormat="1" applyFont="1" applyBorder="1"/>
    <xf numFmtId="164" fontId="14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8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1" xfId="0" applyNumberForma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6"/>
  <sheetViews>
    <sheetView topLeftCell="A259" workbookViewId="0">
      <selection activeCell="L116" sqref="L116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425781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73">
        <v>2019</v>
      </c>
    </row>
    <row r="3" spans="1:21" x14ac:dyDescent="0.25">
      <c r="C3" s="48" t="s">
        <v>118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>
        <f>LN(B9)</f>
        <v>4.8926772431255854</v>
      </c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5"/>
      <c r="T8" s="55"/>
      <c r="U8" s="55"/>
    </row>
    <row r="9" spans="1:21" x14ac:dyDescent="0.25">
      <c r="A9" s="32" t="s">
        <v>86</v>
      </c>
      <c r="B9" s="65">
        <v>133.31</v>
      </c>
      <c r="C9" s="65">
        <v>166.45</v>
      </c>
      <c r="D9" s="65">
        <v>174.09</v>
      </c>
      <c r="E9" s="31">
        <f t="shared" ref="E9:E26" si="0">SUM(B9:D9)</f>
        <v>473.85</v>
      </c>
      <c r="F9" s="31">
        <f>E9/3</f>
        <v>157.95000000000002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1">
        <f>SUM(F9:F17)/9</f>
        <v>245.12851851851849</v>
      </c>
      <c r="Q9" s="49">
        <f>RANK(P9,P$9:P$10,0)</f>
        <v>1</v>
      </c>
      <c r="S9" s="55"/>
      <c r="T9" s="55"/>
      <c r="U9" s="55"/>
    </row>
    <row r="10" spans="1:21" x14ac:dyDescent="0.25">
      <c r="A10" s="32" t="s">
        <v>87</v>
      </c>
      <c r="B10" s="65">
        <v>236.06</v>
      </c>
      <c r="C10" s="65">
        <v>253.39</v>
      </c>
      <c r="D10" s="65">
        <v>267.08</v>
      </c>
      <c r="E10" s="31">
        <f t="shared" si="0"/>
        <v>756.53</v>
      </c>
      <c r="F10" s="31">
        <f t="shared" ref="F10:F26" si="1">E10/3</f>
        <v>252.17666666666665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31">
        <f>SUM(F18:F26)/9</f>
        <v>235.2674074074074</v>
      </c>
      <c r="Q10" s="49">
        <f>RANK(P10,P$9:P$10,0)</f>
        <v>2</v>
      </c>
      <c r="S10" s="55"/>
      <c r="T10" s="55"/>
      <c r="U10" s="55"/>
    </row>
    <row r="11" spans="1:21" x14ac:dyDescent="0.25">
      <c r="A11" s="32" t="s">
        <v>88</v>
      </c>
      <c r="B11" s="65">
        <v>249.07999999999998</v>
      </c>
      <c r="C11" s="65">
        <v>269.06</v>
      </c>
      <c r="D11" s="65">
        <v>303.48</v>
      </c>
      <c r="E11" s="31">
        <f t="shared" si="0"/>
        <v>821.62</v>
      </c>
      <c r="F11" s="31">
        <f t="shared" si="1"/>
        <v>273.87333333333333</v>
      </c>
      <c r="G11" s="31" t="s">
        <v>13</v>
      </c>
      <c r="H11" s="31">
        <f>B7-1</f>
        <v>2</v>
      </c>
      <c r="I11" s="31">
        <f>D30</f>
        <v>14821.980992591474</v>
      </c>
      <c r="J11" s="31">
        <f>I11/H11</f>
        <v>7410.9904962957371</v>
      </c>
      <c r="K11" s="31">
        <f>J11/$J$16</f>
        <v>45.239446983142393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2.4631882397346692</v>
      </c>
      <c r="S11" s="55"/>
      <c r="T11" s="55"/>
      <c r="U11" s="55"/>
    </row>
    <row r="12" spans="1:21" x14ac:dyDescent="0.25">
      <c r="A12" s="32" t="s">
        <v>89</v>
      </c>
      <c r="B12" s="65">
        <v>207.68</v>
      </c>
      <c r="C12" s="65">
        <v>241.85</v>
      </c>
      <c r="D12" s="65">
        <v>266.08</v>
      </c>
      <c r="E12" s="31">
        <f t="shared" si="0"/>
        <v>715.6099999999999</v>
      </c>
      <c r="F12" s="31">
        <f t="shared" si="1"/>
        <v>238.53666666666663</v>
      </c>
      <c r="G12" s="31" t="s">
        <v>15</v>
      </c>
      <c r="H12" s="31">
        <f>D6-1</f>
        <v>17</v>
      </c>
      <c r="I12" s="31">
        <f>B31</f>
        <v>57908.399675925262</v>
      </c>
      <c r="J12" s="31">
        <f t="shared" ref="J12:J16" si="2">I12/H12</f>
        <v>3406.3764515250155</v>
      </c>
      <c r="K12" s="31">
        <f>J12/$J$16</f>
        <v>20.793790919097294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7.0792713474149789</v>
      </c>
      <c r="S12" s="55"/>
      <c r="T12" s="55"/>
      <c r="U12" s="55"/>
    </row>
    <row r="13" spans="1:21" x14ac:dyDescent="0.25">
      <c r="A13" s="32" t="s">
        <v>90</v>
      </c>
      <c r="B13" s="65">
        <v>262.39</v>
      </c>
      <c r="C13" s="65">
        <v>267.35000000000002</v>
      </c>
      <c r="D13" s="65">
        <v>276.08</v>
      </c>
      <c r="E13" s="31">
        <f>SUM(B13:D13)</f>
        <v>805.81999999999994</v>
      </c>
      <c r="F13" s="31">
        <f t="shared" si="1"/>
        <v>268.60666666666663</v>
      </c>
      <c r="G13" s="31" t="s">
        <v>108</v>
      </c>
      <c r="H13" s="31">
        <f>B5-1</f>
        <v>1</v>
      </c>
      <c r="I13" s="31">
        <f>(SUM(E9:E17)^2+SUM(E18:E26)^2)/27-B29</f>
        <v>1312.7604166660458</v>
      </c>
      <c r="J13" s="31">
        <f t="shared" si="2"/>
        <v>1312.7604166660458</v>
      </c>
      <c r="K13" s="31">
        <f>J13/$J$16</f>
        <v>8.0135786574029346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1">
        <f>(F9+F18)/2</f>
        <v>157.61000000000001</v>
      </c>
      <c r="Q13" s="49">
        <f>RANK(P13,P$13:P$21,0)</f>
        <v>9</v>
      </c>
      <c r="R13" s="52">
        <v>9</v>
      </c>
      <c r="S13" s="56"/>
      <c r="T13" s="56"/>
      <c r="U13" s="56"/>
    </row>
    <row r="14" spans="1:21" x14ac:dyDescent="0.25">
      <c r="A14" s="32" t="s">
        <v>91</v>
      </c>
      <c r="B14" s="65">
        <v>246.48000000000002</v>
      </c>
      <c r="C14" s="65">
        <v>282.06</v>
      </c>
      <c r="D14" s="65">
        <v>313.18</v>
      </c>
      <c r="E14" s="31">
        <f t="shared" si="0"/>
        <v>841.72</v>
      </c>
      <c r="F14" s="31">
        <f t="shared" si="1"/>
        <v>280.57333333333332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14301591.606925922</v>
      </c>
      <c r="J14" s="31">
        <f t="shared" si="2"/>
        <v>1787698.9508657402</v>
      </c>
      <c r="K14" s="31">
        <f>J14/$J$16</f>
        <v>10912.780410382895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4">(F10+F19)/2</f>
        <v>248.25166666666667</v>
      </c>
      <c r="Q14" s="49">
        <f t="shared" ref="Q14:Q21" si="5">RANK(P14,P$13:P$21,0)</f>
        <v>5</v>
      </c>
      <c r="R14" s="53">
        <v>5</v>
      </c>
      <c r="S14" s="55"/>
      <c r="T14" s="55"/>
      <c r="U14" s="55"/>
    </row>
    <row r="15" spans="1:21" x14ac:dyDescent="0.25">
      <c r="A15" s="32" t="s">
        <v>92</v>
      </c>
      <c r="B15" s="65">
        <v>213.39</v>
      </c>
      <c r="C15" s="65">
        <v>231.06</v>
      </c>
      <c r="D15" s="65">
        <v>264.08</v>
      </c>
      <c r="E15" s="31">
        <f t="shared" si="0"/>
        <v>708.53</v>
      </c>
      <c r="F15" s="31">
        <f t="shared" si="1"/>
        <v>236.17666666666665</v>
      </c>
      <c r="G15" s="26" t="s">
        <v>110</v>
      </c>
      <c r="H15" s="31">
        <f>H13*H14</f>
        <v>8</v>
      </c>
      <c r="I15" s="31">
        <f>I12-(I13+I14)</f>
        <v>-14244995.967666663</v>
      </c>
      <c r="J15" s="31">
        <f t="shared" si="2"/>
        <v>-1780624.4959583329</v>
      </c>
      <c r="K15" s="44">
        <f>J15/$J$16</f>
        <v>-10869.595302011989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1">
        <f t="shared" si="4"/>
        <v>265.76833333333332</v>
      </c>
      <c r="Q15" s="49">
        <f t="shared" si="5"/>
        <v>2</v>
      </c>
      <c r="R15" s="53">
        <v>2</v>
      </c>
      <c r="S15" s="55"/>
      <c r="T15" s="55"/>
      <c r="U15" s="55"/>
    </row>
    <row r="16" spans="1:21" x14ac:dyDescent="0.25">
      <c r="A16" s="32" t="s">
        <v>93</v>
      </c>
      <c r="B16" s="65">
        <v>243.18</v>
      </c>
      <c r="C16" s="65">
        <v>261.06</v>
      </c>
      <c r="D16" s="65">
        <v>278.98</v>
      </c>
      <c r="E16" s="31">
        <f t="shared" si="0"/>
        <v>783.22</v>
      </c>
      <c r="F16" s="31">
        <f t="shared" si="1"/>
        <v>261.07333333333332</v>
      </c>
      <c r="G16" s="45" t="s">
        <v>23</v>
      </c>
      <c r="H16" s="31">
        <f>((B7-1)*(B5*B6-1))</f>
        <v>34</v>
      </c>
      <c r="I16" s="31">
        <f>D31</f>
        <v>5569.7780074090697</v>
      </c>
      <c r="J16" s="31">
        <f t="shared" si="2"/>
        <v>163.8170002179138</v>
      </c>
      <c r="O16" s="33">
        <v>4</v>
      </c>
      <c r="P16" s="31">
        <f t="shared" si="4"/>
        <v>234.71333333333331</v>
      </c>
      <c r="Q16" s="49">
        <f t="shared" si="5"/>
        <v>7</v>
      </c>
      <c r="R16" s="53">
        <v>7</v>
      </c>
      <c r="S16" s="55"/>
      <c r="T16" s="55"/>
      <c r="U16" s="55"/>
    </row>
    <row r="17" spans="1:21" x14ac:dyDescent="0.25">
      <c r="A17" s="32" t="s">
        <v>94</v>
      </c>
      <c r="B17" s="65">
        <v>223.34</v>
      </c>
      <c r="C17" s="65">
        <v>236.15</v>
      </c>
      <c r="D17" s="65">
        <v>252.07999999999998</v>
      </c>
      <c r="E17" s="31">
        <f t="shared" si="0"/>
        <v>711.56999999999994</v>
      </c>
      <c r="F17" s="31">
        <f t="shared" si="1"/>
        <v>237.18999999999997</v>
      </c>
      <c r="G17" s="44" t="s">
        <v>4</v>
      </c>
      <c r="H17" s="31">
        <f>SUM(H11:H16)-H12</f>
        <v>53</v>
      </c>
      <c r="I17" s="31">
        <f>B30</f>
        <v>78300.158675925806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4"/>
        <v>260.44999999999993</v>
      </c>
      <c r="Q17" s="49">
        <f t="shared" si="5"/>
        <v>3</v>
      </c>
      <c r="R17" s="52">
        <v>3</v>
      </c>
      <c r="S17" s="71"/>
      <c r="T17" s="71"/>
      <c r="U17" s="71"/>
    </row>
    <row r="18" spans="1:21" x14ac:dyDescent="0.25">
      <c r="A18" s="32" t="s">
        <v>95</v>
      </c>
      <c r="B18" s="65">
        <v>125.65</v>
      </c>
      <c r="C18" s="65">
        <v>131.58000000000001</v>
      </c>
      <c r="D18" s="65">
        <v>214.58</v>
      </c>
      <c r="E18" s="31">
        <f t="shared" si="0"/>
        <v>471.81000000000006</v>
      </c>
      <c r="F18" s="31">
        <f t="shared" si="1"/>
        <v>157.27000000000001</v>
      </c>
      <c r="G18" s="34" t="s">
        <v>14</v>
      </c>
      <c r="H18" s="31">
        <f>SQRT(J16/3)</f>
        <v>7.3895647192040075</v>
      </c>
      <c r="O18" s="33">
        <v>6</v>
      </c>
      <c r="P18" s="31">
        <f t="shared" si="4"/>
        <v>273.14</v>
      </c>
      <c r="Q18" s="49">
        <f t="shared" si="5"/>
        <v>1</v>
      </c>
      <c r="R18" s="53">
        <v>1</v>
      </c>
      <c r="S18" s="71"/>
      <c r="T18" s="71"/>
      <c r="U18" s="71"/>
    </row>
    <row r="19" spans="1:21" x14ac:dyDescent="0.25">
      <c r="A19" s="32" t="s">
        <v>96</v>
      </c>
      <c r="B19" s="65">
        <v>239.86</v>
      </c>
      <c r="C19" s="65">
        <v>241.56</v>
      </c>
      <c r="D19" s="65">
        <v>251.56</v>
      </c>
      <c r="E19" s="31">
        <f t="shared" si="0"/>
        <v>732.98</v>
      </c>
      <c r="F19" s="31">
        <f t="shared" si="1"/>
        <v>244.32666666666668</v>
      </c>
      <c r="G19" s="34" t="s">
        <v>16</v>
      </c>
      <c r="H19" s="31">
        <f>(SQRT((2*J16)/3))*L17</f>
        <v>21.237814042244938</v>
      </c>
      <c r="O19" s="33">
        <v>7</v>
      </c>
      <c r="P19" s="31">
        <f t="shared" si="4"/>
        <v>235.42666666666665</v>
      </c>
      <c r="Q19" s="49">
        <f t="shared" si="5"/>
        <v>6</v>
      </c>
      <c r="R19" s="53">
        <v>6</v>
      </c>
      <c r="S19" s="71"/>
      <c r="T19" s="71"/>
      <c r="U19" s="71"/>
    </row>
    <row r="20" spans="1:21" x14ac:dyDescent="0.25">
      <c r="A20" s="32" t="s">
        <v>97</v>
      </c>
      <c r="B20" s="65">
        <v>215.85</v>
      </c>
      <c r="C20" s="65">
        <v>264.58</v>
      </c>
      <c r="D20" s="65">
        <v>292.56</v>
      </c>
      <c r="E20" s="31">
        <f t="shared" si="0"/>
        <v>772.99</v>
      </c>
      <c r="F20" s="31">
        <f t="shared" si="1"/>
        <v>257.66333333333336</v>
      </c>
      <c r="G20" s="34" t="s">
        <v>29</v>
      </c>
      <c r="H20" s="31">
        <f>((SQRT(J16))/F27)*100</f>
        <v>5.328563732013551</v>
      </c>
      <c r="O20" s="33">
        <v>8</v>
      </c>
      <c r="P20" s="31">
        <f t="shared" si="4"/>
        <v>254.53666666666666</v>
      </c>
      <c r="Q20" s="49">
        <f t="shared" si="5"/>
        <v>4</v>
      </c>
      <c r="R20" s="52">
        <v>4</v>
      </c>
      <c r="S20" s="71"/>
      <c r="T20" s="71"/>
      <c r="U20" s="71"/>
    </row>
    <row r="21" spans="1:21" x14ac:dyDescent="0.25">
      <c r="A21" s="32" t="s">
        <v>98</v>
      </c>
      <c r="B21" s="65">
        <v>224.89</v>
      </c>
      <c r="C21" s="65">
        <v>221.89</v>
      </c>
      <c r="D21" s="65">
        <v>245.89</v>
      </c>
      <c r="E21" s="31">
        <f t="shared" si="0"/>
        <v>692.67</v>
      </c>
      <c r="F21" s="31">
        <f t="shared" si="1"/>
        <v>230.89</v>
      </c>
      <c r="O21" s="33">
        <v>9</v>
      </c>
      <c r="P21" s="31">
        <f t="shared" si="4"/>
        <v>231.88499999999999</v>
      </c>
      <c r="Q21" s="49">
        <f t="shared" si="5"/>
        <v>8</v>
      </c>
      <c r="R21" s="53">
        <v>8</v>
      </c>
      <c r="S21" s="71"/>
      <c r="T21" s="71"/>
      <c r="U21" s="71"/>
    </row>
    <row r="22" spans="1:21" x14ac:dyDescent="0.25">
      <c r="A22" s="32" t="s">
        <v>99</v>
      </c>
      <c r="B22" s="65">
        <v>238.41</v>
      </c>
      <c r="C22" s="65">
        <v>257.89</v>
      </c>
      <c r="D22" s="65">
        <v>260.58</v>
      </c>
      <c r="E22" s="31">
        <f t="shared" si="0"/>
        <v>756.87999999999988</v>
      </c>
      <c r="F22" s="31">
        <f t="shared" si="1"/>
        <v>252.29333333333329</v>
      </c>
      <c r="O22" s="30" t="s">
        <v>14</v>
      </c>
      <c r="P22" s="42">
        <f>SQRT(J16/(3*2))</f>
        <v>5.22521132296602</v>
      </c>
      <c r="Q22" s="49"/>
      <c r="S22" s="71"/>
      <c r="T22" s="71"/>
      <c r="U22" s="71"/>
    </row>
    <row r="23" spans="1:21" x14ac:dyDescent="0.25">
      <c r="A23" s="32" t="s">
        <v>100</v>
      </c>
      <c r="B23" s="65">
        <v>241.56</v>
      </c>
      <c r="C23" s="65">
        <v>269.87</v>
      </c>
      <c r="D23" s="65">
        <v>285.69</v>
      </c>
      <c r="E23" s="31">
        <f t="shared" si="0"/>
        <v>797.12</v>
      </c>
      <c r="F23" s="31">
        <f t="shared" si="1"/>
        <v>265.70666666666665</v>
      </c>
      <c r="H23" s="41">
        <v>238.41</v>
      </c>
      <c r="I23" s="41">
        <v>257.89</v>
      </c>
      <c r="J23" s="41">
        <v>260.58</v>
      </c>
      <c r="N23" s="30" t="s">
        <v>109</v>
      </c>
      <c r="O23" s="30" t="s">
        <v>16</v>
      </c>
      <c r="P23" s="42">
        <f>SQRT((2*J16)/(3*2))*L17</f>
        <v>15.017402326850277</v>
      </c>
      <c r="Q23" s="49"/>
      <c r="S23" s="71"/>
      <c r="T23" s="71"/>
      <c r="U23" s="71"/>
    </row>
    <row r="24" spans="1:21" x14ac:dyDescent="0.25">
      <c r="A24" s="32" t="s">
        <v>101</v>
      </c>
      <c r="B24" s="65">
        <v>225.89</v>
      </c>
      <c r="C24" s="65">
        <v>231.56</v>
      </c>
      <c r="D24" s="65">
        <v>246.58</v>
      </c>
      <c r="E24" s="31">
        <f t="shared" si="0"/>
        <v>704.03</v>
      </c>
      <c r="F24" s="31">
        <f>E24/3</f>
        <v>234.67666666666665</v>
      </c>
      <c r="Q24" s="49"/>
      <c r="S24" s="71"/>
      <c r="T24" s="71"/>
      <c r="U24" s="71"/>
    </row>
    <row r="25" spans="1:21" x14ac:dyDescent="0.25">
      <c r="A25" s="32" t="s">
        <v>102</v>
      </c>
      <c r="B25" s="65">
        <v>225.68</v>
      </c>
      <c r="C25" s="65">
        <v>252.48</v>
      </c>
      <c r="D25" s="65">
        <v>265.83999999999997</v>
      </c>
      <c r="E25" s="31">
        <f t="shared" si="0"/>
        <v>744</v>
      </c>
      <c r="F25" s="31">
        <f t="shared" si="1"/>
        <v>248</v>
      </c>
      <c r="S25" s="71"/>
      <c r="T25" s="71"/>
      <c r="U25" s="71"/>
    </row>
    <row r="26" spans="1:21" x14ac:dyDescent="0.25">
      <c r="A26" s="32" t="s">
        <v>103</v>
      </c>
      <c r="B26" s="65">
        <v>214.87</v>
      </c>
      <c r="C26" s="65">
        <v>225.89</v>
      </c>
      <c r="D26" s="65">
        <v>238.98</v>
      </c>
      <c r="E26" s="31">
        <f t="shared" si="0"/>
        <v>679.74</v>
      </c>
      <c r="F26" s="31">
        <f t="shared" si="1"/>
        <v>226.58</v>
      </c>
    </row>
    <row r="27" spans="1:21" x14ac:dyDescent="0.25">
      <c r="A27" s="30" t="s">
        <v>4</v>
      </c>
      <c r="B27" s="31">
        <f>SUM(B9:B26)</f>
        <v>3967.5699999999993</v>
      </c>
      <c r="C27" s="31">
        <f>SUM(C9:C26)</f>
        <v>4305.7299999999996</v>
      </c>
      <c r="D27" s="31">
        <f>SUM(D9:D26)</f>
        <v>4697.3899999999994</v>
      </c>
      <c r="E27" s="31">
        <f>SUM(E9:E26)</f>
        <v>12970.69</v>
      </c>
      <c r="F27" s="31">
        <f>AVERAGE(B9:D26)</f>
        <v>240.19796296296295</v>
      </c>
    </row>
    <row r="28" spans="1:21" x14ac:dyDescent="0.25">
      <c r="A28" s="30" t="s">
        <v>5</v>
      </c>
      <c r="B28" s="31">
        <f>B27/18</f>
        <v>220.42055555555552</v>
      </c>
      <c r="C28" s="31">
        <f>C27/18</f>
        <v>239.20722222222219</v>
      </c>
      <c r="D28" s="31">
        <f>D27/18</f>
        <v>260.9661111111111</v>
      </c>
    </row>
    <row r="29" spans="1:21" x14ac:dyDescent="0.25">
      <c r="A29" s="30" t="s">
        <v>26</v>
      </c>
      <c r="B29" s="31">
        <f>(E27*E27)/54</f>
        <v>3115533.3162240745</v>
      </c>
      <c r="C29" s="31"/>
      <c r="D29" s="31"/>
    </row>
    <row r="30" spans="1:21" x14ac:dyDescent="0.25">
      <c r="A30" s="30" t="s">
        <v>27</v>
      </c>
      <c r="B30" s="31">
        <f>SUMSQ(B9:D26)-B29</f>
        <v>78300.158675925806</v>
      </c>
      <c r="C30" s="30" t="s">
        <v>28</v>
      </c>
      <c r="D30" s="31">
        <f>(SUMSQ(B27:D27)/18)-B29</f>
        <v>14821.980992591474</v>
      </c>
    </row>
    <row r="31" spans="1:21" x14ac:dyDescent="0.25">
      <c r="A31" s="30" t="s">
        <v>30</v>
      </c>
      <c r="B31" s="31">
        <f>(SUMSQ(E9:E26)/3)-B29</f>
        <v>57908.399675925262</v>
      </c>
      <c r="C31" s="30" t="s">
        <v>31</v>
      </c>
      <c r="D31" s="31">
        <f>B30-B31-D30</f>
        <v>5569.7780074090697</v>
      </c>
    </row>
    <row r="35" spans="1:18" x14ac:dyDescent="0.25">
      <c r="C35" s="48" t="s">
        <v>114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72">
        <v>402.08</v>
      </c>
      <c r="C41" s="72">
        <v>413.08</v>
      </c>
      <c r="D41" s="72">
        <v>486.09</v>
      </c>
      <c r="E41" s="31">
        <f>SUM(B41:D41)</f>
        <v>1301.25</v>
      </c>
      <c r="F41" s="31">
        <f>E41/3</f>
        <v>433.75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1">
        <f>SUM(F41:F49)/9</f>
        <v>603.79592592592599</v>
      </c>
      <c r="Q41" s="49">
        <f>RANK(P41,P$41:P$42,0)</f>
        <v>1</v>
      </c>
    </row>
    <row r="42" spans="1:18" s="41" customFormat="1" x14ac:dyDescent="0.25">
      <c r="A42" s="32" t="s">
        <v>87</v>
      </c>
      <c r="B42" s="72">
        <v>631.75</v>
      </c>
      <c r="C42" s="72">
        <v>660.39</v>
      </c>
      <c r="D42" s="72">
        <v>669.09</v>
      </c>
      <c r="E42" s="31">
        <f>SUM(B42:D42)</f>
        <v>1961.23</v>
      </c>
      <c r="F42" s="31">
        <f t="shared" ref="F42:F55" si="6">E42/3</f>
        <v>653.74333333333334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31">
        <f>SUM(F50:F58)/9</f>
        <v>582.52296296296299</v>
      </c>
      <c r="Q42" s="49">
        <f>RANK(P42,P$41:P$42,0)</f>
        <v>2</v>
      </c>
    </row>
    <row r="43" spans="1:18" s="41" customFormat="1" x14ac:dyDescent="0.25">
      <c r="A43" s="32" t="s">
        <v>88</v>
      </c>
      <c r="B43" s="72">
        <v>663.09</v>
      </c>
      <c r="C43" s="72">
        <v>668.39</v>
      </c>
      <c r="D43" s="72">
        <v>679.4</v>
      </c>
      <c r="E43" s="31">
        <f t="shared" ref="E43:E58" si="7">SUM(B43:D43)</f>
        <v>2010.88</v>
      </c>
      <c r="F43" s="31">
        <f t="shared" si="6"/>
        <v>670.29333333333341</v>
      </c>
      <c r="G43" s="31" t="s">
        <v>13</v>
      </c>
      <c r="H43" s="31">
        <f>B39-1</f>
        <v>2</v>
      </c>
      <c r="I43" s="31">
        <f>D62</f>
        <v>929.43007777258754</v>
      </c>
      <c r="J43" s="31">
        <f>I43/H43</f>
        <v>464.71503888629377</v>
      </c>
      <c r="K43" s="31">
        <f>J43/$J$16</f>
        <v>2.836793728783443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6.651015368687311</v>
      </c>
      <c r="Q43" s="37"/>
    </row>
    <row r="44" spans="1:18" s="41" customFormat="1" x14ac:dyDescent="0.25">
      <c r="A44" s="32" t="s">
        <v>89</v>
      </c>
      <c r="B44" s="72">
        <v>590.34</v>
      </c>
      <c r="C44" s="72">
        <v>542.37</v>
      </c>
      <c r="D44" s="72">
        <v>520.37</v>
      </c>
      <c r="E44" s="31">
        <f t="shared" si="7"/>
        <v>1653.08</v>
      </c>
      <c r="F44" s="31">
        <f t="shared" si="6"/>
        <v>551.02666666666664</v>
      </c>
      <c r="G44" s="31" t="s">
        <v>15</v>
      </c>
      <c r="H44" s="31">
        <f>D38-1</f>
        <v>17</v>
      </c>
      <c r="I44" s="31">
        <f>B63</f>
        <v>337031.24461666495</v>
      </c>
      <c r="J44" s="31">
        <f t="shared" ref="J44:J48" si="8">I44/H44</f>
        <v>19825.367330392055</v>
      </c>
      <c r="K44" s="31">
        <f>J44/$J$16</f>
        <v>121.02142820354307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19.115202716231142</v>
      </c>
      <c r="Q44" s="37"/>
    </row>
    <row r="45" spans="1:18" s="41" customFormat="1" x14ac:dyDescent="0.25">
      <c r="A45" s="32" t="s">
        <v>90</v>
      </c>
      <c r="B45" s="72">
        <v>655.39</v>
      </c>
      <c r="C45" s="72">
        <v>662.08</v>
      </c>
      <c r="D45" s="72">
        <v>668.39</v>
      </c>
      <c r="E45" s="31">
        <f t="shared" si="7"/>
        <v>1985.8600000000001</v>
      </c>
      <c r="F45" s="31">
        <f t="shared" si="6"/>
        <v>661.95333333333338</v>
      </c>
      <c r="G45" s="31" t="s">
        <v>108</v>
      </c>
      <c r="H45" s="31">
        <f>B37-1</f>
        <v>1</v>
      </c>
      <c r="I45" s="31">
        <f>(SUM(E41:E49)^2+SUM(E50:E58)^2)/27-B61</f>
        <v>6109.2758685164154</v>
      </c>
      <c r="J45" s="31">
        <f t="shared" si="8"/>
        <v>6109.2758685164154</v>
      </c>
      <c r="K45" s="31">
        <f>J45/$J$16</f>
        <v>37.293295936256257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1">
        <f>(F41+F50)/2</f>
        <v>430.66499999999996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91</v>
      </c>
      <c r="B46" s="72">
        <v>755.09</v>
      </c>
      <c r="C46" s="72">
        <v>659.06</v>
      </c>
      <c r="D46" s="72">
        <v>672.04</v>
      </c>
      <c r="E46" s="31">
        <f t="shared" si="7"/>
        <v>2086.19</v>
      </c>
      <c r="F46" s="31">
        <f t="shared" si="6"/>
        <v>695.39666666666665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88406689.089283317</v>
      </c>
      <c r="J46" s="31">
        <f t="shared" si="8"/>
        <v>11050836.136160415</v>
      </c>
      <c r="K46" s="31">
        <f>J46/$J$16</f>
        <v>67458.420807732371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0">(F42+F51)/2</f>
        <v>642.79166666666674</v>
      </c>
      <c r="Q46" s="49">
        <f t="shared" ref="Q46:Q53" si="11">RANK(P46,P$45:P$53,0)</f>
        <v>5</v>
      </c>
      <c r="R46" s="53">
        <v>5</v>
      </c>
    </row>
    <row r="47" spans="1:18" s="41" customFormat="1" x14ac:dyDescent="0.25">
      <c r="A47" s="32" t="s">
        <v>92</v>
      </c>
      <c r="B47" s="72">
        <v>611.07000000000005</v>
      </c>
      <c r="C47" s="72">
        <v>599.09</v>
      </c>
      <c r="D47" s="72">
        <v>469.09</v>
      </c>
      <c r="E47" s="31">
        <f t="shared" si="7"/>
        <v>1679.25</v>
      </c>
      <c r="F47" s="31">
        <f t="shared" si="6"/>
        <v>559.75</v>
      </c>
      <c r="G47" s="26" t="s">
        <v>110</v>
      </c>
      <c r="H47" s="31">
        <f>H45*H46</f>
        <v>8</v>
      </c>
      <c r="I47" s="31">
        <f>I44-(I45+I46)</f>
        <v>-88075767.120535165</v>
      </c>
      <c r="J47" s="31">
        <f t="shared" si="8"/>
        <v>-11009470.890066896</v>
      </c>
      <c r="K47" s="44">
        <f>J47/$J$16</f>
        <v>-67205.911934791875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1">
        <f t="shared" si="10"/>
        <v>654.93333333333339</v>
      </c>
      <c r="Q47" s="49">
        <f t="shared" si="11"/>
        <v>2</v>
      </c>
      <c r="R47" s="53">
        <v>2</v>
      </c>
    </row>
    <row r="48" spans="1:18" s="41" customFormat="1" x14ac:dyDescent="0.25">
      <c r="A48" s="32" t="s">
        <v>93</v>
      </c>
      <c r="B48" s="72">
        <v>655.04</v>
      </c>
      <c r="C48" s="72">
        <v>660.39</v>
      </c>
      <c r="D48" s="72">
        <v>669.09</v>
      </c>
      <c r="E48" s="31">
        <f t="shared" si="7"/>
        <v>1984.52</v>
      </c>
      <c r="F48" s="31">
        <f t="shared" si="6"/>
        <v>661.50666666666666</v>
      </c>
      <c r="G48" s="45" t="s">
        <v>23</v>
      </c>
      <c r="H48" s="31">
        <f>((B39-1)*(B37*B38-1))</f>
        <v>34</v>
      </c>
      <c r="I48" s="31">
        <f>D63</f>
        <v>40608.652988884598</v>
      </c>
      <c r="J48" s="31">
        <f t="shared" si="8"/>
        <v>1194.3721467318999</v>
      </c>
      <c r="O48" s="33">
        <v>4</v>
      </c>
      <c r="P48" s="31">
        <f t="shared" si="10"/>
        <v>541.13333333333333</v>
      </c>
      <c r="Q48" s="49">
        <f t="shared" si="11"/>
        <v>7</v>
      </c>
      <c r="R48" s="53">
        <v>7</v>
      </c>
    </row>
    <row r="49" spans="1:18" x14ac:dyDescent="0.25">
      <c r="A49" s="32" t="s">
        <v>94</v>
      </c>
      <c r="B49" s="72">
        <v>587.09</v>
      </c>
      <c r="C49" s="72">
        <v>542.05999999999995</v>
      </c>
      <c r="D49" s="72">
        <v>511.08</v>
      </c>
      <c r="E49" s="31">
        <f t="shared" si="7"/>
        <v>1640.23</v>
      </c>
      <c r="F49" s="31">
        <f t="shared" si="6"/>
        <v>546.74333333333334</v>
      </c>
      <c r="G49" s="44" t="s">
        <v>4</v>
      </c>
      <c r="H49" s="31">
        <f>SUM(H43:H48)-H44</f>
        <v>53</v>
      </c>
      <c r="I49" s="31">
        <f>B62</f>
        <v>378569.32768332213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0"/>
        <v>649.22666666666669</v>
      </c>
      <c r="Q49" s="49">
        <f t="shared" si="11"/>
        <v>3</v>
      </c>
      <c r="R49" s="52">
        <v>3</v>
      </c>
    </row>
    <row r="50" spans="1:18" x14ac:dyDescent="0.25">
      <c r="A50" s="32" t="s">
        <v>95</v>
      </c>
      <c r="B50" s="72">
        <v>396.58</v>
      </c>
      <c r="C50" s="72">
        <v>403.59</v>
      </c>
      <c r="D50" s="72">
        <v>482.57</v>
      </c>
      <c r="E50" s="31">
        <f t="shared" si="7"/>
        <v>1282.74</v>
      </c>
      <c r="F50" s="31">
        <f t="shared" si="6"/>
        <v>427.58</v>
      </c>
      <c r="G50" s="34" t="s">
        <v>14</v>
      </c>
      <c r="H50" s="31">
        <f>SQRT(J48/3)</f>
        <v>19.953046106061933</v>
      </c>
      <c r="O50" s="33">
        <v>6</v>
      </c>
      <c r="P50" s="31">
        <f t="shared" si="10"/>
        <v>686.97166666666658</v>
      </c>
      <c r="Q50" s="49">
        <f t="shared" si="11"/>
        <v>1</v>
      </c>
      <c r="R50" s="53">
        <v>1</v>
      </c>
    </row>
    <row r="51" spans="1:18" x14ac:dyDescent="0.25">
      <c r="A51" s="32" t="s">
        <v>96</v>
      </c>
      <c r="B51" s="72">
        <v>625.41</v>
      </c>
      <c r="C51" s="72">
        <v>631.52</v>
      </c>
      <c r="D51" s="72">
        <v>638.59</v>
      </c>
      <c r="E51" s="31">
        <f t="shared" si="7"/>
        <v>1895.52</v>
      </c>
      <c r="F51" s="31">
        <f t="shared" si="6"/>
        <v>631.84</v>
      </c>
      <c r="G51" s="34" t="s">
        <v>16</v>
      </c>
      <c r="H51" s="31">
        <f>(SQRT((2*J48)/3))*L49</f>
        <v>57.345608148693429</v>
      </c>
      <c r="O51" s="33">
        <v>7</v>
      </c>
      <c r="P51" s="31">
        <f t="shared" si="10"/>
        <v>553.54999999999995</v>
      </c>
      <c r="Q51" s="49">
        <f t="shared" si="11"/>
        <v>6</v>
      </c>
      <c r="R51" s="53">
        <v>6</v>
      </c>
    </row>
    <row r="52" spans="1:18" x14ac:dyDescent="0.25">
      <c r="A52" s="32" t="s">
        <v>97</v>
      </c>
      <c r="B52" s="72">
        <v>618.57000000000005</v>
      </c>
      <c r="C52" s="72">
        <v>631.55999999999995</v>
      </c>
      <c r="D52" s="72">
        <v>668.59</v>
      </c>
      <c r="E52" s="31">
        <f t="shared" si="7"/>
        <v>1918.7200000000003</v>
      </c>
      <c r="F52" s="31">
        <f t="shared" si="6"/>
        <v>639.57333333333338</v>
      </c>
      <c r="G52" s="34" t="s">
        <v>29</v>
      </c>
      <c r="H52" s="31">
        <f>((SQRT(J48))/F59)*100</f>
        <v>5.8263743324246242</v>
      </c>
      <c r="O52" s="33">
        <v>8</v>
      </c>
      <c r="P52" s="31">
        <f t="shared" si="10"/>
        <v>644.69333333333338</v>
      </c>
      <c r="Q52" s="49">
        <f t="shared" si="11"/>
        <v>4</v>
      </c>
      <c r="R52" s="52">
        <v>4</v>
      </c>
    </row>
    <row r="53" spans="1:18" x14ac:dyDescent="0.25">
      <c r="A53" s="32" t="s">
        <v>98</v>
      </c>
      <c r="B53" s="72">
        <v>502.59</v>
      </c>
      <c r="C53" s="72">
        <v>528.59</v>
      </c>
      <c r="D53" s="72">
        <v>562.54</v>
      </c>
      <c r="E53" s="31">
        <f t="shared" si="7"/>
        <v>1593.72</v>
      </c>
      <c r="F53" s="31">
        <f t="shared" si="6"/>
        <v>531.24</v>
      </c>
      <c r="O53" s="33">
        <v>9</v>
      </c>
      <c r="P53" s="31">
        <f t="shared" si="10"/>
        <v>534.47</v>
      </c>
      <c r="Q53" s="49">
        <f t="shared" si="11"/>
        <v>8</v>
      </c>
      <c r="R53" s="53">
        <v>8</v>
      </c>
    </row>
    <row r="54" spans="1:18" x14ac:dyDescent="0.25">
      <c r="A54" s="32" t="s">
        <v>99</v>
      </c>
      <c r="B54" s="72">
        <v>611.54</v>
      </c>
      <c r="C54" s="72">
        <v>640.11</v>
      </c>
      <c r="D54" s="72">
        <v>657.85</v>
      </c>
      <c r="E54" s="31">
        <f t="shared" si="7"/>
        <v>1909.5</v>
      </c>
      <c r="F54" s="31">
        <f t="shared" si="6"/>
        <v>636.5</v>
      </c>
      <c r="I54" s="72"/>
      <c r="J54" s="72"/>
      <c r="K54" s="72"/>
      <c r="O54" s="30" t="s">
        <v>14</v>
      </c>
      <c r="P54" s="42">
        <f>SQRT(J48/(3*2))</f>
        <v>14.10893420692423</v>
      </c>
      <c r="Q54" s="49"/>
    </row>
    <row r="55" spans="1:18" x14ac:dyDescent="0.25">
      <c r="A55" s="32" t="s">
        <v>100</v>
      </c>
      <c r="B55" s="72">
        <v>704.51</v>
      </c>
      <c r="C55" s="72">
        <v>672.54</v>
      </c>
      <c r="D55" s="72">
        <v>658.59</v>
      </c>
      <c r="E55" s="31">
        <f t="shared" si="7"/>
        <v>2035.6399999999999</v>
      </c>
      <c r="F55" s="31">
        <f t="shared" si="6"/>
        <v>678.54666666666662</v>
      </c>
      <c r="I55" s="72"/>
      <c r="J55" s="74"/>
      <c r="K55" s="74"/>
      <c r="N55" s="30" t="s">
        <v>109</v>
      </c>
      <c r="O55" s="30" t="s">
        <v>16</v>
      </c>
      <c r="P55" s="42">
        <f>SQRT((2*J48)/(3*2))*L49</f>
        <v>40.549468393207661</v>
      </c>
      <c r="Q55" s="49"/>
    </row>
    <row r="56" spans="1:18" x14ac:dyDescent="0.25">
      <c r="A56" s="32" t="s">
        <v>101</v>
      </c>
      <c r="B56" s="72">
        <v>543.21</v>
      </c>
      <c r="C56" s="72">
        <v>545.87</v>
      </c>
      <c r="D56" s="72">
        <v>552.97</v>
      </c>
      <c r="E56" s="31">
        <f t="shared" si="7"/>
        <v>1642.05</v>
      </c>
      <c r="F56" s="31">
        <f>E56/3</f>
        <v>547.35</v>
      </c>
      <c r="I56" s="72"/>
      <c r="J56" s="74"/>
      <c r="K56" s="74"/>
      <c r="Q56" s="49"/>
    </row>
    <row r="57" spans="1:18" x14ac:dyDescent="0.25">
      <c r="A57" s="32" t="s">
        <v>102</v>
      </c>
      <c r="B57" s="72">
        <v>605.48</v>
      </c>
      <c r="C57" s="72">
        <v>625.58000000000004</v>
      </c>
      <c r="D57" s="72">
        <v>652.58000000000004</v>
      </c>
      <c r="E57" s="31">
        <f t="shared" si="7"/>
        <v>1883.6399999999999</v>
      </c>
      <c r="F57" s="31">
        <f t="shared" ref="F57:F58" si="13">E57/3</f>
        <v>627.88</v>
      </c>
      <c r="I57" s="74"/>
      <c r="J57" s="74"/>
      <c r="K57" s="74"/>
    </row>
    <row r="58" spans="1:18" x14ac:dyDescent="0.25">
      <c r="A58" s="32" t="s">
        <v>103</v>
      </c>
      <c r="B58" s="72">
        <v>501.42</v>
      </c>
      <c r="C58" s="72">
        <v>508.59</v>
      </c>
      <c r="D58" s="72">
        <v>556.58000000000004</v>
      </c>
      <c r="E58" s="31">
        <f t="shared" si="7"/>
        <v>1566.5900000000001</v>
      </c>
      <c r="F58" s="31">
        <f t="shared" si="13"/>
        <v>522.19666666666672</v>
      </c>
      <c r="I58" s="74"/>
      <c r="J58" s="74"/>
      <c r="K58" s="74"/>
    </row>
    <row r="59" spans="1:18" x14ac:dyDescent="0.25">
      <c r="A59" s="30" t="s">
        <v>4</v>
      </c>
      <c r="B59" s="31">
        <f>SUM(B41:B58)</f>
        <v>10660.250000000002</v>
      </c>
      <c r="C59" s="31">
        <f t="shared" ref="C59:D59" si="14">SUM(C41:C58)</f>
        <v>10594.86</v>
      </c>
      <c r="D59" s="31">
        <f t="shared" si="14"/>
        <v>10775.499999999998</v>
      </c>
      <c r="E59" s="31">
        <f>SUM(E41:E58)</f>
        <v>32030.610000000004</v>
      </c>
      <c r="F59" s="31">
        <f>AVERAGE(B41:D58)</f>
        <v>593.15944444444449</v>
      </c>
      <c r="I59" s="74"/>
      <c r="J59" s="74"/>
      <c r="K59" s="74"/>
    </row>
    <row r="60" spans="1:18" x14ac:dyDescent="0.25">
      <c r="A60" s="30" t="s">
        <v>5</v>
      </c>
      <c r="B60" s="31">
        <f>B59/18</f>
        <v>592.2361111111112</v>
      </c>
      <c r="C60" s="31">
        <f>C59/18</f>
        <v>588.60333333333335</v>
      </c>
      <c r="D60" s="31">
        <f>D59/18</f>
        <v>598.6388888888888</v>
      </c>
      <c r="I60" s="74"/>
      <c r="J60" s="74"/>
      <c r="K60" s="74"/>
    </row>
    <row r="61" spans="1:18" x14ac:dyDescent="0.25">
      <c r="A61" s="30" t="s">
        <v>26</v>
      </c>
      <c r="B61" s="31">
        <f>(E59*E59)/54</f>
        <v>18999258.832816672</v>
      </c>
      <c r="C61" s="31"/>
      <c r="D61" s="31"/>
      <c r="I61" s="74"/>
      <c r="J61" s="74"/>
      <c r="K61" s="74"/>
    </row>
    <row r="62" spans="1:18" x14ac:dyDescent="0.25">
      <c r="A62" s="30" t="s">
        <v>27</v>
      </c>
      <c r="B62" s="31">
        <f>SUMSQ(B41:D58)-B61</f>
        <v>378569.32768332213</v>
      </c>
      <c r="C62" s="30" t="s">
        <v>28</v>
      </c>
      <c r="D62" s="31">
        <f>(SUMSQ(B59:D59)/18)-B61</f>
        <v>929.43007777258754</v>
      </c>
      <c r="I62" s="74"/>
      <c r="J62" s="74"/>
      <c r="K62" s="74"/>
    </row>
    <row r="63" spans="1:18" x14ac:dyDescent="0.25">
      <c r="A63" s="30" t="s">
        <v>30</v>
      </c>
      <c r="B63" s="31">
        <f>(SUMSQ(E41:E58)/3)-B61</f>
        <v>337031.24461666495</v>
      </c>
      <c r="C63" s="30" t="s">
        <v>31</v>
      </c>
      <c r="D63" s="31">
        <f>B62-B63-D62</f>
        <v>40608.652988884598</v>
      </c>
      <c r="I63" s="74"/>
      <c r="J63" s="74"/>
      <c r="K63" s="74"/>
    </row>
    <row r="64" spans="1:18" x14ac:dyDescent="0.25">
      <c r="I64" s="74"/>
      <c r="J64" s="74"/>
      <c r="K64" s="74"/>
    </row>
    <row r="67" spans="1:19" x14ac:dyDescent="0.25">
      <c r="C67" s="66" t="s">
        <v>115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86</v>
      </c>
      <c r="B73" s="51">
        <v>515.86</v>
      </c>
      <c r="C73" s="51">
        <v>607.84</v>
      </c>
      <c r="D73" s="51">
        <v>796.58</v>
      </c>
      <c r="E73" s="31">
        <f>SUM(B73:D73)</f>
        <v>1920.2800000000002</v>
      </c>
      <c r="F73" s="31">
        <f>E73/3</f>
        <v>640.09333333333336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31">
        <f>SUM(F73:F81)/9</f>
        <v>869.92259259259254</v>
      </c>
      <c r="Q73" s="49">
        <f>RANK(P73,P$73:P$74,0)</f>
        <v>1</v>
      </c>
      <c r="R73" s="41"/>
      <c r="S73" s="41"/>
    </row>
    <row r="74" spans="1:19" x14ac:dyDescent="0.25">
      <c r="A74" s="32" t="s">
        <v>87</v>
      </c>
      <c r="B74" s="51">
        <v>889.69</v>
      </c>
      <c r="C74" s="51">
        <v>806.59</v>
      </c>
      <c r="D74" s="51">
        <v>978.59</v>
      </c>
      <c r="E74" s="31">
        <f t="shared" ref="E74:E90" si="15">SUM(B74:D74)</f>
        <v>2674.8700000000003</v>
      </c>
      <c r="F74" s="31">
        <f t="shared" ref="F74:F87" si="16">E74/3</f>
        <v>891.62333333333345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31">
        <f>SUM(F82:F90)/9</f>
        <v>830.79333333333329</v>
      </c>
      <c r="Q74" s="49">
        <f>RANK(P74,P$73:P$74,0)</f>
        <v>2</v>
      </c>
      <c r="R74" s="41"/>
      <c r="S74" s="41"/>
    </row>
    <row r="75" spans="1:19" x14ac:dyDescent="0.25">
      <c r="A75" s="32" t="s">
        <v>88</v>
      </c>
      <c r="B75" s="51">
        <v>889.58</v>
      </c>
      <c r="C75" s="51">
        <v>985.59</v>
      </c>
      <c r="D75" s="51">
        <v>946.58</v>
      </c>
      <c r="E75" s="31">
        <f t="shared" si="15"/>
        <v>2821.75</v>
      </c>
      <c r="F75" s="31">
        <f t="shared" si="16"/>
        <v>940.58333333333337</v>
      </c>
      <c r="G75" s="31" t="s">
        <v>13</v>
      </c>
      <c r="H75" s="31">
        <f>B71-1</f>
        <v>2</v>
      </c>
      <c r="I75" s="31">
        <f>D94</f>
        <v>91242.814681477845</v>
      </c>
      <c r="J75" s="31">
        <f>I75/H75</f>
        <v>45621.407340738922</v>
      </c>
      <c r="K75" s="31">
        <f>J75/$J$16</f>
        <v>278.49006684319755</v>
      </c>
      <c r="L75" s="31">
        <f>FINV(0.05,H75,$H$16)</f>
        <v>3.275897990672394</v>
      </c>
      <c r="M75" s="31" t="str">
        <f>IF(K75&gt;=L75, "S", "NS")</f>
        <v>S</v>
      </c>
      <c r="N75" s="39"/>
      <c r="O75" s="30" t="s">
        <v>14</v>
      </c>
      <c r="P75" s="42">
        <f>SQRT(J80/(3*9))</f>
        <v>13.143212003554073</v>
      </c>
      <c r="R75" s="41"/>
      <c r="S75" s="41"/>
    </row>
    <row r="76" spans="1:19" x14ac:dyDescent="0.25">
      <c r="A76" s="32" t="s">
        <v>89</v>
      </c>
      <c r="B76" s="51">
        <v>786.59</v>
      </c>
      <c r="C76" s="51">
        <v>823.45</v>
      </c>
      <c r="D76" s="51">
        <v>926.54</v>
      </c>
      <c r="E76" s="31">
        <f t="shared" si="15"/>
        <v>2536.58</v>
      </c>
      <c r="F76" s="31">
        <f t="shared" si="16"/>
        <v>845.52666666666664</v>
      </c>
      <c r="G76" s="31" t="s">
        <v>15</v>
      </c>
      <c r="H76" s="31">
        <f>D70-1</f>
        <v>17</v>
      </c>
      <c r="I76" s="31">
        <f>B95</f>
        <v>470362.3488092497</v>
      </c>
      <c r="J76" s="31">
        <f t="shared" ref="J76:J80" si="17">I76/H76</f>
        <v>27668.373459367631</v>
      </c>
      <c r="K76" s="31">
        <f>J76/$J$16</f>
        <v>168.89805955769188</v>
      </c>
      <c r="L76" s="31">
        <f>FINV(0.05,H76,$H$16)</f>
        <v>1.9332068318040869</v>
      </c>
      <c r="M76" s="43" t="str">
        <f t="shared" ref="M76" si="18">IF(K76&gt;=L76, "S", "NS")</f>
        <v>S</v>
      </c>
      <c r="N76" s="30" t="s">
        <v>113</v>
      </c>
      <c r="O76" s="30" t="s">
        <v>16</v>
      </c>
      <c r="P76" s="42">
        <f>SQRT((2*J80)/(3*9))*L81</f>
        <v>37.773955984697118</v>
      </c>
      <c r="R76" s="41"/>
      <c r="S76" s="41"/>
    </row>
    <row r="77" spans="1:19" x14ac:dyDescent="0.25">
      <c r="A77" s="32" t="s">
        <v>90</v>
      </c>
      <c r="B77" s="51">
        <v>886.59</v>
      </c>
      <c r="C77" s="51">
        <v>996.25</v>
      </c>
      <c r="D77" s="51">
        <v>900.26</v>
      </c>
      <c r="E77" s="31">
        <f t="shared" si="15"/>
        <v>2783.1000000000004</v>
      </c>
      <c r="F77" s="31">
        <f t="shared" si="16"/>
        <v>927.70000000000016</v>
      </c>
      <c r="G77" s="31" t="s">
        <v>108</v>
      </c>
      <c r="H77" s="31">
        <f>B69-1</f>
        <v>1</v>
      </c>
      <c r="I77" s="31">
        <f>(SUM(E73:E81)^2+SUM(E82:E90)^2)/27-B93</f>
        <v>20669.835557386279</v>
      </c>
      <c r="J77" s="31">
        <f t="shared" si="17"/>
        <v>20669.835557386279</v>
      </c>
      <c r="K77" s="31">
        <f>J77/$J$16</f>
        <v>126.17637687108606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31">
        <f>(F73+F82)/2</f>
        <v>623.43333333333339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91</v>
      </c>
      <c r="B78" s="51">
        <v>859.62</v>
      </c>
      <c r="C78" s="51">
        <v>995.56</v>
      </c>
      <c r="D78" s="51">
        <v>1052.1600000000001</v>
      </c>
      <c r="E78" s="31">
        <f t="shared" si="15"/>
        <v>2907.34</v>
      </c>
      <c r="F78" s="31">
        <f t="shared" si="16"/>
        <v>969.11333333333334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177942383.49599257</v>
      </c>
      <c r="J78" s="31">
        <f t="shared" si="17"/>
        <v>22242797.936999071</v>
      </c>
      <c r="K78" s="31">
        <f>J78/$J$16</f>
        <v>135778.32524958398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31">
        <f t="shared" ref="P78:P85" si="19">(F74+F83)/2</f>
        <v>865.36833333333334</v>
      </c>
      <c r="Q78" s="49">
        <f t="shared" ref="Q78:Q84" si="20">RANK(P78,P$77:P$85,0)</f>
        <v>5</v>
      </c>
      <c r="R78" s="53">
        <v>5</v>
      </c>
      <c r="S78" s="41"/>
    </row>
    <row r="79" spans="1:19" x14ac:dyDescent="0.25">
      <c r="A79" s="32" t="s">
        <v>92</v>
      </c>
      <c r="B79" s="51">
        <v>803.26</v>
      </c>
      <c r="C79" s="51">
        <v>916.56</v>
      </c>
      <c r="D79" s="51">
        <v>832.56</v>
      </c>
      <c r="E79" s="31">
        <f t="shared" si="15"/>
        <v>2552.38</v>
      </c>
      <c r="F79" s="31">
        <f t="shared" si="16"/>
        <v>850.79333333333341</v>
      </c>
      <c r="G79" s="26" t="s">
        <v>110</v>
      </c>
      <c r="H79" s="31">
        <f>H77*H78</f>
        <v>8</v>
      </c>
      <c r="I79" s="31">
        <f>I76-(I77+I78)</f>
        <v>-177492690.9827407</v>
      </c>
      <c r="J79" s="31">
        <f t="shared" si="17"/>
        <v>-22186586.372842588</v>
      </c>
      <c r="K79" s="44">
        <f>J79/$J$16</f>
        <v>-135435.18892013279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31">
        <f t="shared" si="19"/>
        <v>917.62666666666667</v>
      </c>
      <c r="Q79" s="49">
        <f t="shared" si="20"/>
        <v>2</v>
      </c>
      <c r="R79" s="53">
        <v>2</v>
      </c>
      <c r="S79" s="41"/>
    </row>
    <row r="80" spans="1:19" x14ac:dyDescent="0.25">
      <c r="A80" s="32" t="s">
        <v>93</v>
      </c>
      <c r="B80" s="51">
        <v>914.56</v>
      </c>
      <c r="C80" s="51">
        <v>913.56</v>
      </c>
      <c r="D80" s="51">
        <v>942.57</v>
      </c>
      <c r="E80" s="31">
        <f t="shared" si="15"/>
        <v>2770.69</v>
      </c>
      <c r="F80" s="31">
        <f t="shared" si="16"/>
        <v>923.56333333333339</v>
      </c>
      <c r="G80" s="45" t="s">
        <v>23</v>
      </c>
      <c r="H80" s="31">
        <f>((B71-1)*(B69*B70-1))</f>
        <v>34</v>
      </c>
      <c r="I80" s="31">
        <f>D95</f>
        <v>158579.01198519766</v>
      </c>
      <c r="J80" s="31">
        <f t="shared" si="17"/>
        <v>4664.0885877999317</v>
      </c>
      <c r="O80" s="33">
        <v>4</v>
      </c>
      <c r="P80" s="31">
        <f t="shared" si="19"/>
        <v>823.68166666666662</v>
      </c>
      <c r="Q80" s="49">
        <f t="shared" si="20"/>
        <v>7</v>
      </c>
      <c r="R80" s="53">
        <v>7</v>
      </c>
      <c r="S80" s="41"/>
    </row>
    <row r="81" spans="1:18" x14ac:dyDescent="0.25">
      <c r="A81" s="32" t="s">
        <v>94</v>
      </c>
      <c r="B81" s="51">
        <v>768.59</v>
      </c>
      <c r="C81" s="51">
        <v>846.65</v>
      </c>
      <c r="D81" s="51">
        <v>905.68</v>
      </c>
      <c r="E81" s="31">
        <f t="shared" si="15"/>
        <v>2520.92</v>
      </c>
      <c r="F81" s="31">
        <f t="shared" si="16"/>
        <v>840.30666666666673</v>
      </c>
      <c r="G81" s="44" t="s">
        <v>4</v>
      </c>
      <c r="H81" s="31">
        <f>SUM(H75:H80)-H76</f>
        <v>53</v>
      </c>
      <c r="I81" s="31">
        <f>B94</f>
        <v>720184.17547592521</v>
      </c>
      <c r="K81" s="31" t="s">
        <v>111</v>
      </c>
      <c r="L81" s="41">
        <f>TINV(0.05,34)</f>
        <v>2.0322445093177191</v>
      </c>
      <c r="O81" s="33">
        <v>5</v>
      </c>
      <c r="P81" s="31">
        <f t="shared" si="19"/>
        <v>913.62000000000012</v>
      </c>
      <c r="Q81" s="49">
        <f t="shared" si="20"/>
        <v>3</v>
      </c>
      <c r="R81" s="52">
        <v>3</v>
      </c>
    </row>
    <row r="82" spans="1:18" x14ac:dyDescent="0.25">
      <c r="A82" s="32" t="s">
        <v>95</v>
      </c>
      <c r="B82" s="51">
        <v>525.48</v>
      </c>
      <c r="C82" s="51">
        <v>559.55999999999995</v>
      </c>
      <c r="D82" s="51">
        <v>735.28</v>
      </c>
      <c r="E82" s="31">
        <f t="shared" si="15"/>
        <v>1820.32</v>
      </c>
      <c r="F82" s="31">
        <f t="shared" si="16"/>
        <v>606.77333333333331</v>
      </c>
      <c r="G82" s="34" t="s">
        <v>14</v>
      </c>
      <c r="H82" s="31">
        <f>SQRT(J80/3)</f>
        <v>39.429636010662215</v>
      </c>
      <c r="O82" s="33">
        <v>6</v>
      </c>
      <c r="P82" s="31">
        <f t="shared" si="19"/>
        <v>945.73333333333335</v>
      </c>
      <c r="Q82" s="49">
        <f t="shared" si="20"/>
        <v>1</v>
      </c>
      <c r="R82" s="53">
        <v>1</v>
      </c>
    </row>
    <row r="83" spans="1:18" x14ac:dyDescent="0.25">
      <c r="A83" s="32" t="s">
        <v>96</v>
      </c>
      <c r="B83" s="51">
        <v>765.98</v>
      </c>
      <c r="C83" s="51">
        <v>952.68</v>
      </c>
      <c r="D83" s="51">
        <v>798.68</v>
      </c>
      <c r="E83" s="31">
        <f t="shared" si="15"/>
        <v>2517.3399999999997</v>
      </c>
      <c r="F83" s="31">
        <f t="shared" si="16"/>
        <v>839.11333333333323</v>
      </c>
      <c r="G83" s="34" t="s">
        <v>16</v>
      </c>
      <c r="H83" s="31">
        <f>(SQRT((2*J80)/3))*L81</f>
        <v>113.32186795409135</v>
      </c>
      <c r="O83" s="33">
        <v>7</v>
      </c>
      <c r="P83" s="31">
        <f t="shared" si="19"/>
        <v>838.98666666666668</v>
      </c>
      <c r="Q83" s="49">
        <f t="shared" si="20"/>
        <v>6</v>
      </c>
      <c r="R83" s="53">
        <v>6</v>
      </c>
    </row>
    <row r="84" spans="1:18" x14ac:dyDescent="0.25">
      <c r="A84" s="32" t="s">
        <v>97</v>
      </c>
      <c r="B84" s="51">
        <v>801.56</v>
      </c>
      <c r="C84" s="51">
        <v>992.56</v>
      </c>
      <c r="D84" s="51">
        <v>889.89</v>
      </c>
      <c r="E84" s="31">
        <f t="shared" si="15"/>
        <v>2684.0099999999998</v>
      </c>
      <c r="F84" s="31">
        <f t="shared" si="16"/>
        <v>894.67</v>
      </c>
      <c r="G84" s="34" t="s">
        <v>29</v>
      </c>
      <c r="H84" s="31">
        <f>((SQRT(J80))/F91)*100</f>
        <v>8.0312216582828526</v>
      </c>
      <c r="O84" s="33">
        <v>8</v>
      </c>
      <c r="P84" s="31">
        <f t="shared" si="19"/>
        <v>908.53333333333342</v>
      </c>
      <c r="Q84" s="49">
        <f t="shared" si="20"/>
        <v>4</v>
      </c>
      <c r="R84" s="52">
        <v>4</v>
      </c>
    </row>
    <row r="85" spans="1:18" x14ac:dyDescent="0.25">
      <c r="A85" s="32" t="s">
        <v>98</v>
      </c>
      <c r="B85" s="51">
        <v>715.68</v>
      </c>
      <c r="C85" s="51">
        <v>796.58</v>
      </c>
      <c r="D85" s="51">
        <v>893.25</v>
      </c>
      <c r="E85" s="31">
        <f t="shared" si="15"/>
        <v>2405.5100000000002</v>
      </c>
      <c r="F85" s="31">
        <f t="shared" si="16"/>
        <v>801.8366666666667</v>
      </c>
      <c r="O85" s="33">
        <v>9</v>
      </c>
      <c r="P85" s="31">
        <f t="shared" si="19"/>
        <v>816.23833333333334</v>
      </c>
      <c r="Q85" s="49">
        <f>RANK(P85,P$77:P$85,0)</f>
        <v>8</v>
      </c>
      <c r="R85" s="53">
        <v>8</v>
      </c>
    </row>
    <row r="86" spans="1:18" x14ac:dyDescent="0.25">
      <c r="A86" s="32" t="s">
        <v>99</v>
      </c>
      <c r="B86" s="51">
        <v>815.68</v>
      </c>
      <c r="C86" s="51">
        <v>982.68</v>
      </c>
      <c r="D86" s="51">
        <v>900.26</v>
      </c>
      <c r="E86" s="31">
        <f t="shared" si="15"/>
        <v>2698.62</v>
      </c>
      <c r="F86" s="31">
        <f t="shared" si="16"/>
        <v>899.54</v>
      </c>
      <c r="O86" s="30" t="s">
        <v>14</v>
      </c>
      <c r="P86" s="42">
        <f>SQRT(J80/(3*2))</f>
        <v>27.880963002856543</v>
      </c>
      <c r="Q86" s="49"/>
    </row>
    <row r="87" spans="1:18" x14ac:dyDescent="0.25">
      <c r="A87" s="32" t="s">
        <v>100</v>
      </c>
      <c r="B87" s="51">
        <v>901.26</v>
      </c>
      <c r="C87" s="51">
        <v>945.68</v>
      </c>
      <c r="D87" s="51">
        <v>920.12</v>
      </c>
      <c r="E87" s="31">
        <f t="shared" si="15"/>
        <v>2767.06</v>
      </c>
      <c r="F87" s="31">
        <f t="shared" si="16"/>
        <v>922.35333333333335</v>
      </c>
      <c r="N87" s="30" t="s">
        <v>109</v>
      </c>
      <c r="O87" s="30" t="s">
        <v>16</v>
      </c>
      <c r="P87" s="42">
        <f>SQRT((2*J80)/(3*2))*L81</f>
        <v>80.130661287064498</v>
      </c>
      <c r="Q87" s="49"/>
    </row>
    <row r="88" spans="1:18" x14ac:dyDescent="0.25">
      <c r="A88" s="32" t="s">
        <v>101</v>
      </c>
      <c r="B88" s="51">
        <v>789.69</v>
      </c>
      <c r="C88" s="51">
        <v>905.26</v>
      </c>
      <c r="D88" s="51">
        <v>786.59</v>
      </c>
      <c r="E88" s="31">
        <f t="shared" si="15"/>
        <v>2481.54</v>
      </c>
      <c r="F88" s="31">
        <f>E88/3</f>
        <v>827.18</v>
      </c>
      <c r="Q88" s="49"/>
    </row>
    <row r="89" spans="1:18" x14ac:dyDescent="0.25">
      <c r="A89" s="32" t="s">
        <v>102</v>
      </c>
      <c r="B89" s="51">
        <v>865.59</v>
      </c>
      <c r="C89" s="51">
        <v>822.36</v>
      </c>
      <c r="D89" s="51">
        <v>992.56</v>
      </c>
      <c r="E89" s="31">
        <f t="shared" si="15"/>
        <v>2680.51</v>
      </c>
      <c r="F89" s="31">
        <f t="shared" ref="F89:F90" si="22">E89/3</f>
        <v>893.50333333333344</v>
      </c>
    </row>
    <row r="90" spans="1:18" x14ac:dyDescent="0.25">
      <c r="A90" s="32" t="s">
        <v>103</v>
      </c>
      <c r="B90" s="51">
        <v>769.59</v>
      </c>
      <c r="C90" s="51">
        <v>891.24</v>
      </c>
      <c r="D90" s="51">
        <v>715.68</v>
      </c>
      <c r="E90" s="31">
        <f t="shared" si="15"/>
        <v>2376.5099999999998</v>
      </c>
      <c r="F90" s="31">
        <f t="shared" si="22"/>
        <v>792.17</v>
      </c>
    </row>
    <row r="91" spans="1:18" x14ac:dyDescent="0.25">
      <c r="A91" s="30" t="s">
        <v>4</v>
      </c>
      <c r="B91" s="31">
        <f>SUM(B73:B90)</f>
        <v>14264.85</v>
      </c>
      <c r="C91" s="31">
        <f t="shared" ref="C91:D91" si="23">SUM(C73:C90)</f>
        <v>15740.65</v>
      </c>
      <c r="D91" s="31">
        <f t="shared" si="23"/>
        <v>15913.830000000002</v>
      </c>
      <c r="E91" s="31">
        <f>SUM(E73:E90)</f>
        <v>45919.33</v>
      </c>
      <c r="F91" s="31">
        <f>AVERAGE(B73:D90)</f>
        <v>850.35796296296314</v>
      </c>
    </row>
    <row r="92" spans="1:18" x14ac:dyDescent="0.25">
      <c r="A92" s="30" t="s">
        <v>5</v>
      </c>
      <c r="B92" s="31">
        <f>B91/18</f>
        <v>792.49166666666667</v>
      </c>
      <c r="C92" s="31">
        <f>C91/18</f>
        <v>874.4805555555555</v>
      </c>
      <c r="D92" s="31">
        <f>D91/18</f>
        <v>884.1016666666668</v>
      </c>
    </row>
    <row r="93" spans="1:18" x14ac:dyDescent="0.25">
      <c r="A93" s="30" t="s">
        <v>26</v>
      </c>
      <c r="B93" s="31">
        <f>(E91*E91)/54</f>
        <v>39047867.919424079</v>
      </c>
      <c r="C93" s="31"/>
      <c r="D93" s="31"/>
    </row>
    <row r="94" spans="1:18" x14ac:dyDescent="0.25">
      <c r="A94" s="30" t="s">
        <v>27</v>
      </c>
      <c r="B94" s="31">
        <f>SUMSQ(B73:D90)-B93</f>
        <v>720184.17547592521</v>
      </c>
      <c r="C94" s="30" t="s">
        <v>28</v>
      </c>
      <c r="D94" s="31">
        <f>(SUMSQ(B91:D91)/18)-B93</f>
        <v>91242.814681477845</v>
      </c>
    </row>
    <row r="95" spans="1:18" x14ac:dyDescent="0.25">
      <c r="A95" s="30" t="s">
        <v>30</v>
      </c>
      <c r="B95" s="31">
        <f>(SUMSQ(E73:E90)/3)-B93</f>
        <v>470362.3488092497</v>
      </c>
      <c r="C95" s="30" t="s">
        <v>31</v>
      </c>
      <c r="D95" s="31">
        <f>B94-B95-D94</f>
        <v>158579.01198519766</v>
      </c>
    </row>
    <row r="99" spans="1:18" x14ac:dyDescent="0.25">
      <c r="C99" s="66" t="s">
        <v>116</v>
      </c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  <c r="R104" s="41"/>
    </row>
    <row r="105" spans="1:18" x14ac:dyDescent="0.25">
      <c r="A105" s="32" t="s">
        <v>86</v>
      </c>
      <c r="B105" s="51">
        <v>597.76</v>
      </c>
      <c r="C105" s="51">
        <v>699.75</v>
      </c>
      <c r="D105" s="51">
        <v>883.08</v>
      </c>
      <c r="E105" s="31">
        <f>SUM(B105:D105)</f>
        <v>2180.59</v>
      </c>
      <c r="F105" s="31">
        <f>E105/3</f>
        <v>726.86333333333334</v>
      </c>
      <c r="H105" s="47"/>
      <c r="I105" s="47"/>
      <c r="J105" s="47" t="s">
        <v>6</v>
      </c>
      <c r="K105" s="47"/>
      <c r="L105" s="47"/>
      <c r="M105" s="47"/>
      <c r="N105" s="47"/>
      <c r="O105" s="33">
        <v>1</v>
      </c>
      <c r="P105" s="31">
        <f>SUM(F105:F113)/9</f>
        <v>1005.9592592592593</v>
      </c>
      <c r="Q105" s="49">
        <f>RANK(P105,P$105:P$106,0)</f>
        <v>1</v>
      </c>
      <c r="R105" s="41"/>
    </row>
    <row r="106" spans="1:18" x14ac:dyDescent="0.25">
      <c r="A106" s="32" t="s">
        <v>87</v>
      </c>
      <c r="B106" s="51">
        <v>1056.45</v>
      </c>
      <c r="C106" s="51">
        <v>999.02</v>
      </c>
      <c r="D106" s="51">
        <v>1111.06</v>
      </c>
      <c r="E106" s="31">
        <f t="shared" ref="E106:E122" si="24">SUM(B106:D106)</f>
        <v>3166.53</v>
      </c>
      <c r="F106" s="31">
        <f t="shared" ref="F106:F119" si="25">E106/3</f>
        <v>1055.51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2</v>
      </c>
      <c r="P106" s="31">
        <f>SUM(F114:F122)/9</f>
        <v>958.41888888888877</v>
      </c>
      <c r="Q106" s="49">
        <f>RANK(P106,P$105:P$106,0)</f>
        <v>2</v>
      </c>
      <c r="R106" s="41"/>
    </row>
    <row r="107" spans="1:18" x14ac:dyDescent="0.25">
      <c r="A107" s="32" t="s">
        <v>88</v>
      </c>
      <c r="B107" s="51">
        <v>987.79</v>
      </c>
      <c r="C107" s="51">
        <v>1038.08</v>
      </c>
      <c r="D107" s="51">
        <v>1200.06</v>
      </c>
      <c r="E107" s="31">
        <f t="shared" si="24"/>
        <v>3225.93</v>
      </c>
      <c r="F107" s="31">
        <f t="shared" si="25"/>
        <v>1075.31</v>
      </c>
      <c r="G107" s="31" t="s">
        <v>13</v>
      </c>
      <c r="H107" s="31">
        <f>B103-1</f>
        <v>2</v>
      </c>
      <c r="I107" s="31">
        <f>D126</f>
        <v>20805.400337055326</v>
      </c>
      <c r="J107" s="31">
        <f>I107/H107</f>
        <v>10402.700168527663</v>
      </c>
      <c r="K107" s="31">
        <f>J107/$J$16</f>
        <v>63.501957395689764</v>
      </c>
      <c r="L107" s="31">
        <f>FINV(0.05,H107,$H$16)</f>
        <v>3.275897990672394</v>
      </c>
      <c r="M107" s="31" t="str">
        <f>IF(K107&gt;=L107, "S", "NS")</f>
        <v>S</v>
      </c>
      <c r="N107" s="39"/>
      <c r="O107" s="30" t="s">
        <v>14</v>
      </c>
      <c r="P107" s="42">
        <f>SQRT(J112/(3*9))</f>
        <v>12.399399676662563</v>
      </c>
      <c r="R107" s="41"/>
    </row>
    <row r="108" spans="1:18" x14ac:dyDescent="0.25">
      <c r="A108" s="32" t="s">
        <v>89</v>
      </c>
      <c r="B108" s="51">
        <v>992.95</v>
      </c>
      <c r="C108" s="51">
        <v>968.39</v>
      </c>
      <c r="D108" s="51">
        <v>988.09</v>
      </c>
      <c r="E108" s="31">
        <f t="shared" si="24"/>
        <v>2949.4300000000003</v>
      </c>
      <c r="F108" s="31">
        <f t="shared" si="25"/>
        <v>983.14333333333343</v>
      </c>
      <c r="G108" s="31" t="s">
        <v>15</v>
      </c>
      <c r="H108" s="31">
        <f>D102-1</f>
        <v>17</v>
      </c>
      <c r="I108" s="31">
        <f>B127</f>
        <v>658647.85658705235</v>
      </c>
      <c r="J108" s="31">
        <f t="shared" ref="J108:J112" si="26">I108/H108</f>
        <v>38743.991563944255</v>
      </c>
      <c r="K108" s="31">
        <f>J108/$J$16</f>
        <v>236.50775873325694</v>
      </c>
      <c r="L108" s="31">
        <f>FINV(0.05,H108,$H$16)</f>
        <v>1.9332068318040869</v>
      </c>
      <c r="M108" s="43" t="str">
        <f t="shared" ref="M108" si="27">IF(K108&gt;=L108, "S", "NS")</f>
        <v>S</v>
      </c>
      <c r="N108" s="30" t="s">
        <v>113</v>
      </c>
      <c r="O108" s="30" t="s">
        <v>16</v>
      </c>
      <c r="P108" s="42">
        <f>SQRT((2*J112)/(3*9))*L113</f>
        <v>35.636218718549586</v>
      </c>
      <c r="R108" s="41"/>
    </row>
    <row r="109" spans="1:18" x14ac:dyDescent="0.25">
      <c r="A109" s="32" t="s">
        <v>90</v>
      </c>
      <c r="B109" s="51">
        <v>1087.49</v>
      </c>
      <c r="C109" s="51">
        <v>1067.3900000000001</v>
      </c>
      <c r="D109" s="51">
        <v>1073.48</v>
      </c>
      <c r="E109" s="31">
        <f t="shared" si="24"/>
        <v>3228.36</v>
      </c>
      <c r="F109" s="31">
        <f t="shared" si="25"/>
        <v>1076.1200000000001</v>
      </c>
      <c r="G109" s="31" t="s">
        <v>108</v>
      </c>
      <c r="H109" s="31">
        <f>B101-1</f>
        <v>1</v>
      </c>
      <c r="I109" s="31">
        <f>(SUM(E105:E113)^2+SUM(E114:E122)^2)/27-B125</f>
        <v>30511.172001861036</v>
      </c>
      <c r="J109" s="31">
        <f t="shared" si="26"/>
        <v>30511.172001861036</v>
      </c>
      <c r="K109" s="31">
        <f>J109/$J$16</f>
        <v>186.25156095688635</v>
      </c>
      <c r="L109" s="31">
        <f>FINV(0.05,H109,$H$16)</f>
        <v>4.1300177456520188</v>
      </c>
      <c r="M109" s="31" t="str">
        <f>IF(K109&gt;=L109, "S", "NS")</f>
        <v>S</v>
      </c>
      <c r="N109" s="39"/>
      <c r="O109" s="33">
        <v>1</v>
      </c>
      <c r="P109" s="31">
        <f>(F105+F114)/2</f>
        <v>699.43499999999995</v>
      </c>
      <c r="Q109" s="49">
        <f>RANK(P109,P$109:P$117,0)</f>
        <v>9</v>
      </c>
      <c r="R109" s="52">
        <v>9</v>
      </c>
    </row>
    <row r="110" spans="1:18" x14ac:dyDescent="0.25">
      <c r="A110" s="32" t="s">
        <v>91</v>
      </c>
      <c r="B110" s="51">
        <v>1113.18</v>
      </c>
      <c r="C110" s="51">
        <v>1086.08</v>
      </c>
      <c r="D110" s="51">
        <v>1103.18</v>
      </c>
      <c r="E110" s="31">
        <f t="shared" si="24"/>
        <v>3302.4400000000005</v>
      </c>
      <c r="F110" s="31">
        <f t="shared" si="25"/>
        <v>1100.8133333333335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237045921.40565369</v>
      </c>
      <c r="J110" s="31">
        <f t="shared" si="26"/>
        <v>29630740.175706711</v>
      </c>
      <c r="K110" s="31">
        <f>J110/$J$16</f>
        <v>180877.07708168932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31">
        <f t="shared" ref="P110:P117" si="28">(F106+F115)/2</f>
        <v>1028.8616666666667</v>
      </c>
      <c r="Q110" s="49">
        <f t="shared" ref="Q110:Q117" si="29">RANK(P110,P$109:P$117,0)</f>
        <v>5</v>
      </c>
      <c r="R110" s="53">
        <v>5</v>
      </c>
    </row>
    <row r="111" spans="1:18" x14ac:dyDescent="0.25">
      <c r="A111" s="32" t="s">
        <v>92</v>
      </c>
      <c r="B111" s="51">
        <v>993.19</v>
      </c>
      <c r="C111" s="51">
        <v>1078.3499999999999</v>
      </c>
      <c r="D111" s="51">
        <v>918.06</v>
      </c>
      <c r="E111" s="31">
        <f t="shared" si="24"/>
        <v>2989.6</v>
      </c>
      <c r="F111" s="31">
        <f t="shared" si="25"/>
        <v>996.5333333333333</v>
      </c>
      <c r="G111" s="26" t="s">
        <v>110</v>
      </c>
      <c r="H111" s="31">
        <f>H109*H110</f>
        <v>8</v>
      </c>
      <c r="I111" s="31">
        <f>I108-(I109+I110)</f>
        <v>-236417784.7210685</v>
      </c>
      <c r="J111" s="31">
        <f t="shared" si="26"/>
        <v>-29552223.090133563</v>
      </c>
      <c r="K111" s="44">
        <f>J111/$J$16</f>
        <v>-180397.77953950077</v>
      </c>
      <c r="L111" s="31">
        <f>FINV(0.05,H111,$H$16)</f>
        <v>2.2253399674380931</v>
      </c>
      <c r="M111" s="31" t="str">
        <f t="shared" ref="M111" si="30">IF(K111&gt;=L111, "S", "NS")</f>
        <v>NS</v>
      </c>
      <c r="N111" s="39"/>
      <c r="O111" s="33">
        <v>3</v>
      </c>
      <c r="P111" s="31">
        <f t="shared" si="28"/>
        <v>1048.5733333333333</v>
      </c>
      <c r="Q111" s="49">
        <f t="shared" si="29"/>
        <v>2</v>
      </c>
      <c r="R111" s="53">
        <v>2</v>
      </c>
    </row>
    <row r="112" spans="1:18" x14ac:dyDescent="0.25">
      <c r="A112" s="32" t="s">
        <v>93</v>
      </c>
      <c r="B112" s="51">
        <v>1069.0899999999999</v>
      </c>
      <c r="C112" s="51">
        <v>1053.3900000000001</v>
      </c>
      <c r="D112" s="51">
        <v>1063.3399999999999</v>
      </c>
      <c r="E112" s="31">
        <f t="shared" si="24"/>
        <v>3185.8199999999997</v>
      </c>
      <c r="F112" s="31">
        <f t="shared" si="25"/>
        <v>1061.9399999999998</v>
      </c>
      <c r="G112" s="45" t="s">
        <v>23</v>
      </c>
      <c r="H112" s="31">
        <f>((B103-1)*(B101*B102-1))</f>
        <v>34</v>
      </c>
      <c r="I112" s="31">
        <f>D127</f>
        <v>141138.01312960684</v>
      </c>
      <c r="J112" s="31">
        <f t="shared" si="26"/>
        <v>4151.1180332237309</v>
      </c>
      <c r="O112" s="33">
        <v>4</v>
      </c>
      <c r="P112" s="31">
        <f t="shared" si="28"/>
        <v>967.07166666666672</v>
      </c>
      <c r="Q112" s="49">
        <f t="shared" si="29"/>
        <v>7</v>
      </c>
      <c r="R112" s="53">
        <v>7</v>
      </c>
    </row>
    <row r="113" spans="1:18" x14ac:dyDescent="0.25">
      <c r="A113" s="32" t="s">
        <v>94</v>
      </c>
      <c r="B113" s="51">
        <v>986.07</v>
      </c>
      <c r="C113" s="51">
        <v>958.35</v>
      </c>
      <c r="D113" s="51">
        <v>987.78</v>
      </c>
      <c r="E113" s="31">
        <f t="shared" si="24"/>
        <v>2932.2</v>
      </c>
      <c r="F113" s="31">
        <f t="shared" si="25"/>
        <v>977.4</v>
      </c>
      <c r="G113" s="44" t="s">
        <v>4</v>
      </c>
      <c r="H113" s="31">
        <f>SUM(H107:H112)-H108</f>
        <v>53</v>
      </c>
      <c r="I113" s="31">
        <f>B126</f>
        <v>820591.27005371451</v>
      </c>
      <c r="K113" s="31" t="s">
        <v>111</v>
      </c>
      <c r="L113" s="41">
        <f>TINV(0.05,34)</f>
        <v>2.0322445093177191</v>
      </c>
      <c r="O113" s="33">
        <v>5</v>
      </c>
      <c r="P113" s="31">
        <f t="shared" si="28"/>
        <v>1048.0666666666666</v>
      </c>
      <c r="Q113" s="49">
        <f t="shared" si="29"/>
        <v>3</v>
      </c>
      <c r="R113" s="52">
        <v>3</v>
      </c>
    </row>
    <row r="114" spans="1:18" x14ac:dyDescent="0.25">
      <c r="A114" s="32" t="s">
        <v>95</v>
      </c>
      <c r="B114" s="51">
        <v>612.52</v>
      </c>
      <c r="C114" s="51">
        <v>652.25</v>
      </c>
      <c r="D114" s="51">
        <v>751.25</v>
      </c>
      <c r="E114" s="31">
        <f t="shared" si="24"/>
        <v>2016.02</v>
      </c>
      <c r="F114" s="31">
        <f t="shared" si="25"/>
        <v>672.00666666666666</v>
      </c>
      <c r="G114" s="34" t="s">
        <v>14</v>
      </c>
      <c r="H114" s="31">
        <f>SQRT(J112/3)</f>
        <v>37.198199029987691</v>
      </c>
      <c r="O114" s="33">
        <v>6</v>
      </c>
      <c r="P114" s="31">
        <f t="shared" si="28"/>
        <v>1074.8383333333334</v>
      </c>
      <c r="Q114" s="49">
        <f t="shared" si="29"/>
        <v>1</v>
      </c>
      <c r="R114" s="53">
        <v>1</v>
      </c>
    </row>
    <row r="115" spans="1:18" x14ac:dyDescent="0.25">
      <c r="A115" s="32" t="s">
        <v>96</v>
      </c>
      <c r="B115" s="51">
        <v>921.54</v>
      </c>
      <c r="C115" s="51">
        <v>961.25</v>
      </c>
      <c r="D115" s="51">
        <v>1123.8499999999999</v>
      </c>
      <c r="E115" s="31">
        <f t="shared" si="24"/>
        <v>3006.64</v>
      </c>
      <c r="F115" s="31">
        <f t="shared" si="25"/>
        <v>1002.2133333333333</v>
      </c>
      <c r="G115" s="34" t="s">
        <v>16</v>
      </c>
      <c r="H115" s="31">
        <f>(SQRT((2*J112)/3))*L113</f>
        <v>106.90865615564877</v>
      </c>
      <c r="O115" s="33">
        <v>7</v>
      </c>
      <c r="P115" s="31">
        <f t="shared" si="28"/>
        <v>976.42999999999984</v>
      </c>
      <c r="Q115" s="49">
        <f t="shared" si="29"/>
        <v>6</v>
      </c>
      <c r="R115" s="53">
        <v>6</v>
      </c>
    </row>
    <row r="116" spans="1:18" x14ac:dyDescent="0.25">
      <c r="A116" s="32" t="s">
        <v>97</v>
      </c>
      <c r="B116" s="51">
        <v>971.15</v>
      </c>
      <c r="C116" s="51">
        <v>1013.1799999999998</v>
      </c>
      <c r="D116" s="51">
        <v>1081.1799999999998</v>
      </c>
      <c r="E116" s="31">
        <f t="shared" si="24"/>
        <v>3065.5099999999998</v>
      </c>
      <c r="F116" s="31">
        <f t="shared" si="25"/>
        <v>1021.8366666666666</v>
      </c>
      <c r="G116" s="34" t="s">
        <v>29</v>
      </c>
      <c r="H116" s="31">
        <f>((SQRT(J112))/F123)*100</f>
        <v>6.5597523298389833</v>
      </c>
      <c r="O116" s="33">
        <v>8</v>
      </c>
      <c r="P116" s="31">
        <f t="shared" si="28"/>
        <v>1044.5049999999999</v>
      </c>
      <c r="Q116" s="49">
        <f t="shared" si="29"/>
        <v>4</v>
      </c>
      <c r="R116" s="52">
        <v>4</v>
      </c>
    </row>
    <row r="117" spans="1:18" x14ac:dyDescent="0.25">
      <c r="A117" s="32" t="s">
        <v>98</v>
      </c>
      <c r="B117" s="51">
        <v>924.56</v>
      </c>
      <c r="C117" s="51">
        <v>1001.58</v>
      </c>
      <c r="D117" s="51">
        <v>926.86</v>
      </c>
      <c r="E117" s="31">
        <f t="shared" si="24"/>
        <v>2853</v>
      </c>
      <c r="F117" s="31">
        <f t="shared" si="25"/>
        <v>951</v>
      </c>
      <c r="O117" s="33">
        <v>9</v>
      </c>
      <c r="P117" s="31">
        <f t="shared" si="28"/>
        <v>951.92000000000007</v>
      </c>
      <c r="Q117" s="49">
        <f t="shared" si="29"/>
        <v>8</v>
      </c>
      <c r="R117" s="53">
        <v>8</v>
      </c>
    </row>
    <row r="118" spans="1:18" x14ac:dyDescent="0.25">
      <c r="A118" s="32" t="s">
        <v>99</v>
      </c>
      <c r="B118" s="51">
        <v>989.56</v>
      </c>
      <c r="C118" s="51">
        <v>1081.29</v>
      </c>
      <c r="D118" s="51">
        <v>989.18999999999994</v>
      </c>
      <c r="E118" s="31">
        <f t="shared" si="24"/>
        <v>3060.04</v>
      </c>
      <c r="F118" s="31">
        <f t="shared" si="25"/>
        <v>1020.0133333333333</v>
      </c>
      <c r="O118" s="30" t="s">
        <v>14</v>
      </c>
      <c r="P118" s="42">
        <f>SQRT(J112/(3*2))</f>
        <v>26.303098782031149</v>
      </c>
      <c r="Q118" s="49"/>
    </row>
    <row r="119" spans="1:18" x14ac:dyDescent="0.25">
      <c r="A119" s="32" t="s">
        <v>100</v>
      </c>
      <c r="B119" s="51">
        <v>1081.58</v>
      </c>
      <c r="C119" s="51">
        <v>983.15999999999985</v>
      </c>
      <c r="D119" s="51">
        <v>1081.8499999999999</v>
      </c>
      <c r="E119" s="31">
        <f t="shared" si="24"/>
        <v>3146.5899999999997</v>
      </c>
      <c r="F119" s="31">
        <f t="shared" si="25"/>
        <v>1048.8633333333332</v>
      </c>
      <c r="N119" s="30" t="s">
        <v>109</v>
      </c>
      <c r="O119" s="30" t="s">
        <v>16</v>
      </c>
      <c r="P119" s="42">
        <f>SQRT((2*J112)/(3*2))*L113</f>
        <v>75.595835735200183</v>
      </c>
      <c r="Q119" s="49"/>
    </row>
    <row r="120" spans="1:18" x14ac:dyDescent="0.25">
      <c r="A120" s="32" t="s">
        <v>101</v>
      </c>
      <c r="B120" s="51">
        <v>1001.54</v>
      </c>
      <c r="C120" s="51">
        <v>936.58</v>
      </c>
      <c r="D120" s="51">
        <v>930.8599999999999</v>
      </c>
      <c r="E120" s="31">
        <f t="shared" si="24"/>
        <v>2868.9799999999996</v>
      </c>
      <c r="F120" s="31">
        <f>E120/3</f>
        <v>956.32666666666648</v>
      </c>
      <c r="Q120" s="49"/>
    </row>
    <row r="121" spans="1:18" x14ac:dyDescent="0.25">
      <c r="A121" s="32" t="s">
        <v>102</v>
      </c>
      <c r="B121" s="51">
        <v>1101.8599999999999</v>
      </c>
      <c r="C121" s="51">
        <v>930.15999999999985</v>
      </c>
      <c r="D121" s="51">
        <v>1049.1899999999998</v>
      </c>
      <c r="E121" s="31">
        <f t="shared" si="24"/>
        <v>3081.2099999999996</v>
      </c>
      <c r="F121" s="31">
        <f t="shared" ref="F121:F122" si="31">E121/3</f>
        <v>1027.07</v>
      </c>
    </row>
    <row r="122" spans="1:18" x14ac:dyDescent="0.25">
      <c r="A122" s="32" t="s">
        <v>103</v>
      </c>
      <c r="B122" s="51">
        <v>951.15</v>
      </c>
      <c r="C122" s="51">
        <v>911.59</v>
      </c>
      <c r="D122" s="51">
        <v>916.58</v>
      </c>
      <c r="E122" s="31">
        <f t="shared" si="24"/>
        <v>2779.32</v>
      </c>
      <c r="F122" s="31">
        <f t="shared" si="31"/>
        <v>926.44</v>
      </c>
    </row>
    <row r="123" spans="1:18" x14ac:dyDescent="0.25">
      <c r="A123" s="30" t="s">
        <v>4</v>
      </c>
      <c r="B123" s="31">
        <f>SUM(B105:B122)</f>
        <v>17439.43</v>
      </c>
      <c r="C123" s="31">
        <f t="shared" ref="C123:D123" si="32">SUM(C105:C122)</f>
        <v>17419.84</v>
      </c>
      <c r="D123" s="31">
        <f t="shared" si="32"/>
        <v>18178.940000000006</v>
      </c>
      <c r="E123" s="31">
        <f>SUM(E105:E122)</f>
        <v>53038.209999999992</v>
      </c>
      <c r="F123" s="31">
        <f>AVERAGE(B105:D122)</f>
        <v>982.18907407407403</v>
      </c>
    </row>
    <row r="124" spans="1:18" x14ac:dyDescent="0.25">
      <c r="A124" s="30" t="s">
        <v>5</v>
      </c>
      <c r="B124" s="31">
        <f>B123/18</f>
        <v>968.85722222222228</v>
      </c>
      <c r="C124" s="31">
        <f>C123/18</f>
        <v>967.76888888888891</v>
      </c>
      <c r="D124" s="31">
        <f>D123/18</f>
        <v>1009.9411111111115</v>
      </c>
    </row>
    <row r="125" spans="1:18" x14ac:dyDescent="0.25">
      <c r="A125" s="30" t="s">
        <v>26</v>
      </c>
      <c r="B125" s="31">
        <f>(E123*E123)/54</f>
        <v>52093550.370446287</v>
      </c>
      <c r="C125" s="31"/>
      <c r="D125" s="31"/>
    </row>
    <row r="126" spans="1:18" x14ac:dyDescent="0.25">
      <c r="A126" s="30" t="s">
        <v>27</v>
      </c>
      <c r="B126" s="31">
        <f>SUMSQ(B105:D122)-B125</f>
        <v>820591.27005371451</v>
      </c>
      <c r="C126" s="30" t="s">
        <v>28</v>
      </c>
      <c r="D126" s="31">
        <f>(SUMSQ(B123:D123)/18)-B125</f>
        <v>20805.400337055326</v>
      </c>
    </row>
    <row r="127" spans="1:18" x14ac:dyDescent="0.25">
      <c r="A127" s="30" t="s">
        <v>30</v>
      </c>
      <c r="B127" s="31">
        <f>(SUMSQ(E105:E122)/3)-B125</f>
        <v>658647.85658705235</v>
      </c>
      <c r="C127" s="30" t="s">
        <v>31</v>
      </c>
      <c r="D127" s="31">
        <f>B126-B127-D126</f>
        <v>141138.01312960684</v>
      </c>
    </row>
    <row r="131" spans="1:18" x14ac:dyDescent="0.25">
      <c r="C131" s="73">
        <v>2020</v>
      </c>
    </row>
    <row r="132" spans="1:18" x14ac:dyDescent="0.25">
      <c r="C132" s="48" t="s">
        <v>118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J135" s="39"/>
      <c r="K135" s="39"/>
      <c r="L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</row>
    <row r="138" spans="1:18" x14ac:dyDescent="0.25">
      <c r="A138" s="32" t="s">
        <v>86</v>
      </c>
      <c r="B138" s="65">
        <v>132.52000000000001</v>
      </c>
      <c r="C138" s="65">
        <v>173.5</v>
      </c>
      <c r="D138" s="65">
        <v>183.65</v>
      </c>
      <c r="E138" s="31">
        <f t="shared" ref="E138:E155" si="33">SUM(B138:D138)</f>
        <v>489.66999999999996</v>
      </c>
      <c r="F138" s="31">
        <f>E138/3</f>
        <v>163.22333333333333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31">
        <f>SUM(F138:F146)/9</f>
        <v>249.7081481481481</v>
      </c>
      <c r="Q138" s="49">
        <f>RANK(P138,P$138:P$139,0)</f>
        <v>1</v>
      </c>
      <c r="R138" s="73">
        <v>1</v>
      </c>
    </row>
    <row r="139" spans="1:18" x14ac:dyDescent="0.25">
      <c r="A139" s="32" t="s">
        <v>87</v>
      </c>
      <c r="B139" s="65">
        <v>244.64</v>
      </c>
      <c r="C139" s="65">
        <v>261.89</v>
      </c>
      <c r="D139" s="65">
        <v>271.66000000000003</v>
      </c>
      <c r="E139" s="31">
        <f t="shared" si="33"/>
        <v>778.19</v>
      </c>
      <c r="F139" s="31">
        <f t="shared" ref="F139:F152" si="34">E139/3</f>
        <v>259.3966666666667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31">
        <f>SUM(F147:F155)/9</f>
        <v>240.37370370370368</v>
      </c>
      <c r="Q139" s="49">
        <f>RANK(P139,P$138:P$139,0)</f>
        <v>2</v>
      </c>
      <c r="R139" s="73">
        <v>2</v>
      </c>
    </row>
    <row r="140" spans="1:18" x14ac:dyDescent="0.25">
      <c r="A140" s="32" t="s">
        <v>88</v>
      </c>
      <c r="B140" s="65">
        <v>270.81</v>
      </c>
      <c r="C140" s="65">
        <v>279.56</v>
      </c>
      <c r="D140" s="65">
        <v>290.56</v>
      </c>
      <c r="E140" s="31">
        <f t="shared" si="33"/>
        <v>840.93000000000006</v>
      </c>
      <c r="F140" s="31">
        <f t="shared" si="34"/>
        <v>280.31</v>
      </c>
      <c r="G140" s="31" t="s">
        <v>13</v>
      </c>
      <c r="H140" s="31">
        <f>B136-1</f>
        <v>2</v>
      </c>
      <c r="I140" s="31">
        <f>D159</f>
        <v>8912.392714814283</v>
      </c>
      <c r="J140" s="31">
        <f>I140/H140</f>
        <v>4456.1963574071415</v>
      </c>
      <c r="K140" s="31">
        <f>J140/$J$16</f>
        <v>27.202282739150323</v>
      </c>
      <c r="L140" s="31">
        <f>FINV(0.05,H140,$H$16)</f>
        <v>3.275897990672394</v>
      </c>
      <c r="M140" s="31" t="str">
        <f>IF(K140&gt;=L140, "S", "NS")</f>
        <v>S</v>
      </c>
      <c r="N140" s="39"/>
      <c r="O140" s="30" t="s">
        <v>14</v>
      </c>
      <c r="P140" s="42">
        <f>SQRT(J145/(3*9))</f>
        <v>2.4980079540308506</v>
      </c>
    </row>
    <row r="141" spans="1:18" x14ac:dyDescent="0.25">
      <c r="A141" s="32" t="s">
        <v>89</v>
      </c>
      <c r="B141" s="65">
        <v>235.1</v>
      </c>
      <c r="C141" s="65">
        <v>240.56</v>
      </c>
      <c r="D141" s="65">
        <v>249.64999999999998</v>
      </c>
      <c r="E141" s="31">
        <f t="shared" si="33"/>
        <v>725.31</v>
      </c>
      <c r="F141" s="31">
        <f t="shared" si="34"/>
        <v>241.76999999999998</v>
      </c>
      <c r="G141" s="31" t="s">
        <v>15</v>
      </c>
      <c r="H141" s="31">
        <f>D135-1</f>
        <v>17</v>
      </c>
      <c r="I141" s="31">
        <f>B160</f>
        <v>60153.428787036799</v>
      </c>
      <c r="J141" s="31">
        <f t="shared" ref="J141:J145" si="35">I141/H141</f>
        <v>3538.4369874727527</v>
      </c>
      <c r="K141" s="31">
        <f>J141/$J$16</f>
        <v>21.59993763019606</v>
      </c>
      <c r="L141" s="31">
        <f>FINV(0.05,H141,$H$16)</f>
        <v>1.9332068318040869</v>
      </c>
      <c r="M141" s="43" t="str">
        <f t="shared" ref="M141" si="36">IF(K141&gt;=L141, "S", "NS")</f>
        <v>S</v>
      </c>
      <c r="N141" s="30" t="s">
        <v>113</v>
      </c>
      <c r="O141" s="30" t="s">
        <v>16</v>
      </c>
      <c r="P141" s="42">
        <f>SQRT((2*J145)/(3*9))*L146</f>
        <v>7.1793441724495306</v>
      </c>
    </row>
    <row r="142" spans="1:18" x14ac:dyDescent="0.25">
      <c r="A142" s="32" t="s">
        <v>90</v>
      </c>
      <c r="B142" s="65">
        <v>268.69</v>
      </c>
      <c r="C142" s="65">
        <v>272.64999999999998</v>
      </c>
      <c r="D142" s="65">
        <v>282.25</v>
      </c>
      <c r="E142" s="31">
        <f t="shared" si="33"/>
        <v>823.58999999999992</v>
      </c>
      <c r="F142" s="31">
        <f t="shared" si="34"/>
        <v>274.52999999999997</v>
      </c>
      <c r="G142" s="31" t="s">
        <v>108</v>
      </c>
      <c r="H142" s="31">
        <f>B134-1</f>
        <v>1</v>
      </c>
      <c r="I142" s="31">
        <f>(SUM(E138:E146)^2+SUM(E147:E155)^2)/27-B158</f>
        <v>1176.2800166672096</v>
      </c>
      <c r="J142" s="31">
        <f t="shared" si="35"/>
        <v>1176.2800166672096</v>
      </c>
      <c r="K142" s="31">
        <f>J142/$J$16</f>
        <v>7.1804514494984657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31">
        <f>(F138+F147)/2</f>
        <v>162.76</v>
      </c>
      <c r="Q142" s="49">
        <f>RANK(P142,P$142:P$150,0)</f>
        <v>9</v>
      </c>
      <c r="R142" s="52">
        <v>9</v>
      </c>
    </row>
    <row r="143" spans="1:18" x14ac:dyDescent="0.25">
      <c r="A143" s="32" t="s">
        <v>91</v>
      </c>
      <c r="B143" s="65">
        <v>243.6</v>
      </c>
      <c r="C143" s="65">
        <v>287.89</v>
      </c>
      <c r="D143" s="65">
        <v>317.8</v>
      </c>
      <c r="E143" s="31">
        <f t="shared" si="33"/>
        <v>849.29</v>
      </c>
      <c r="F143" s="31">
        <f t="shared" si="34"/>
        <v>283.09666666666664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14915513.671253704</v>
      </c>
      <c r="J143" s="31">
        <f t="shared" si="35"/>
        <v>1864439.2089067129</v>
      </c>
      <c r="K143" s="31">
        <f>J143/$J$16</f>
        <v>11381.231535350944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31">
        <f t="shared" ref="P143:P150" si="37">(F139+F148)/2</f>
        <v>252.91666666666669</v>
      </c>
      <c r="Q143" s="49">
        <f t="shared" ref="Q143:Q150" si="38">RANK(P143,P$142:P$150,0)</f>
        <v>5</v>
      </c>
      <c r="R143" s="53">
        <v>5</v>
      </c>
    </row>
    <row r="144" spans="1:18" x14ac:dyDescent="0.25">
      <c r="A144" s="32" t="s">
        <v>92</v>
      </c>
      <c r="B144" s="65">
        <v>236.66</v>
      </c>
      <c r="C144" s="65">
        <v>237.89</v>
      </c>
      <c r="D144" s="65">
        <v>244.69</v>
      </c>
      <c r="E144" s="31">
        <f t="shared" si="33"/>
        <v>719.24</v>
      </c>
      <c r="F144" s="31">
        <f t="shared" si="34"/>
        <v>239.74666666666667</v>
      </c>
      <c r="G144" s="26" t="s">
        <v>110</v>
      </c>
      <c r="H144" s="31">
        <f>H142*H143</f>
        <v>8</v>
      </c>
      <c r="I144" s="31">
        <f>I141-(I142+I143)</f>
        <v>-14856536.522483334</v>
      </c>
      <c r="J144" s="31">
        <f t="shared" si="35"/>
        <v>-1857067.0653104167</v>
      </c>
      <c r="K144" s="44">
        <f>J144/$J$16</f>
        <v>-11336.229224317964</v>
      </c>
      <c r="L144" s="31">
        <f>FINV(0.05,H144,$H$16)</f>
        <v>2.2253399674380931</v>
      </c>
      <c r="M144" s="31" t="str">
        <f t="shared" ref="M144" si="39">IF(K144&gt;=L144, "S", "NS")</f>
        <v>NS</v>
      </c>
      <c r="N144" s="39"/>
      <c r="O144" s="33">
        <v>3</v>
      </c>
      <c r="P144" s="31">
        <f t="shared" si="37"/>
        <v>272.33499999999998</v>
      </c>
      <c r="Q144" s="49">
        <f t="shared" si="38"/>
        <v>2</v>
      </c>
      <c r="R144" s="53">
        <v>2</v>
      </c>
    </row>
    <row r="145" spans="1:18" x14ac:dyDescent="0.25">
      <c r="A145" s="32" t="s">
        <v>93</v>
      </c>
      <c r="B145" s="65">
        <v>246.68</v>
      </c>
      <c r="C145" s="65">
        <v>266.68</v>
      </c>
      <c r="D145" s="65">
        <v>285.56</v>
      </c>
      <c r="E145" s="31">
        <f t="shared" si="33"/>
        <v>798.92000000000007</v>
      </c>
      <c r="F145" s="31">
        <f t="shared" si="34"/>
        <v>266.30666666666667</v>
      </c>
      <c r="G145" s="45" t="s">
        <v>23</v>
      </c>
      <c r="H145" s="31">
        <f>((B136-1)*(B134*B135-1))</f>
        <v>34</v>
      </c>
      <c r="I145" s="31">
        <f>D160</f>
        <v>5728.3601518524811</v>
      </c>
      <c r="J145" s="31">
        <f t="shared" si="35"/>
        <v>168.48118093683769</v>
      </c>
      <c r="O145" s="33">
        <v>4</v>
      </c>
      <c r="P145" s="31">
        <f t="shared" si="37"/>
        <v>237.33333333333331</v>
      </c>
      <c r="Q145" s="49">
        <f t="shared" si="38"/>
        <v>7</v>
      </c>
      <c r="R145" s="53">
        <v>7</v>
      </c>
    </row>
    <row r="146" spans="1:18" x14ac:dyDescent="0.25">
      <c r="A146" s="32" t="s">
        <v>94</v>
      </c>
      <c r="B146" s="65">
        <v>232.65</v>
      </c>
      <c r="C146" s="65">
        <v>239.65</v>
      </c>
      <c r="D146" s="65">
        <v>244.68</v>
      </c>
      <c r="E146" s="31">
        <f t="shared" si="33"/>
        <v>716.98</v>
      </c>
      <c r="F146" s="31">
        <f t="shared" si="34"/>
        <v>238.99333333333334</v>
      </c>
      <c r="G146" s="44" t="s">
        <v>4</v>
      </c>
      <c r="H146" s="31">
        <f>SUM(H140:H145)-H141</f>
        <v>53</v>
      </c>
      <c r="I146" s="31">
        <f>B159</f>
        <v>74794.181653703563</v>
      </c>
      <c r="K146" s="31" t="s">
        <v>111</v>
      </c>
      <c r="L146" s="41">
        <f>TINV(0.05,34)</f>
        <v>2.0322445093177191</v>
      </c>
      <c r="O146" s="33">
        <v>5</v>
      </c>
      <c r="P146" s="31">
        <f t="shared" si="37"/>
        <v>265.18</v>
      </c>
      <c r="Q146" s="49">
        <f t="shared" si="38"/>
        <v>3</v>
      </c>
      <c r="R146" s="52">
        <v>3</v>
      </c>
    </row>
    <row r="147" spans="1:18" x14ac:dyDescent="0.25">
      <c r="A147" s="32" t="s">
        <v>95</v>
      </c>
      <c r="B147" s="65">
        <v>122.56</v>
      </c>
      <c r="C147" s="65">
        <v>158.65</v>
      </c>
      <c r="D147" s="65">
        <v>205.68</v>
      </c>
      <c r="E147" s="31">
        <f t="shared" si="33"/>
        <v>486.89000000000004</v>
      </c>
      <c r="F147" s="31">
        <f t="shared" si="34"/>
        <v>162.29666666666668</v>
      </c>
      <c r="G147" s="34" t="s">
        <v>14</v>
      </c>
      <c r="H147" s="31">
        <f>SQRT(J145/3)</f>
        <v>7.4940238620925514</v>
      </c>
      <c r="O147" s="33">
        <v>6</v>
      </c>
      <c r="P147" s="31">
        <f t="shared" si="37"/>
        <v>281.51666666666665</v>
      </c>
      <c r="Q147" s="49">
        <f t="shared" si="38"/>
        <v>1</v>
      </c>
      <c r="R147" s="53">
        <v>1</v>
      </c>
    </row>
    <row r="148" spans="1:18" x14ac:dyDescent="0.25">
      <c r="A148" s="32" t="s">
        <v>96</v>
      </c>
      <c r="B148" s="65">
        <v>234.65</v>
      </c>
      <c r="C148" s="65">
        <v>248.21</v>
      </c>
      <c r="D148" s="65">
        <v>256.45</v>
      </c>
      <c r="E148" s="31">
        <f t="shared" si="33"/>
        <v>739.31</v>
      </c>
      <c r="F148" s="31">
        <f t="shared" si="34"/>
        <v>246.43666666666664</v>
      </c>
      <c r="G148" s="34" t="s">
        <v>16</v>
      </c>
      <c r="H148" s="31">
        <f>(SQRT((2*J145)/3))*L146</f>
        <v>21.53803251734859</v>
      </c>
      <c r="O148" s="33">
        <v>7</v>
      </c>
      <c r="P148" s="31">
        <f t="shared" si="37"/>
        <v>238.95166666666665</v>
      </c>
      <c r="Q148" s="49">
        <f t="shared" si="38"/>
        <v>6</v>
      </c>
      <c r="R148" s="53">
        <v>6</v>
      </c>
    </row>
    <row r="149" spans="1:18" x14ac:dyDescent="0.25">
      <c r="A149" s="32" t="s">
        <v>97</v>
      </c>
      <c r="B149" s="65">
        <v>248.68</v>
      </c>
      <c r="C149" s="65">
        <v>267.56</v>
      </c>
      <c r="D149" s="65">
        <v>276.83999999999997</v>
      </c>
      <c r="E149" s="31">
        <f t="shared" si="33"/>
        <v>793.07999999999993</v>
      </c>
      <c r="F149" s="31">
        <f t="shared" si="34"/>
        <v>264.35999999999996</v>
      </c>
      <c r="G149" s="34" t="s">
        <v>29</v>
      </c>
      <c r="H149" s="31">
        <f>((SQRT(J145))/F156)*100</f>
        <v>5.2970866124630982</v>
      </c>
      <c r="O149" s="33">
        <v>8</v>
      </c>
      <c r="P149" s="31">
        <f t="shared" si="37"/>
        <v>260.02499999999998</v>
      </c>
      <c r="Q149" s="49">
        <f t="shared" si="38"/>
        <v>4</v>
      </c>
      <c r="R149" s="52">
        <v>4</v>
      </c>
    </row>
    <row r="150" spans="1:18" x14ac:dyDescent="0.25">
      <c r="A150" s="32" t="s">
        <v>98</v>
      </c>
      <c r="B150" s="65">
        <v>228.56</v>
      </c>
      <c r="C150" s="65">
        <v>228.78</v>
      </c>
      <c r="D150" s="65">
        <v>241.35</v>
      </c>
      <c r="E150" s="31">
        <f t="shared" si="33"/>
        <v>698.69</v>
      </c>
      <c r="F150" s="31">
        <f t="shared" si="34"/>
        <v>232.89666666666668</v>
      </c>
      <c r="O150" s="33">
        <v>9</v>
      </c>
      <c r="P150" s="31">
        <f t="shared" si="37"/>
        <v>234.35000000000002</v>
      </c>
      <c r="Q150" s="49">
        <f t="shared" si="38"/>
        <v>8</v>
      </c>
      <c r="R150" s="53">
        <v>8</v>
      </c>
    </row>
    <row r="151" spans="1:18" x14ac:dyDescent="0.25">
      <c r="A151" s="32" t="s">
        <v>99</v>
      </c>
      <c r="B151" s="65">
        <v>242.35</v>
      </c>
      <c r="C151" s="65">
        <v>262.13</v>
      </c>
      <c r="D151" s="65">
        <v>263.01</v>
      </c>
      <c r="E151" s="31">
        <f t="shared" si="33"/>
        <v>767.49</v>
      </c>
      <c r="F151" s="31">
        <f t="shared" si="34"/>
        <v>255.83</v>
      </c>
      <c r="I151" s="65"/>
      <c r="J151" s="65"/>
      <c r="K151" s="65"/>
      <c r="O151" s="30" t="s">
        <v>14</v>
      </c>
      <c r="P151" s="42">
        <f>SQRT(J145/(3*2))</f>
        <v>5.2990750912594438</v>
      </c>
      <c r="Q151" s="49"/>
    </row>
    <row r="152" spans="1:18" x14ac:dyDescent="0.25">
      <c r="A152" s="32" t="s">
        <v>100</v>
      </c>
      <c r="B152" s="65">
        <v>241.58</v>
      </c>
      <c r="C152" s="65">
        <v>272.45</v>
      </c>
      <c r="D152" s="65">
        <v>325.77999999999997</v>
      </c>
      <c r="E152" s="31">
        <f t="shared" si="33"/>
        <v>839.81</v>
      </c>
      <c r="F152" s="31">
        <f t="shared" si="34"/>
        <v>279.93666666666667</v>
      </c>
      <c r="I152" s="65"/>
      <c r="J152" s="65"/>
      <c r="K152" s="65"/>
      <c r="N152" s="30" t="s">
        <v>109</v>
      </c>
      <c r="O152" s="30" t="s">
        <v>16</v>
      </c>
      <c r="P152" s="42">
        <f>SQRT((2*J145)/(3*2))*L146</f>
        <v>15.229688846433556</v>
      </c>
      <c r="Q152" s="49"/>
    </row>
    <row r="153" spans="1:18" x14ac:dyDescent="0.25">
      <c r="A153" s="32" t="s">
        <v>101</v>
      </c>
      <c r="B153" s="65">
        <v>228.31</v>
      </c>
      <c r="C153" s="65">
        <v>234.54</v>
      </c>
      <c r="D153" s="65">
        <v>251.62</v>
      </c>
      <c r="E153" s="31">
        <f t="shared" si="33"/>
        <v>714.47</v>
      </c>
      <c r="F153" s="31">
        <f>E153/3</f>
        <v>238.15666666666667</v>
      </c>
      <c r="I153" s="65"/>
      <c r="J153" s="65"/>
      <c r="K153" s="65"/>
      <c r="Q153" s="49"/>
    </row>
    <row r="154" spans="1:18" x14ac:dyDescent="0.25">
      <c r="A154" s="32" t="s">
        <v>102</v>
      </c>
      <c r="B154" s="65">
        <v>241.32</v>
      </c>
      <c r="C154" s="65">
        <v>256.33999999999997</v>
      </c>
      <c r="D154" s="65">
        <v>263.57</v>
      </c>
      <c r="E154" s="31">
        <f t="shared" si="33"/>
        <v>761.23</v>
      </c>
      <c r="F154" s="31">
        <f t="shared" ref="F154:F155" si="40">E154/3</f>
        <v>253.74333333333334</v>
      </c>
      <c r="I154" s="65"/>
      <c r="J154" s="65"/>
      <c r="K154" s="65"/>
    </row>
    <row r="155" spans="1:18" x14ac:dyDescent="0.25">
      <c r="A155" s="32" t="s">
        <v>103</v>
      </c>
      <c r="B155" s="65">
        <v>224.56</v>
      </c>
      <c r="C155" s="65">
        <v>229.15</v>
      </c>
      <c r="D155" s="65">
        <v>235.41</v>
      </c>
      <c r="E155" s="31">
        <f t="shared" si="33"/>
        <v>689.12</v>
      </c>
      <c r="F155" s="31">
        <f t="shared" si="40"/>
        <v>229.70666666666668</v>
      </c>
      <c r="I155" s="65"/>
      <c r="J155" s="65"/>
      <c r="K155" s="65"/>
    </row>
    <row r="156" spans="1:18" x14ac:dyDescent="0.25">
      <c r="A156" s="30" t="s">
        <v>4</v>
      </c>
      <c r="B156" s="31">
        <f>SUM(B138:B155)</f>
        <v>4123.92</v>
      </c>
      <c r="C156" s="31">
        <f>SUM(C138:C155)</f>
        <v>4418.079999999999</v>
      </c>
      <c r="D156" s="31">
        <f>SUM(D138:D155)</f>
        <v>4690.2099999999991</v>
      </c>
      <c r="E156" s="31">
        <f>SUM(E138:E155)</f>
        <v>13232.21</v>
      </c>
      <c r="F156" s="31">
        <f>AVERAGE(B138:D155)</f>
        <v>245.04092592592593</v>
      </c>
      <c r="I156" s="65"/>
      <c r="J156" s="65"/>
      <c r="K156" s="65"/>
    </row>
    <row r="157" spans="1:18" x14ac:dyDescent="0.25">
      <c r="A157" s="30" t="s">
        <v>5</v>
      </c>
      <c r="B157" s="31">
        <f>B156/18</f>
        <v>229.10666666666668</v>
      </c>
      <c r="C157" s="31">
        <f>C156/18</f>
        <v>245.44888888888883</v>
      </c>
      <c r="D157" s="31">
        <f>D156/18</f>
        <v>260.5672222222222</v>
      </c>
      <c r="I157" s="65"/>
      <c r="J157" s="65"/>
      <c r="K157" s="65"/>
    </row>
    <row r="158" spans="1:18" x14ac:dyDescent="0.25">
      <c r="A158" s="30" t="s">
        <v>26</v>
      </c>
      <c r="B158" s="31">
        <f>(E156*E156)/54</f>
        <v>3242432.9904462961</v>
      </c>
      <c r="C158" s="31"/>
      <c r="D158" s="31"/>
      <c r="I158" s="65"/>
      <c r="J158" s="65"/>
      <c r="K158" s="65"/>
    </row>
    <row r="159" spans="1:18" x14ac:dyDescent="0.25">
      <c r="A159" s="30" t="s">
        <v>27</v>
      </c>
      <c r="B159" s="31">
        <f>SUMSQ(B138:D155)-B158</f>
        <v>74794.181653703563</v>
      </c>
      <c r="C159" s="30" t="s">
        <v>28</v>
      </c>
      <c r="D159" s="31">
        <f>(SUMSQ(B156:D156)/18)-B158</f>
        <v>8912.392714814283</v>
      </c>
      <c r="I159" s="65"/>
      <c r="J159" s="65"/>
      <c r="K159" s="65"/>
    </row>
    <row r="160" spans="1:18" x14ac:dyDescent="0.25">
      <c r="A160" s="30" t="s">
        <v>30</v>
      </c>
      <c r="B160" s="31">
        <f>(SUMSQ(E138:E155)/3)-B158</f>
        <v>60153.428787036799</v>
      </c>
      <c r="C160" s="30" t="s">
        <v>31</v>
      </c>
      <c r="D160" s="31">
        <f>B159-B160-D159</f>
        <v>5728.3601518524811</v>
      </c>
    </row>
    <row r="164" spans="1:18" x14ac:dyDescent="0.25">
      <c r="C164" s="48" t="s">
        <v>114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72">
        <v>420.15</v>
      </c>
      <c r="C170" s="72">
        <v>450.24</v>
      </c>
      <c r="D170" s="72">
        <v>540.26</v>
      </c>
      <c r="E170" s="31">
        <f>SUM(B170:D170)</f>
        <v>1410.65</v>
      </c>
      <c r="F170" s="31">
        <f>E170/3</f>
        <v>470.2166666666667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31">
        <f>SUM(F170:F178)/9</f>
        <v>612.72259259259272</v>
      </c>
      <c r="Q170" s="49">
        <f>RANK(P170,P$170:P$171,0)</f>
        <v>1</v>
      </c>
      <c r="R170" s="73">
        <v>1</v>
      </c>
    </row>
    <row r="171" spans="1:18" x14ac:dyDescent="0.25">
      <c r="A171" s="32" t="s">
        <v>87</v>
      </c>
      <c r="B171" s="72">
        <v>641.58000000000004</v>
      </c>
      <c r="C171" s="72">
        <v>648.59</v>
      </c>
      <c r="D171" s="72">
        <v>694.58</v>
      </c>
      <c r="E171" s="31">
        <f t="shared" ref="E171:E187" si="41">SUM(B171:D171)</f>
        <v>1984.75</v>
      </c>
      <c r="F171" s="31">
        <f t="shared" ref="F171:F184" si="42">E171/3</f>
        <v>661.58333333333337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31">
        <f>SUM(F179:F187)/9</f>
        <v>587.88185185185182</v>
      </c>
      <c r="Q171" s="49">
        <f>RANK(P171,P$170:P$171,0)</f>
        <v>2</v>
      </c>
      <c r="R171" s="73">
        <v>2</v>
      </c>
    </row>
    <row r="172" spans="1:18" x14ac:dyDescent="0.25">
      <c r="A172" s="32" t="s">
        <v>88</v>
      </c>
      <c r="B172" s="72">
        <v>610.59</v>
      </c>
      <c r="C172" s="72">
        <v>698.89</v>
      </c>
      <c r="D172" s="72">
        <v>742.15</v>
      </c>
      <c r="E172" s="31">
        <f t="shared" si="41"/>
        <v>2051.63</v>
      </c>
      <c r="F172" s="31">
        <f t="shared" si="42"/>
        <v>683.87666666666667</v>
      </c>
      <c r="G172" s="31" t="s">
        <v>13</v>
      </c>
      <c r="H172" s="31">
        <f>B168-1</f>
        <v>2</v>
      </c>
      <c r="I172" s="31">
        <f>D191</f>
        <v>42118.309300001711</v>
      </c>
      <c r="J172" s="31">
        <f>I172/H172</f>
        <v>21059.154650000855</v>
      </c>
      <c r="K172" s="31">
        <f>J172/$J$16</f>
        <v>128.55292565476964</v>
      </c>
      <c r="L172" s="31">
        <f>FINV(0.05,H172,$H$16)</f>
        <v>3.275897990672394</v>
      </c>
      <c r="M172" s="31" t="str">
        <f>IF(K172&gt;=L172, "S", "NS")</f>
        <v>S</v>
      </c>
      <c r="N172" s="39"/>
      <c r="O172" s="30" t="s">
        <v>14</v>
      </c>
      <c r="P172" s="42">
        <f>SQRT(J177/(3*9))</f>
        <v>7.2544324191517813</v>
      </c>
      <c r="R172" s="41"/>
    </row>
    <row r="173" spans="1:18" x14ac:dyDescent="0.25">
      <c r="A173" s="32" t="s">
        <v>89</v>
      </c>
      <c r="B173" s="72">
        <v>527.85</v>
      </c>
      <c r="C173" s="72">
        <v>546.25</v>
      </c>
      <c r="D173" s="72">
        <v>587.98</v>
      </c>
      <c r="E173" s="31">
        <f t="shared" si="41"/>
        <v>1662.08</v>
      </c>
      <c r="F173" s="31">
        <f t="shared" si="42"/>
        <v>554.02666666666664</v>
      </c>
      <c r="G173" s="31" t="s">
        <v>15</v>
      </c>
      <c r="H173" s="31">
        <f>D167-1</f>
        <v>17</v>
      </c>
      <c r="I173" s="31">
        <f>B192</f>
        <v>336416.70446666703</v>
      </c>
      <c r="J173" s="31">
        <f t="shared" ref="J173:J177" si="43">I173/H173</f>
        <v>19789.217909803941</v>
      </c>
      <c r="K173" s="31">
        <f>J173/$J$16</f>
        <v>120.80075867266395</v>
      </c>
      <c r="L173" s="31">
        <f>FINV(0.05,H173,$H$16)</f>
        <v>1.9332068318040869</v>
      </c>
      <c r="M173" s="43" t="str">
        <f t="shared" ref="M173" si="44">IF(K173&gt;=L173, "S", "NS")</f>
        <v>S</v>
      </c>
      <c r="N173" s="30" t="s">
        <v>113</v>
      </c>
      <c r="O173" s="30" t="s">
        <v>16</v>
      </c>
      <c r="P173" s="42">
        <f>SQRT((2*J177)/(3*9))*L178</f>
        <v>20.849440062360614</v>
      </c>
      <c r="R173" s="41"/>
    </row>
    <row r="174" spans="1:18" x14ac:dyDescent="0.25">
      <c r="A174" s="32" t="s">
        <v>90</v>
      </c>
      <c r="B174" s="72">
        <v>698.58</v>
      </c>
      <c r="C174" s="72">
        <v>654.12</v>
      </c>
      <c r="D174" s="72">
        <v>650.58000000000004</v>
      </c>
      <c r="E174" s="31">
        <f t="shared" si="41"/>
        <v>2003.2800000000002</v>
      </c>
      <c r="F174" s="31">
        <f t="shared" si="42"/>
        <v>667.7600000000001</v>
      </c>
      <c r="G174" s="31" t="s">
        <v>108</v>
      </c>
      <c r="H174" s="31">
        <f>B166-1</f>
        <v>1</v>
      </c>
      <c r="I174" s="31">
        <f>(SUM(E170:E178)^2+SUM(E179:E187)^2)/27-B190</f>
        <v>8330.3424074091017</v>
      </c>
      <c r="J174" s="31">
        <f t="shared" si="43"/>
        <v>8330.3424074091017</v>
      </c>
      <c r="K174" s="31">
        <f>J174/$J$16</f>
        <v>50.851513556760622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31">
        <f>(F170+F179)/2</f>
        <v>446.04333333333341</v>
      </c>
      <c r="Q174" s="49">
        <f>RANK(P174,P$174:P$182,0)</f>
        <v>9</v>
      </c>
      <c r="R174" s="52">
        <v>9</v>
      </c>
    </row>
    <row r="175" spans="1:18" x14ac:dyDescent="0.25">
      <c r="A175" s="32" t="s">
        <v>91</v>
      </c>
      <c r="B175" s="72">
        <v>625.67999999999995</v>
      </c>
      <c r="C175" s="72">
        <v>685.45</v>
      </c>
      <c r="D175" s="72">
        <v>778.59</v>
      </c>
      <c r="E175" s="31">
        <f t="shared" si="41"/>
        <v>2089.7200000000003</v>
      </c>
      <c r="F175" s="31">
        <f t="shared" si="42"/>
        <v>696.57333333333338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90552246.41505</v>
      </c>
      <c r="J175" s="31">
        <f t="shared" si="43"/>
        <v>11319030.80188125</v>
      </c>
      <c r="K175" s="31">
        <f>J175/$J$16</f>
        <v>69095.580964273366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31">
        <f t="shared" ref="P175:P182" si="45">(F171+F180)/2</f>
        <v>647.46</v>
      </c>
      <c r="Q175" s="49">
        <f t="shared" ref="Q175:Q182" si="46">RANK(P175,P$174:P$182,0)</f>
        <v>5</v>
      </c>
      <c r="R175" s="53">
        <v>5</v>
      </c>
    </row>
    <row r="176" spans="1:18" x14ac:dyDescent="0.25">
      <c r="A176" s="32" t="s">
        <v>92</v>
      </c>
      <c r="B176" s="72">
        <v>510.54</v>
      </c>
      <c r="C176" s="72">
        <v>548.35</v>
      </c>
      <c r="D176" s="72">
        <v>652.45000000000005</v>
      </c>
      <c r="E176" s="31">
        <f t="shared" si="41"/>
        <v>1711.3400000000001</v>
      </c>
      <c r="F176" s="31">
        <f t="shared" si="42"/>
        <v>570.44666666666672</v>
      </c>
      <c r="G176" s="26" t="s">
        <v>110</v>
      </c>
      <c r="H176" s="31">
        <f>H174*H175</f>
        <v>8</v>
      </c>
      <c r="I176" s="31">
        <f>I173-(I174+I175)</f>
        <v>-90224160.052990735</v>
      </c>
      <c r="J176" s="31">
        <f t="shared" si="43"/>
        <v>-11278020.006623842</v>
      </c>
      <c r="K176" s="44">
        <f>J176/$J$16</f>
        <v>-68845.235791288535</v>
      </c>
      <c r="L176" s="31">
        <f>FINV(0.05,H176,$H$16)</f>
        <v>2.2253399674380931</v>
      </c>
      <c r="M176" s="31" t="str">
        <f t="shared" ref="M176" si="47">IF(K176&gt;=L176, "S", "NS")</f>
        <v>NS</v>
      </c>
      <c r="N176" s="39"/>
      <c r="O176" s="33">
        <v>3</v>
      </c>
      <c r="P176" s="31">
        <f t="shared" si="45"/>
        <v>666.82500000000005</v>
      </c>
      <c r="Q176" s="49">
        <f t="shared" si="46"/>
        <v>2</v>
      </c>
      <c r="R176" s="53">
        <v>2</v>
      </c>
    </row>
    <row r="177" spans="1:18" x14ac:dyDescent="0.25">
      <c r="A177" s="32" t="s">
        <v>93</v>
      </c>
      <c r="B177" s="72">
        <v>658.49</v>
      </c>
      <c r="C177" s="72">
        <v>659.29</v>
      </c>
      <c r="D177" s="72">
        <v>660.25</v>
      </c>
      <c r="E177" s="31">
        <f t="shared" si="41"/>
        <v>1978.03</v>
      </c>
      <c r="F177" s="31">
        <f t="shared" si="42"/>
        <v>659.34333333333336</v>
      </c>
      <c r="G177" s="45" t="s">
        <v>23</v>
      </c>
      <c r="H177" s="31">
        <f>((B168-1)*(B166*B167-1))</f>
        <v>34</v>
      </c>
      <c r="I177" s="31">
        <f>D192</f>
        <v>48311.392966669053</v>
      </c>
      <c r="J177" s="31">
        <f t="shared" si="43"/>
        <v>1420.9233225490898</v>
      </c>
      <c r="O177" s="33">
        <v>4</v>
      </c>
      <c r="P177" s="31">
        <f t="shared" si="45"/>
        <v>541.57166666666672</v>
      </c>
      <c r="Q177" s="49">
        <f t="shared" si="46"/>
        <v>7</v>
      </c>
      <c r="R177" s="53">
        <v>7</v>
      </c>
    </row>
    <row r="178" spans="1:18" x14ac:dyDescent="0.25">
      <c r="A178" s="32" t="s">
        <v>94</v>
      </c>
      <c r="B178" s="72">
        <v>506.89</v>
      </c>
      <c r="C178" s="72">
        <v>543.54999999999995</v>
      </c>
      <c r="D178" s="72">
        <v>601.59</v>
      </c>
      <c r="E178" s="31">
        <f t="shared" si="41"/>
        <v>1652.0300000000002</v>
      </c>
      <c r="F178" s="31">
        <f t="shared" si="42"/>
        <v>550.67666666666673</v>
      </c>
      <c r="G178" s="44" t="s">
        <v>4</v>
      </c>
      <c r="H178" s="31">
        <f>SUM(H172:H177)-H173</f>
        <v>53</v>
      </c>
      <c r="I178" s="31">
        <f>B191</f>
        <v>426846.40673333779</v>
      </c>
      <c r="K178" s="31" t="s">
        <v>111</v>
      </c>
      <c r="L178" s="41">
        <f>TINV(0.05,34)</f>
        <v>2.0322445093177191</v>
      </c>
      <c r="O178" s="33">
        <v>5</v>
      </c>
      <c r="P178" s="31">
        <f t="shared" si="45"/>
        <v>664.96166666666682</v>
      </c>
      <c r="Q178" s="49">
        <f t="shared" si="46"/>
        <v>3</v>
      </c>
      <c r="R178" s="52">
        <v>3</v>
      </c>
    </row>
    <row r="179" spans="1:18" x14ac:dyDescent="0.25">
      <c r="A179" s="32" t="s">
        <v>95</v>
      </c>
      <c r="B179" s="72">
        <v>400.26</v>
      </c>
      <c r="C179" s="72">
        <v>405.1</v>
      </c>
      <c r="D179" s="72">
        <v>460.25</v>
      </c>
      <c r="E179" s="31">
        <f t="shared" si="41"/>
        <v>1265.6100000000001</v>
      </c>
      <c r="F179" s="31">
        <f t="shared" si="42"/>
        <v>421.87000000000006</v>
      </c>
      <c r="G179" s="34" t="s">
        <v>14</v>
      </c>
      <c r="H179" s="31">
        <f>SQRT(J177/3)</f>
        <v>21.763297257455342</v>
      </c>
      <c r="O179" s="33">
        <v>6</v>
      </c>
      <c r="P179" s="31">
        <f t="shared" si="45"/>
        <v>688.8266666666666</v>
      </c>
      <c r="Q179" s="49">
        <f t="shared" si="46"/>
        <v>1</v>
      </c>
      <c r="R179" s="53">
        <v>1</v>
      </c>
    </row>
    <row r="180" spans="1:18" x14ac:dyDescent="0.25">
      <c r="A180" s="32" t="s">
        <v>96</v>
      </c>
      <c r="B180" s="72">
        <v>605.54</v>
      </c>
      <c r="C180" s="72">
        <v>695.58</v>
      </c>
      <c r="D180" s="72">
        <v>598.89</v>
      </c>
      <c r="E180" s="31">
        <f t="shared" si="41"/>
        <v>1900.0099999999998</v>
      </c>
      <c r="F180" s="31">
        <f t="shared" si="42"/>
        <v>633.33666666666659</v>
      </c>
      <c r="G180" s="34" t="s">
        <v>16</v>
      </c>
      <c r="H180" s="31">
        <f>(SQRT((2*J177)/3))*L178</f>
        <v>62.548320187081849</v>
      </c>
      <c r="O180" s="33">
        <v>7</v>
      </c>
      <c r="P180" s="31">
        <f t="shared" si="45"/>
        <v>556.12833333333333</v>
      </c>
      <c r="Q180" s="49">
        <f t="shared" si="46"/>
        <v>6</v>
      </c>
      <c r="R180" s="53">
        <v>6</v>
      </c>
    </row>
    <row r="181" spans="1:18" x14ac:dyDescent="0.25">
      <c r="A181" s="32" t="s">
        <v>97</v>
      </c>
      <c r="B181" s="72">
        <v>602.15</v>
      </c>
      <c r="C181" s="72">
        <v>648.58000000000004</v>
      </c>
      <c r="D181" s="72">
        <v>698.59</v>
      </c>
      <c r="E181" s="31">
        <f t="shared" si="41"/>
        <v>1949.3200000000002</v>
      </c>
      <c r="F181" s="31">
        <f t="shared" si="42"/>
        <v>649.77333333333343</v>
      </c>
      <c r="G181" s="34" t="s">
        <v>29</v>
      </c>
      <c r="H181" s="31">
        <f>((SQRT(J177))/F188)*100</f>
        <v>6.2793598282204783</v>
      </c>
      <c r="O181" s="33">
        <v>8</v>
      </c>
      <c r="P181" s="31">
        <f t="shared" si="45"/>
        <v>652.29166666666663</v>
      </c>
      <c r="Q181" s="49">
        <f t="shared" si="46"/>
        <v>4</v>
      </c>
      <c r="R181" s="52">
        <v>4</v>
      </c>
    </row>
    <row r="182" spans="1:18" x14ac:dyDescent="0.25">
      <c r="A182" s="32" t="s">
        <v>98</v>
      </c>
      <c r="B182" s="72">
        <v>510.25</v>
      </c>
      <c r="C182" s="72">
        <v>535.54</v>
      </c>
      <c r="D182" s="72">
        <v>541.55999999999995</v>
      </c>
      <c r="E182" s="31">
        <f t="shared" si="41"/>
        <v>1587.35</v>
      </c>
      <c r="F182" s="31">
        <f t="shared" si="42"/>
        <v>529.11666666666667</v>
      </c>
      <c r="O182" s="33">
        <v>9</v>
      </c>
      <c r="P182" s="31">
        <f t="shared" si="45"/>
        <v>538.61166666666668</v>
      </c>
      <c r="Q182" s="49">
        <f t="shared" si="46"/>
        <v>8</v>
      </c>
      <c r="R182" s="53">
        <v>8</v>
      </c>
    </row>
    <row r="183" spans="1:18" x14ac:dyDescent="0.25">
      <c r="A183" s="32" t="s">
        <v>99</v>
      </c>
      <c r="B183" s="72">
        <v>695.85</v>
      </c>
      <c r="C183" s="72">
        <v>648.49</v>
      </c>
      <c r="D183" s="72">
        <v>642.15</v>
      </c>
      <c r="E183" s="31">
        <f t="shared" si="41"/>
        <v>1986.4900000000002</v>
      </c>
      <c r="F183" s="31">
        <f t="shared" si="42"/>
        <v>662.16333333333341</v>
      </c>
      <c r="O183" s="30" t="s">
        <v>14</v>
      </c>
      <c r="P183" s="42">
        <f>SQRT(J177/(3*2))</f>
        <v>15.388975071725266</v>
      </c>
      <c r="Q183" s="49"/>
    </row>
    <row r="184" spans="1:18" x14ac:dyDescent="0.25">
      <c r="A184" s="32" t="s">
        <v>100</v>
      </c>
      <c r="B184" s="72">
        <v>615.48</v>
      </c>
      <c r="C184" s="72">
        <v>651.87</v>
      </c>
      <c r="D184" s="72">
        <v>775.89</v>
      </c>
      <c r="E184" s="31">
        <f t="shared" si="41"/>
        <v>2043.2399999999998</v>
      </c>
      <c r="F184" s="31">
        <f t="shared" si="42"/>
        <v>681.07999999999993</v>
      </c>
      <c r="N184" s="30" t="s">
        <v>109</v>
      </c>
      <c r="O184" s="30" t="s">
        <v>16</v>
      </c>
      <c r="P184" s="42">
        <f>SQRT((2*J177)/(3*2))*L178</f>
        <v>44.228341356112992</v>
      </c>
      <c r="Q184" s="49"/>
    </row>
    <row r="185" spans="1:18" x14ac:dyDescent="0.25">
      <c r="A185" s="32" t="s">
        <v>101</v>
      </c>
      <c r="B185" s="72">
        <v>500.12</v>
      </c>
      <c r="C185" s="72">
        <v>505.16</v>
      </c>
      <c r="D185" s="72">
        <v>620.15</v>
      </c>
      <c r="E185" s="31">
        <f t="shared" si="41"/>
        <v>1625.4299999999998</v>
      </c>
      <c r="F185" s="31">
        <f>E185/3</f>
        <v>541.80999999999995</v>
      </c>
      <c r="Q185" s="49"/>
    </row>
    <row r="186" spans="1:18" x14ac:dyDescent="0.25">
      <c r="A186" s="32" t="s">
        <v>102</v>
      </c>
      <c r="B186" s="72">
        <v>610.25</v>
      </c>
      <c r="C186" s="72">
        <v>649.89</v>
      </c>
      <c r="D186" s="72">
        <v>675.58</v>
      </c>
      <c r="E186" s="31">
        <f t="shared" si="41"/>
        <v>1935.7199999999998</v>
      </c>
      <c r="F186" s="31">
        <f t="shared" ref="F186:F187" si="48">E186/3</f>
        <v>645.2399999999999</v>
      </c>
    </row>
    <row r="187" spans="1:18" x14ac:dyDescent="0.25">
      <c r="A187" s="32" t="s">
        <v>103</v>
      </c>
      <c r="B187" s="72">
        <v>502.48</v>
      </c>
      <c r="C187" s="72">
        <v>535.58000000000004</v>
      </c>
      <c r="D187" s="72">
        <v>541.58000000000004</v>
      </c>
      <c r="E187" s="31">
        <f t="shared" si="41"/>
        <v>1579.6399999999999</v>
      </c>
      <c r="F187" s="31">
        <f t="shared" si="48"/>
        <v>526.54666666666662</v>
      </c>
    </row>
    <row r="188" spans="1:18" x14ac:dyDescent="0.25">
      <c r="A188" s="30" t="s">
        <v>4</v>
      </c>
      <c r="B188" s="31">
        <f>SUM(B170:B187)</f>
        <v>10242.730000000001</v>
      </c>
      <c r="C188" s="31">
        <f t="shared" ref="C188:D188" si="49">SUM(C170:C187)</f>
        <v>10710.52</v>
      </c>
      <c r="D188" s="31">
        <f t="shared" si="49"/>
        <v>11463.07</v>
      </c>
      <c r="E188" s="31">
        <f>SUM(E170:E187)</f>
        <v>32416.32</v>
      </c>
      <c r="F188" s="31">
        <f>AVERAGE(B170:D187)</f>
        <v>600.30222222222244</v>
      </c>
    </row>
    <row r="189" spans="1:18" x14ac:dyDescent="0.25">
      <c r="A189" s="30" t="s">
        <v>5</v>
      </c>
      <c r="B189" s="31">
        <f>B188/18</f>
        <v>569.04055555555567</v>
      </c>
      <c r="C189" s="31">
        <f>C188/18</f>
        <v>595.0288888888889</v>
      </c>
      <c r="D189" s="31">
        <f>D188/18</f>
        <v>636.83722222222218</v>
      </c>
    </row>
    <row r="190" spans="1:18" x14ac:dyDescent="0.25">
      <c r="A190" s="30" t="s">
        <v>26</v>
      </c>
      <c r="B190" s="31">
        <f>(E188*E188)/54</f>
        <v>19459588.932266667</v>
      </c>
      <c r="C190" s="31"/>
      <c r="D190" s="31"/>
    </row>
    <row r="191" spans="1:18" x14ac:dyDescent="0.25">
      <c r="A191" s="30" t="s">
        <v>27</v>
      </c>
      <c r="B191" s="31">
        <f>SUMSQ(B170:D187)-B190</f>
        <v>426846.40673333779</v>
      </c>
      <c r="C191" s="30" t="s">
        <v>28</v>
      </c>
      <c r="D191" s="31">
        <f>(SUMSQ(B188:D188)/18)-B190</f>
        <v>42118.309300001711</v>
      </c>
    </row>
    <row r="192" spans="1:18" x14ac:dyDescent="0.25">
      <c r="A192" s="30" t="s">
        <v>30</v>
      </c>
      <c r="B192" s="31">
        <f>(SUMSQ(E170:E187)/3)-B190</f>
        <v>336416.70446666703</v>
      </c>
      <c r="C192" s="30" t="s">
        <v>31</v>
      </c>
      <c r="D192" s="31">
        <f>B191-B192-D191</f>
        <v>48311.392966669053</v>
      </c>
    </row>
    <row r="196" spans="1:18" x14ac:dyDescent="0.25">
      <c r="C196" s="48" t="s">
        <v>115</v>
      </c>
    </row>
    <row r="198" spans="1:18" x14ac:dyDescent="0.25">
      <c r="A198" s="36" t="s">
        <v>104</v>
      </c>
      <c r="B198" s="38">
        <v>2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x14ac:dyDescent="0.25">
      <c r="A199" s="36" t="s">
        <v>105</v>
      </c>
      <c r="B199" s="38">
        <v>9</v>
      </c>
      <c r="C199" s="39" t="s">
        <v>107</v>
      </c>
      <c r="D199" s="39">
        <v>18</v>
      </c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x14ac:dyDescent="0.25">
      <c r="A200" s="37" t="s">
        <v>106</v>
      </c>
      <c r="B200" s="40">
        <v>3</v>
      </c>
    </row>
    <row r="201" spans="1:18" x14ac:dyDescent="0.25">
      <c r="A201" s="46" t="s">
        <v>0</v>
      </c>
      <c r="B201" s="30" t="s">
        <v>1</v>
      </c>
      <c r="C201" s="30" t="s">
        <v>2</v>
      </c>
      <c r="D201" s="30" t="s">
        <v>3</v>
      </c>
      <c r="E201" s="30" t="s">
        <v>4</v>
      </c>
      <c r="F201" s="30" t="s">
        <v>5</v>
      </c>
      <c r="O201" s="41" t="s">
        <v>7</v>
      </c>
      <c r="R201" s="41"/>
    </row>
    <row r="202" spans="1:18" x14ac:dyDescent="0.25">
      <c r="A202" s="32" t="s">
        <v>86</v>
      </c>
      <c r="B202" s="51">
        <v>559.85</v>
      </c>
      <c r="C202" s="51">
        <v>610.25</v>
      </c>
      <c r="D202" s="51">
        <v>799.59</v>
      </c>
      <c r="E202" s="31">
        <f>SUM(B202:D202)</f>
        <v>1969.69</v>
      </c>
      <c r="F202" s="31">
        <f>E202/3</f>
        <v>656.56333333333339</v>
      </c>
      <c r="H202" s="47"/>
      <c r="I202" s="47"/>
      <c r="J202" s="47" t="s">
        <v>6</v>
      </c>
      <c r="K202" s="47"/>
      <c r="L202" s="47"/>
      <c r="M202" s="47"/>
      <c r="N202" s="47"/>
      <c r="O202" s="33">
        <v>1</v>
      </c>
      <c r="P202" s="31">
        <f>SUM(F202:F210)/9</f>
        <v>875.64148148148138</v>
      </c>
      <c r="Q202" s="49">
        <f>RANK(P202,P$202:P$203,0)</f>
        <v>1</v>
      </c>
      <c r="R202" s="41"/>
    </row>
    <row r="203" spans="1:18" x14ac:dyDescent="0.25">
      <c r="A203" s="32" t="s">
        <v>87</v>
      </c>
      <c r="B203" s="51">
        <v>958.86</v>
      </c>
      <c r="C203" s="51">
        <v>895.68</v>
      </c>
      <c r="D203" s="51">
        <v>841.58</v>
      </c>
      <c r="E203" s="31">
        <f t="shared" ref="E203:E219" si="50">SUM(B203:D203)</f>
        <v>2696.12</v>
      </c>
      <c r="F203" s="31">
        <f t="shared" ref="F203:F216" si="51">E203/3</f>
        <v>898.70666666666659</v>
      </c>
      <c r="G203" s="31"/>
      <c r="H203" s="30" t="s">
        <v>8</v>
      </c>
      <c r="I203" s="30" t="s">
        <v>9</v>
      </c>
      <c r="J203" s="30" t="s">
        <v>10</v>
      </c>
      <c r="K203" s="30" t="s">
        <v>11</v>
      </c>
      <c r="L203" s="30" t="s">
        <v>12</v>
      </c>
      <c r="M203" s="30" t="s">
        <v>112</v>
      </c>
      <c r="N203" s="50"/>
      <c r="O203" s="33">
        <v>2</v>
      </c>
      <c r="P203" s="31">
        <f>SUM(F211:F219)/9</f>
        <v>834.15962962962953</v>
      </c>
      <c r="Q203" s="49">
        <f>RANK(P203,P$202:P$203,0)</f>
        <v>2</v>
      </c>
      <c r="R203" s="41"/>
    </row>
    <row r="204" spans="1:18" x14ac:dyDescent="0.25">
      <c r="A204" s="32" t="s">
        <v>88</v>
      </c>
      <c r="B204" s="51">
        <v>975.58</v>
      </c>
      <c r="C204" s="51">
        <v>950.25</v>
      </c>
      <c r="D204" s="51">
        <v>915.48</v>
      </c>
      <c r="E204" s="31">
        <f t="shared" si="50"/>
        <v>2841.31</v>
      </c>
      <c r="F204" s="31">
        <f t="shared" si="51"/>
        <v>947.10333333333335</v>
      </c>
      <c r="G204" s="31" t="s">
        <v>13</v>
      </c>
      <c r="H204" s="31">
        <f>B200-1</f>
        <v>2</v>
      </c>
      <c r="I204" s="31">
        <f>D223</f>
        <v>97775.374299995601</v>
      </c>
      <c r="J204" s="31">
        <f>I204/H204</f>
        <v>48887.687149997801</v>
      </c>
      <c r="K204" s="31">
        <f>J204/$J$16</f>
        <v>298.42865566434546</v>
      </c>
      <c r="L204" s="31">
        <f>FINV(0.05,H204,$H$16)</f>
        <v>3.275897990672394</v>
      </c>
      <c r="M204" s="31" t="str">
        <f>IF(K204&gt;=L204, "S", "NS")</f>
        <v>S</v>
      </c>
      <c r="N204" s="39"/>
      <c r="O204" s="30" t="s">
        <v>14</v>
      </c>
      <c r="P204" s="42">
        <f>SQRT(J209/(3*9))</f>
        <v>13.545795759288596</v>
      </c>
      <c r="R204" s="41"/>
    </row>
    <row r="205" spans="1:18" x14ac:dyDescent="0.25">
      <c r="A205" s="32" t="s">
        <v>89</v>
      </c>
      <c r="B205" s="51">
        <v>738.59</v>
      </c>
      <c r="C205" s="51">
        <v>825.44</v>
      </c>
      <c r="D205" s="51">
        <v>970.15</v>
      </c>
      <c r="E205" s="31">
        <f t="shared" si="50"/>
        <v>2534.1800000000003</v>
      </c>
      <c r="F205" s="31">
        <f t="shared" si="51"/>
        <v>844.7266666666668</v>
      </c>
      <c r="G205" s="31" t="s">
        <v>15</v>
      </c>
      <c r="H205" s="31">
        <f>D199-1</f>
        <v>17</v>
      </c>
      <c r="I205" s="31">
        <f>B224</f>
        <v>480186.22321666777</v>
      </c>
      <c r="J205" s="31">
        <f t="shared" ref="J205:J209" si="52">I205/H205</f>
        <v>28246.248424509868</v>
      </c>
      <c r="K205" s="31">
        <f>J205/$J$16</f>
        <v>172.42562363451867</v>
      </c>
      <c r="L205" s="31">
        <f>FINV(0.05,H205,$H$16)</f>
        <v>1.9332068318040869</v>
      </c>
      <c r="M205" s="43" t="str">
        <f t="shared" ref="M205" si="53">IF(K205&gt;=L205, "S", "NS")</f>
        <v>S</v>
      </c>
      <c r="N205" s="30" t="s">
        <v>113</v>
      </c>
      <c r="O205" s="30" t="s">
        <v>16</v>
      </c>
      <c r="P205" s="42">
        <f>SQRT((2*J209)/(3*9))*L210</f>
        <v>38.930992869224106</v>
      </c>
      <c r="R205" s="41"/>
    </row>
    <row r="206" spans="1:18" x14ac:dyDescent="0.25">
      <c r="A206" s="32" t="s">
        <v>90</v>
      </c>
      <c r="B206" s="51">
        <v>895.68</v>
      </c>
      <c r="C206" s="51">
        <v>940.15</v>
      </c>
      <c r="D206" s="51">
        <v>985.87</v>
      </c>
      <c r="E206" s="31">
        <f t="shared" si="50"/>
        <v>2821.7</v>
      </c>
      <c r="F206" s="31">
        <f t="shared" si="51"/>
        <v>940.56666666666661</v>
      </c>
      <c r="G206" s="31" t="s">
        <v>108</v>
      </c>
      <c r="H206" s="31">
        <f>B198-1</f>
        <v>1</v>
      </c>
      <c r="I206" s="31">
        <f>(SUM(E202:E210)^2+SUM(E211:E219)^2)/27-B222</f>
        <v>23230.044446274638</v>
      </c>
      <c r="J206" s="31">
        <f t="shared" si="52"/>
        <v>23230.044446274638</v>
      </c>
      <c r="K206" s="31">
        <f>J206/$J$16</f>
        <v>141.80484574478476</v>
      </c>
      <c r="L206" s="31">
        <f>FINV(0.05,H206,$H$16)</f>
        <v>4.1300177456520188</v>
      </c>
      <c r="M206" s="31" t="str">
        <f>IF(K206&gt;=L206, "S", "NS")</f>
        <v>S</v>
      </c>
      <c r="N206" s="39"/>
      <c r="O206" s="33">
        <v>1</v>
      </c>
      <c r="P206" s="31">
        <f>(F202+F211)/2</f>
        <v>627.33166666666671</v>
      </c>
      <c r="Q206" s="49">
        <f>RANK(P206,P$206:P$214,0)</f>
        <v>9</v>
      </c>
      <c r="R206" s="52">
        <v>9</v>
      </c>
    </row>
    <row r="207" spans="1:18" x14ac:dyDescent="0.25">
      <c r="A207" s="32" t="s">
        <v>91</v>
      </c>
      <c r="B207" s="51">
        <v>910.68</v>
      </c>
      <c r="C207" s="51">
        <v>994.56</v>
      </c>
      <c r="D207" s="51">
        <v>998.58</v>
      </c>
      <c r="E207" s="31">
        <f t="shared" si="50"/>
        <v>2903.8199999999997</v>
      </c>
      <c r="F207" s="31">
        <f t="shared" si="51"/>
        <v>967.93999999999994</v>
      </c>
      <c r="G207" s="31" t="s">
        <v>109</v>
      </c>
      <c r="H207" s="31">
        <f>B199-1</f>
        <v>8</v>
      </c>
      <c r="I207" s="31">
        <f>((E202+E211)^2+(E203+E212)^2+(E204+E213)^2+(E205+E214)^2+(E206+E215)^2+(E207+E216)^2+(E208+E217)^2+(E209+E218)^2+(E210+E219)^2/6)-B222</f>
        <v>179879904.50174996</v>
      </c>
      <c r="J207" s="31">
        <f t="shared" si="52"/>
        <v>22484988.062718745</v>
      </c>
      <c r="K207" s="31">
        <f>J207/$J$16</f>
        <v>137256.7440058639</v>
      </c>
      <c r="L207" s="31">
        <f>FINV(0.05,H207,$H$16)</f>
        <v>2.2253399674380931</v>
      </c>
      <c r="M207" s="31" t="str">
        <f>IF(K207&gt;=L207, "S", "NS")</f>
        <v>S</v>
      </c>
      <c r="N207" s="39"/>
      <c r="O207" s="33">
        <v>2</v>
      </c>
      <c r="P207" s="31">
        <f t="shared" ref="P207:P214" si="54">(F203+F212)/2</f>
        <v>869.34999999999991</v>
      </c>
      <c r="Q207" s="49">
        <f t="shared" ref="Q207:Q214" si="55">RANK(P207,P$206:P$214,0)</f>
        <v>5</v>
      </c>
      <c r="R207" s="53">
        <v>5</v>
      </c>
    </row>
    <row r="208" spans="1:18" x14ac:dyDescent="0.25">
      <c r="A208" s="32" t="s">
        <v>92</v>
      </c>
      <c r="B208" s="51">
        <v>778.65</v>
      </c>
      <c r="C208" s="51">
        <v>851.24</v>
      </c>
      <c r="D208" s="51">
        <v>968.59</v>
      </c>
      <c r="E208" s="31">
        <f t="shared" si="50"/>
        <v>2598.48</v>
      </c>
      <c r="F208" s="31">
        <f t="shared" si="51"/>
        <v>866.16</v>
      </c>
      <c r="G208" s="26" t="s">
        <v>110</v>
      </c>
      <c r="H208" s="31">
        <f>H206*H207</f>
        <v>8</v>
      </c>
      <c r="I208" s="31">
        <f>I205-(I206+I207)</f>
        <v>-179422948.32297957</v>
      </c>
      <c r="J208" s="31">
        <f t="shared" si="52"/>
        <v>-22427868.540372446</v>
      </c>
      <c r="K208" s="44">
        <f>J208/$J$16</f>
        <v>-136908.06516135865</v>
      </c>
      <c r="L208" s="31">
        <f>FINV(0.05,H208,$H$16)</f>
        <v>2.2253399674380931</v>
      </c>
      <c r="M208" s="31" t="str">
        <f t="shared" ref="M208" si="56">IF(K208&gt;=L208, "S", "NS")</f>
        <v>NS</v>
      </c>
      <c r="N208" s="39"/>
      <c r="O208" s="33">
        <v>3</v>
      </c>
      <c r="P208" s="31">
        <f t="shared" si="54"/>
        <v>929.23166666666668</v>
      </c>
      <c r="Q208" s="49">
        <f t="shared" si="55"/>
        <v>2</v>
      </c>
      <c r="R208" s="53">
        <v>2</v>
      </c>
    </row>
    <row r="209" spans="1:18" x14ac:dyDescent="0.25">
      <c r="A209" s="32" t="s">
        <v>93</v>
      </c>
      <c r="B209" s="51">
        <v>941.25</v>
      </c>
      <c r="C209" s="51">
        <v>886.58</v>
      </c>
      <c r="D209" s="51">
        <v>948.51</v>
      </c>
      <c r="E209" s="31">
        <f t="shared" si="50"/>
        <v>2776.34</v>
      </c>
      <c r="F209" s="31">
        <f t="shared" si="51"/>
        <v>925.44666666666672</v>
      </c>
      <c r="G209" s="45" t="s">
        <v>23</v>
      </c>
      <c r="H209" s="31">
        <f>((B200-1)*(B198*B199-1))</f>
        <v>34</v>
      </c>
      <c r="I209" s="31">
        <f>D224</f>
        <v>168442.51896666735</v>
      </c>
      <c r="J209" s="31">
        <f t="shared" si="52"/>
        <v>4954.1917343137457</v>
      </c>
      <c r="O209" s="33">
        <v>4</v>
      </c>
      <c r="P209" s="31">
        <f t="shared" si="54"/>
        <v>826.00833333333344</v>
      </c>
      <c r="Q209" s="49">
        <f t="shared" si="55"/>
        <v>7</v>
      </c>
      <c r="R209" s="53">
        <v>7</v>
      </c>
    </row>
    <row r="210" spans="1:18" x14ac:dyDescent="0.25">
      <c r="A210" s="32" t="s">
        <v>94</v>
      </c>
      <c r="B210" s="51">
        <v>781.58</v>
      </c>
      <c r="C210" s="51">
        <v>920.56</v>
      </c>
      <c r="D210" s="51">
        <v>798.54</v>
      </c>
      <c r="E210" s="31">
        <f t="shared" si="50"/>
        <v>2500.6799999999998</v>
      </c>
      <c r="F210" s="31">
        <f t="shared" si="51"/>
        <v>833.56</v>
      </c>
      <c r="G210" s="44" t="s">
        <v>4</v>
      </c>
      <c r="H210" s="31">
        <f>SUM(H204:H209)-H205</f>
        <v>53</v>
      </c>
      <c r="I210" s="31">
        <f>B223</f>
        <v>746404.11648333073</v>
      </c>
      <c r="K210" s="31" t="s">
        <v>111</v>
      </c>
      <c r="L210" s="41">
        <f>TINV(0.05,34)</f>
        <v>2.0322445093177191</v>
      </c>
      <c r="O210" s="33">
        <v>5</v>
      </c>
      <c r="P210" s="31">
        <f t="shared" si="54"/>
        <v>922.42833333333328</v>
      </c>
      <c r="Q210" s="49">
        <f t="shared" si="55"/>
        <v>3</v>
      </c>
      <c r="R210" s="52">
        <v>3</v>
      </c>
    </row>
    <row r="211" spans="1:18" x14ac:dyDescent="0.25">
      <c r="A211" s="32" t="s">
        <v>95</v>
      </c>
      <c r="B211" s="51">
        <v>511.59</v>
      </c>
      <c r="C211" s="51">
        <v>505.86</v>
      </c>
      <c r="D211" s="51">
        <v>776.85</v>
      </c>
      <c r="E211" s="31">
        <f t="shared" si="50"/>
        <v>1794.3000000000002</v>
      </c>
      <c r="F211" s="31">
        <f t="shared" si="51"/>
        <v>598.1</v>
      </c>
      <c r="G211" s="34" t="s">
        <v>14</v>
      </c>
      <c r="H211" s="31">
        <f>SQRT(J209/3)</f>
        <v>40.637387277865791</v>
      </c>
      <c r="O211" s="33">
        <v>6</v>
      </c>
      <c r="P211" s="31">
        <f t="shared" si="54"/>
        <v>947.03666666666663</v>
      </c>
      <c r="Q211" s="49">
        <f t="shared" si="55"/>
        <v>1</v>
      </c>
      <c r="R211" s="53">
        <v>1</v>
      </c>
    </row>
    <row r="212" spans="1:18" x14ac:dyDescent="0.25">
      <c r="A212" s="32" t="s">
        <v>96</v>
      </c>
      <c r="B212" s="51">
        <v>782.54</v>
      </c>
      <c r="C212" s="51">
        <v>935.86</v>
      </c>
      <c r="D212" s="51">
        <v>801.58</v>
      </c>
      <c r="E212" s="31">
        <f t="shared" si="50"/>
        <v>2519.98</v>
      </c>
      <c r="F212" s="31">
        <f t="shared" si="51"/>
        <v>839.99333333333334</v>
      </c>
      <c r="G212" s="34" t="s">
        <v>16</v>
      </c>
      <c r="H212" s="31">
        <f>(SQRT((2*J209)/3))*L210</f>
        <v>116.79297860767232</v>
      </c>
      <c r="O212" s="33">
        <v>7</v>
      </c>
      <c r="P212" s="31">
        <f t="shared" si="54"/>
        <v>841.81499999999994</v>
      </c>
      <c r="Q212" s="49">
        <f t="shared" si="55"/>
        <v>6</v>
      </c>
      <c r="R212" s="53">
        <v>6</v>
      </c>
    </row>
    <row r="213" spans="1:18" x14ac:dyDescent="0.25">
      <c r="A213" s="32" t="s">
        <v>97</v>
      </c>
      <c r="B213" s="51">
        <v>962.54</v>
      </c>
      <c r="C213" s="51">
        <v>835.86</v>
      </c>
      <c r="D213" s="51">
        <v>935.68</v>
      </c>
      <c r="E213" s="31">
        <f t="shared" si="50"/>
        <v>2734.08</v>
      </c>
      <c r="F213" s="31">
        <f t="shared" si="51"/>
        <v>911.36</v>
      </c>
      <c r="G213" s="34" t="s">
        <v>29</v>
      </c>
      <c r="H213" s="31">
        <f>((SQRT(J209))/F220)*100</f>
        <v>8.233240579236309</v>
      </c>
      <c r="O213" s="33">
        <v>8</v>
      </c>
      <c r="P213" s="31">
        <f t="shared" si="54"/>
        <v>910.68000000000006</v>
      </c>
      <c r="Q213" s="49">
        <f t="shared" si="55"/>
        <v>4</v>
      </c>
      <c r="R213" s="52">
        <v>4</v>
      </c>
    </row>
    <row r="214" spans="1:18" x14ac:dyDescent="0.25">
      <c r="A214" s="32" t="s">
        <v>98</v>
      </c>
      <c r="B214" s="51">
        <v>728.86</v>
      </c>
      <c r="C214" s="51">
        <v>752.86</v>
      </c>
      <c r="D214" s="51">
        <v>940.15</v>
      </c>
      <c r="E214" s="31">
        <f t="shared" si="50"/>
        <v>2421.87</v>
      </c>
      <c r="F214" s="31">
        <f t="shared" si="51"/>
        <v>807.29</v>
      </c>
      <c r="O214" s="33">
        <v>9</v>
      </c>
      <c r="P214" s="31">
        <f t="shared" si="54"/>
        <v>820.22333333333336</v>
      </c>
      <c r="Q214" s="49">
        <f t="shared" si="55"/>
        <v>8</v>
      </c>
      <c r="R214" s="53">
        <v>8</v>
      </c>
    </row>
    <row r="215" spans="1:18" x14ac:dyDescent="0.25">
      <c r="A215" s="32" t="s">
        <v>99</v>
      </c>
      <c r="B215" s="51">
        <v>805.75</v>
      </c>
      <c r="C215" s="51">
        <v>935.54</v>
      </c>
      <c r="D215" s="51">
        <v>971.58</v>
      </c>
      <c r="E215" s="31">
        <f t="shared" si="50"/>
        <v>2712.87</v>
      </c>
      <c r="F215" s="31">
        <f t="shared" si="51"/>
        <v>904.29</v>
      </c>
      <c r="O215" s="30" t="s">
        <v>14</v>
      </c>
      <c r="P215" s="42">
        <f>SQRT(J209/(3*2))</f>
        <v>28.734972113882836</v>
      </c>
      <c r="Q215" s="49"/>
    </row>
    <row r="216" spans="1:18" x14ac:dyDescent="0.25">
      <c r="A216" s="32" t="s">
        <v>100</v>
      </c>
      <c r="B216" s="51">
        <v>816.58</v>
      </c>
      <c r="C216" s="51">
        <v>962.56</v>
      </c>
      <c r="D216" s="51">
        <v>999.26</v>
      </c>
      <c r="E216" s="31">
        <f t="shared" si="50"/>
        <v>2778.3999999999996</v>
      </c>
      <c r="F216" s="31">
        <f t="shared" si="51"/>
        <v>926.13333333333321</v>
      </c>
      <c r="N216" s="30" t="s">
        <v>109</v>
      </c>
      <c r="O216" s="30" t="s">
        <v>16</v>
      </c>
      <c r="P216" s="42">
        <f>SQRT((2*J209)/(3*2))*L210</f>
        <v>82.585107168460482</v>
      </c>
      <c r="Q216" s="49"/>
    </row>
    <row r="217" spans="1:18" x14ac:dyDescent="0.25">
      <c r="A217" s="32" t="s">
        <v>101</v>
      </c>
      <c r="B217" s="51">
        <v>742.15</v>
      </c>
      <c r="C217" s="51">
        <v>824.57</v>
      </c>
      <c r="D217" s="51">
        <v>885.69</v>
      </c>
      <c r="E217" s="31">
        <f t="shared" si="50"/>
        <v>2452.41</v>
      </c>
      <c r="F217" s="31">
        <f>E217/3</f>
        <v>817.46999999999991</v>
      </c>
      <c r="Q217" s="49"/>
    </row>
    <row r="218" spans="1:18" x14ac:dyDescent="0.25">
      <c r="A218" s="32" t="s">
        <v>102</v>
      </c>
      <c r="B218" s="51">
        <v>852.87</v>
      </c>
      <c r="C218" s="51">
        <v>908.29</v>
      </c>
      <c r="D218" s="51">
        <v>926.58</v>
      </c>
      <c r="E218" s="31">
        <f t="shared" si="50"/>
        <v>2687.74</v>
      </c>
      <c r="F218" s="31">
        <f t="shared" ref="F218:F219" si="57">E218/3</f>
        <v>895.9133333333333</v>
      </c>
    </row>
    <row r="219" spans="1:18" x14ac:dyDescent="0.25">
      <c r="A219" s="32" t="s">
        <v>103</v>
      </c>
      <c r="B219" s="51">
        <v>741.58</v>
      </c>
      <c r="C219" s="51">
        <v>785.56</v>
      </c>
      <c r="D219" s="51">
        <v>893.52</v>
      </c>
      <c r="E219" s="31">
        <f t="shared" si="50"/>
        <v>2420.66</v>
      </c>
      <c r="F219" s="31">
        <f t="shared" si="57"/>
        <v>806.88666666666666</v>
      </c>
    </row>
    <row r="220" spans="1:18" x14ac:dyDescent="0.25">
      <c r="A220" s="30" t="s">
        <v>4</v>
      </c>
      <c r="B220" s="31">
        <f>SUM(B202:B219)</f>
        <v>14485.18</v>
      </c>
      <c r="C220" s="31">
        <f t="shared" ref="C220:D220" si="58">SUM(C202:C219)</f>
        <v>15321.67</v>
      </c>
      <c r="D220" s="31">
        <f t="shared" si="58"/>
        <v>16357.78</v>
      </c>
      <c r="E220" s="31">
        <f>SUM(E202:E219)</f>
        <v>46164.630000000005</v>
      </c>
      <c r="F220" s="31">
        <f>AVERAGE(B202:D219)</f>
        <v>854.90055555555591</v>
      </c>
    </row>
    <row r="221" spans="1:18" x14ac:dyDescent="0.25">
      <c r="A221" s="30" t="s">
        <v>5</v>
      </c>
      <c r="B221" s="31">
        <f>B220/18</f>
        <v>804.73222222222228</v>
      </c>
      <c r="C221" s="31">
        <f>C220/18</f>
        <v>851.20388888888886</v>
      </c>
      <c r="D221" s="31">
        <f>D220/18</f>
        <v>908.76555555555558</v>
      </c>
    </row>
    <row r="222" spans="1:18" x14ac:dyDescent="0.25">
      <c r="A222" s="30" t="s">
        <v>26</v>
      </c>
      <c r="B222" s="31">
        <f>(E220*E220)/54</f>
        <v>39466167.834016673</v>
      </c>
      <c r="C222" s="31"/>
      <c r="D222" s="31"/>
    </row>
    <row r="223" spans="1:18" x14ac:dyDescent="0.25">
      <c r="A223" s="30" t="s">
        <v>27</v>
      </c>
      <c r="B223" s="31">
        <f>SUMSQ(B202:D219)-B222</f>
        <v>746404.11648333073</v>
      </c>
      <c r="C223" s="30" t="s">
        <v>28</v>
      </c>
      <c r="D223" s="31">
        <f>(SUMSQ(B220:D220)/18)-B222</f>
        <v>97775.374299995601</v>
      </c>
    </row>
    <row r="224" spans="1:18" x14ac:dyDescent="0.25">
      <c r="A224" s="30" t="s">
        <v>30</v>
      </c>
      <c r="B224" s="31">
        <f>(SUMSQ(E202:E219)/3)-B222</f>
        <v>480186.22321666777</v>
      </c>
      <c r="C224" s="30" t="s">
        <v>31</v>
      </c>
      <c r="D224" s="31">
        <f>B223-B224-D223</f>
        <v>168442.51896666735</v>
      </c>
    </row>
    <row r="228" spans="1:18" x14ac:dyDescent="0.25">
      <c r="C228" s="66" t="s">
        <v>117</v>
      </c>
    </row>
    <row r="230" spans="1:18" x14ac:dyDescent="0.25">
      <c r="A230" s="36" t="s">
        <v>104</v>
      </c>
      <c r="B230" s="38">
        <v>2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5"/>
      <c r="O230" s="39"/>
      <c r="P230" s="39"/>
    </row>
    <row r="231" spans="1:18" x14ac:dyDescent="0.25">
      <c r="A231" s="36" t="s">
        <v>105</v>
      </c>
      <c r="B231" s="38">
        <v>9</v>
      </c>
      <c r="C231" s="39" t="s">
        <v>107</v>
      </c>
      <c r="D231" s="39">
        <v>18</v>
      </c>
      <c r="E231" s="39"/>
      <c r="F231" s="39"/>
      <c r="G231" s="39"/>
      <c r="H231" s="39"/>
      <c r="I231" s="39"/>
      <c r="J231" s="39"/>
      <c r="K231" s="39"/>
      <c r="L231" s="39"/>
      <c r="M231" s="35"/>
      <c r="N231" s="35"/>
      <c r="O231" s="39"/>
      <c r="P231" s="39"/>
    </row>
    <row r="232" spans="1:18" x14ac:dyDescent="0.25">
      <c r="A232" s="37" t="s">
        <v>106</v>
      </c>
      <c r="B232" s="40">
        <v>3</v>
      </c>
    </row>
    <row r="233" spans="1:18" x14ac:dyDescent="0.25">
      <c r="A233" s="46" t="s">
        <v>0</v>
      </c>
      <c r="B233" s="30" t="s">
        <v>1</v>
      </c>
      <c r="C233" s="30" t="s">
        <v>2</v>
      </c>
      <c r="D233" s="30" t="s">
        <v>3</v>
      </c>
      <c r="E233" s="30" t="s">
        <v>4</v>
      </c>
      <c r="F233" s="30" t="s">
        <v>5</v>
      </c>
      <c r="O233" s="41" t="s">
        <v>7</v>
      </c>
      <c r="R233" s="41"/>
    </row>
    <row r="234" spans="1:18" x14ac:dyDescent="0.25">
      <c r="A234" s="32" t="s">
        <v>86</v>
      </c>
      <c r="B234" s="51">
        <v>610.29</v>
      </c>
      <c r="C234" s="51">
        <v>702.25</v>
      </c>
      <c r="D234" s="51">
        <v>910.26</v>
      </c>
      <c r="E234" s="31">
        <f>SUM(B234:D234)</f>
        <v>2222.8000000000002</v>
      </c>
      <c r="F234" s="31">
        <f>E234/3</f>
        <v>740.93333333333339</v>
      </c>
      <c r="H234" s="47"/>
      <c r="I234" s="47"/>
      <c r="J234" s="47" t="s">
        <v>6</v>
      </c>
      <c r="K234" s="47"/>
      <c r="L234" s="47"/>
      <c r="M234" s="47"/>
      <c r="N234" s="47"/>
      <c r="O234" s="33">
        <v>1</v>
      </c>
      <c r="P234" s="31">
        <f>SUM(F234:F242)/9</f>
        <v>1021.8855555555557</v>
      </c>
      <c r="Q234" s="49">
        <f>RANK(P234,P$234:P$235,0)</f>
        <v>1</v>
      </c>
      <c r="R234" s="41"/>
    </row>
    <row r="235" spans="1:18" x14ac:dyDescent="0.25">
      <c r="A235" s="32" t="s">
        <v>87</v>
      </c>
      <c r="B235" s="51">
        <v>1072.58</v>
      </c>
      <c r="C235" s="51">
        <v>1021.56</v>
      </c>
      <c r="D235" s="51">
        <v>1126.58</v>
      </c>
      <c r="E235" s="31">
        <f t="shared" ref="E235:E242" si="59">SUM(B235:D235)</f>
        <v>3220.72</v>
      </c>
      <c r="F235" s="31">
        <f t="shared" ref="F235:F248" si="60">E235/3</f>
        <v>1073.5733333333333</v>
      </c>
      <c r="G235" s="31"/>
      <c r="H235" s="30" t="s">
        <v>8</v>
      </c>
      <c r="I235" s="30" t="s">
        <v>9</v>
      </c>
      <c r="J235" s="30" t="s">
        <v>10</v>
      </c>
      <c r="K235" s="30" t="s">
        <v>11</v>
      </c>
      <c r="L235" s="30" t="s">
        <v>12</v>
      </c>
      <c r="M235" s="30" t="s">
        <v>112</v>
      </c>
      <c r="N235" s="50"/>
      <c r="O235" s="33">
        <v>2</v>
      </c>
      <c r="P235" s="31">
        <f>SUM(F243:F251)/9</f>
        <v>967.09777777777788</v>
      </c>
      <c r="Q235" s="49">
        <f>RANK(P235,P$234:P$235,0)</f>
        <v>2</v>
      </c>
      <c r="R235" s="41"/>
    </row>
    <row r="236" spans="1:18" x14ac:dyDescent="0.25">
      <c r="A236" s="32" t="s">
        <v>88</v>
      </c>
      <c r="B236" s="51">
        <v>1005.86</v>
      </c>
      <c r="C236" s="51">
        <v>1060.24</v>
      </c>
      <c r="D236" s="51">
        <v>1216.58</v>
      </c>
      <c r="E236" s="31">
        <f t="shared" si="59"/>
        <v>3282.68</v>
      </c>
      <c r="F236" s="31">
        <f t="shared" si="60"/>
        <v>1094.2266666666667</v>
      </c>
      <c r="G236" s="31" t="s">
        <v>13</v>
      </c>
      <c r="H236" s="31">
        <f>B232-1</f>
        <v>2</v>
      </c>
      <c r="I236" s="31">
        <f>D255</f>
        <v>23703.124800018966</v>
      </c>
      <c r="J236" s="31">
        <f>I236/H236</f>
        <v>11851.562400009483</v>
      </c>
      <c r="K236" s="31">
        <f>J236/$J$16</f>
        <v>72.346352235996349</v>
      </c>
      <c r="L236" s="31">
        <f>FINV(0.05,H236,$H$16)</f>
        <v>3.275897990672394</v>
      </c>
      <c r="M236" s="31" t="str">
        <f>IF(K236&gt;=L236, "S", "NS")</f>
        <v>S</v>
      </c>
      <c r="N236" s="39"/>
      <c r="O236" s="30" t="s">
        <v>14</v>
      </c>
      <c r="P236" s="42">
        <f>SQRT(J241/(3*9))</f>
        <v>12.677562049569611</v>
      </c>
      <c r="R236" s="41"/>
    </row>
    <row r="237" spans="1:18" x14ac:dyDescent="0.25">
      <c r="A237" s="32" t="s">
        <v>89</v>
      </c>
      <c r="B237" s="51">
        <v>1007.58</v>
      </c>
      <c r="C237" s="51">
        <v>985.58</v>
      </c>
      <c r="D237" s="51">
        <v>1003.56</v>
      </c>
      <c r="E237" s="31">
        <f t="shared" si="59"/>
        <v>2996.7200000000003</v>
      </c>
      <c r="F237" s="31">
        <f t="shared" si="60"/>
        <v>998.90666666666675</v>
      </c>
      <c r="G237" s="31" t="s">
        <v>15</v>
      </c>
      <c r="H237" s="31">
        <f>D231-1</f>
        <v>17</v>
      </c>
      <c r="I237" s="31">
        <f>B256</f>
        <v>641248.55355001986</v>
      </c>
      <c r="J237" s="31">
        <f t="shared" ref="J237:J241" si="61">I237/H237</f>
        <v>37720.503150001168</v>
      </c>
      <c r="K237" s="31">
        <f>J237/$J$16</f>
        <v>230.26000414990102</v>
      </c>
      <c r="L237" s="31">
        <f>FINV(0.05,H237,$H$16)</f>
        <v>1.9332068318040869</v>
      </c>
      <c r="M237" s="43" t="str">
        <f t="shared" ref="M237" si="62">IF(K237&gt;=L237, "S", "NS")</f>
        <v>S</v>
      </c>
      <c r="N237" s="30" t="s">
        <v>113</v>
      </c>
      <c r="O237" s="30" t="s">
        <v>16</v>
      </c>
      <c r="P237" s="42">
        <f>SQRT((2*J241)/(3*9))*L242</f>
        <v>36.435665096493466</v>
      </c>
      <c r="R237" s="41"/>
    </row>
    <row r="238" spans="1:18" x14ac:dyDescent="0.25">
      <c r="A238" s="32" t="s">
        <v>90</v>
      </c>
      <c r="B238" s="51">
        <v>1101.25</v>
      </c>
      <c r="C238" s="51">
        <v>1081.56</v>
      </c>
      <c r="D238" s="51">
        <v>1088.95</v>
      </c>
      <c r="E238" s="31">
        <f t="shared" si="59"/>
        <v>3271.76</v>
      </c>
      <c r="F238" s="31">
        <f t="shared" si="60"/>
        <v>1090.5866666666668</v>
      </c>
      <c r="G238" s="31" t="s">
        <v>108</v>
      </c>
      <c r="H238" s="31">
        <f>B230-1</f>
        <v>1</v>
      </c>
      <c r="I238" s="31">
        <f>(SUM(E234:E242)^2+SUM(E243:E251)^2)/27-B254</f>
        <v>40522.958016686141</v>
      </c>
      <c r="J238" s="31">
        <f t="shared" si="61"/>
        <v>40522.958016686141</v>
      </c>
      <c r="K238" s="31">
        <f>J238/$J$16</f>
        <v>247.36723272176519</v>
      </c>
      <c r="L238" s="31">
        <f>FINV(0.05,H238,$H$16)</f>
        <v>4.1300177456520188</v>
      </c>
      <c r="M238" s="31" t="str">
        <f>IF(K238&gt;=L238, "S", "NS")</f>
        <v>S</v>
      </c>
      <c r="N238" s="39"/>
      <c r="O238" s="33">
        <v>1</v>
      </c>
      <c r="P238" s="31">
        <f>(F234+F243)/2</f>
        <v>719.32333333333327</v>
      </c>
      <c r="Q238" s="49">
        <f>RANK(P238,P$238:P$246,0)</f>
        <v>9</v>
      </c>
      <c r="R238" s="52">
        <v>9</v>
      </c>
    </row>
    <row r="239" spans="1:18" x14ac:dyDescent="0.25">
      <c r="A239" s="32" t="s">
        <v>91</v>
      </c>
      <c r="B239" s="51">
        <v>1128.56</v>
      </c>
      <c r="C239" s="51">
        <v>1100.25</v>
      </c>
      <c r="D239" s="51">
        <v>1118.5899999999999</v>
      </c>
      <c r="E239" s="31">
        <f t="shared" si="59"/>
        <v>3347.3999999999996</v>
      </c>
      <c r="F239" s="31">
        <f t="shared" si="60"/>
        <v>1115.8</v>
      </c>
      <c r="G239" s="31" t="s">
        <v>109</v>
      </c>
      <c r="H239" s="31">
        <f>B231-1</f>
        <v>8</v>
      </c>
      <c r="I239" s="31">
        <f>((E234+E243)^2+(E235+E244)^2+(E236+E245)^2+(E237+E246)^2+(E238+E247)^2+(E239+E248)^2+(E240+E249)^2+(E241+E250)^2+(E242+E251)^2/6)-B254</f>
        <v>242889132.75041667</v>
      </c>
      <c r="J239" s="31">
        <f t="shared" si="61"/>
        <v>30361141.593802083</v>
      </c>
      <c r="K239" s="31">
        <f>J239/$J$16</f>
        <v>185335.71945167394</v>
      </c>
      <c r="L239" s="31">
        <f>FINV(0.05,H239,$H$16)</f>
        <v>2.2253399674380931</v>
      </c>
      <c r="M239" s="31" t="str">
        <f>IF(K239&gt;=L239, "S", "NS")</f>
        <v>S</v>
      </c>
      <c r="N239" s="39"/>
      <c r="O239" s="33">
        <v>2</v>
      </c>
      <c r="P239" s="31">
        <f t="shared" ref="P239:P246" si="63">(F235+F244)/2</f>
        <v>1043.4099999999999</v>
      </c>
      <c r="Q239" s="49">
        <f t="shared" ref="Q239:Q246" si="64">RANK(P239,P$238:P$246,0)</f>
        <v>5</v>
      </c>
      <c r="R239" s="53">
        <v>5</v>
      </c>
    </row>
    <row r="240" spans="1:18" x14ac:dyDescent="0.25">
      <c r="A240" s="32" t="s">
        <v>92</v>
      </c>
      <c r="B240" s="51">
        <v>1007.58</v>
      </c>
      <c r="C240" s="51">
        <v>1094.58</v>
      </c>
      <c r="D240" s="51">
        <v>940.25</v>
      </c>
      <c r="E240" s="31">
        <f t="shared" si="59"/>
        <v>3042.41</v>
      </c>
      <c r="F240" s="31">
        <f t="shared" si="60"/>
        <v>1014.1366666666667</v>
      </c>
      <c r="G240" s="26" t="s">
        <v>110</v>
      </c>
      <c r="H240" s="31">
        <f>H238*H239</f>
        <v>8</v>
      </c>
      <c r="I240" s="31">
        <f>I237-(I238+I239)</f>
        <v>-242288407.15488333</v>
      </c>
      <c r="J240" s="31">
        <f t="shared" si="61"/>
        <v>-30286050.894360416</v>
      </c>
      <c r="K240" s="44">
        <f>J240/$J$16</f>
        <v>-184877.33784694562</v>
      </c>
      <c r="L240" s="31">
        <f>FINV(0.05,H240,$H$16)</f>
        <v>2.2253399674380931</v>
      </c>
      <c r="M240" s="31" t="str">
        <f t="shared" ref="M240" si="65">IF(K240&gt;=L240, "S", "NS")</f>
        <v>NS</v>
      </c>
      <c r="N240" s="39"/>
      <c r="O240" s="33">
        <v>3</v>
      </c>
      <c r="P240" s="31">
        <f t="shared" si="63"/>
        <v>1061.405</v>
      </c>
      <c r="Q240" s="49">
        <f t="shared" si="64"/>
        <v>2</v>
      </c>
      <c r="R240" s="53">
        <v>2</v>
      </c>
    </row>
    <row r="241" spans="1:18" x14ac:dyDescent="0.25">
      <c r="A241" s="32" t="s">
        <v>93</v>
      </c>
      <c r="B241" s="51">
        <v>1084.53</v>
      </c>
      <c r="C241" s="51">
        <v>1067.58</v>
      </c>
      <c r="D241" s="51">
        <v>1078.58</v>
      </c>
      <c r="E241" s="31">
        <f t="shared" si="59"/>
        <v>3230.6899999999996</v>
      </c>
      <c r="F241" s="31">
        <f t="shared" si="60"/>
        <v>1076.8966666666665</v>
      </c>
      <c r="G241" s="45" t="s">
        <v>23</v>
      </c>
      <c r="H241" s="31">
        <f>((B232-1)*(B230*B231-1))</f>
        <v>34</v>
      </c>
      <c r="I241" s="31">
        <f>D256</f>
        <v>147541.49199999124</v>
      </c>
      <c r="J241" s="31">
        <f t="shared" si="61"/>
        <v>4339.4556470585658</v>
      </c>
      <c r="O241" s="33">
        <v>4</v>
      </c>
      <c r="P241" s="31">
        <f t="shared" si="63"/>
        <v>977.85500000000002</v>
      </c>
      <c r="Q241" s="49">
        <f t="shared" si="64"/>
        <v>7</v>
      </c>
      <c r="R241" s="53">
        <v>7</v>
      </c>
    </row>
    <row r="242" spans="1:18" x14ac:dyDescent="0.25">
      <c r="A242" s="32" t="s">
        <v>94</v>
      </c>
      <c r="B242" s="51">
        <v>1000.23</v>
      </c>
      <c r="C242" s="51">
        <v>972.25</v>
      </c>
      <c r="D242" s="51">
        <v>1003.25</v>
      </c>
      <c r="E242" s="31">
        <f t="shared" si="59"/>
        <v>2975.73</v>
      </c>
      <c r="F242" s="31">
        <f t="shared" si="60"/>
        <v>991.91</v>
      </c>
      <c r="G242" s="44" t="s">
        <v>4</v>
      </c>
      <c r="H242" s="31">
        <f>SUM(H236:H241)-H237</f>
        <v>53</v>
      </c>
      <c r="I242" s="31">
        <f>B255</f>
        <v>812493.17035003006</v>
      </c>
      <c r="K242" s="31" t="s">
        <v>111</v>
      </c>
      <c r="L242" s="41">
        <f>TINV(0.05,34)</f>
        <v>2.0322445093177191</v>
      </c>
      <c r="O242" s="33">
        <v>5</v>
      </c>
      <c r="P242" s="31">
        <f t="shared" si="63"/>
        <v>1058.4750000000001</v>
      </c>
      <c r="Q242" s="49">
        <f t="shared" si="64"/>
        <v>3</v>
      </c>
      <c r="R242" s="52">
        <v>3</v>
      </c>
    </row>
    <row r="243" spans="1:18" x14ac:dyDescent="0.25">
      <c r="A243" s="32" t="s">
        <v>95</v>
      </c>
      <c r="B243" s="51">
        <v>617.98</v>
      </c>
      <c r="C243" s="51">
        <v>667.58</v>
      </c>
      <c r="D243" s="51">
        <v>807.58</v>
      </c>
      <c r="E243" s="31">
        <f t="shared" ref="E243:E251" si="66">SUM(B243:D243)</f>
        <v>2093.14</v>
      </c>
      <c r="F243" s="31">
        <f t="shared" si="60"/>
        <v>697.71333333333325</v>
      </c>
      <c r="G243" s="34" t="s">
        <v>14</v>
      </c>
      <c r="H243" s="31">
        <f>SQRT(J241/3)</f>
        <v>38.032686148708834</v>
      </c>
      <c r="O243" s="33">
        <v>6</v>
      </c>
      <c r="P243" s="31">
        <f t="shared" si="63"/>
        <v>1085.19</v>
      </c>
      <c r="Q243" s="49">
        <f t="shared" si="64"/>
        <v>1</v>
      </c>
      <c r="R243" s="53">
        <v>1</v>
      </c>
    </row>
    <row r="244" spans="1:18" x14ac:dyDescent="0.25">
      <c r="A244" s="32" t="s">
        <v>96</v>
      </c>
      <c r="B244" s="51">
        <v>937.58</v>
      </c>
      <c r="C244" s="51">
        <v>972.58</v>
      </c>
      <c r="D244" s="51">
        <v>1129.58</v>
      </c>
      <c r="E244" s="31">
        <f t="shared" si="66"/>
        <v>3039.74</v>
      </c>
      <c r="F244" s="31">
        <f t="shared" si="60"/>
        <v>1013.2466666666666</v>
      </c>
      <c r="G244" s="34" t="s">
        <v>16</v>
      </c>
      <c r="H244" s="31">
        <f>(SQRT((2*J241)/3))*L242</f>
        <v>109.30699528948038</v>
      </c>
      <c r="O244" s="33">
        <v>7</v>
      </c>
      <c r="P244" s="31">
        <f t="shared" si="63"/>
        <v>988.33500000000004</v>
      </c>
      <c r="Q244" s="49">
        <f t="shared" si="64"/>
        <v>6</v>
      </c>
      <c r="R244" s="53">
        <v>6</v>
      </c>
    </row>
    <row r="245" spans="1:18" x14ac:dyDescent="0.25">
      <c r="A245" s="32" t="s">
        <v>97</v>
      </c>
      <c r="B245" s="51">
        <v>983.25</v>
      </c>
      <c r="C245" s="51">
        <v>1018.25</v>
      </c>
      <c r="D245" s="51">
        <v>1084.25</v>
      </c>
      <c r="E245" s="31">
        <f t="shared" si="66"/>
        <v>3085.75</v>
      </c>
      <c r="F245" s="31">
        <f t="shared" si="60"/>
        <v>1028.5833333333333</v>
      </c>
      <c r="G245" s="34" t="s">
        <v>29</v>
      </c>
      <c r="H245" s="31">
        <f>((SQRT(J241))/F252)*100</f>
        <v>6.6239413527398181</v>
      </c>
      <c r="O245" s="33">
        <v>8</v>
      </c>
      <c r="P245" s="31">
        <f t="shared" si="63"/>
        <v>1054.7950000000001</v>
      </c>
      <c r="Q245" s="49">
        <f t="shared" si="64"/>
        <v>4</v>
      </c>
      <c r="R245" s="52">
        <v>4</v>
      </c>
    </row>
    <row r="246" spans="1:18" x14ac:dyDescent="0.25">
      <c r="A246" s="32" t="s">
        <v>98</v>
      </c>
      <c r="B246" s="51">
        <v>933.25</v>
      </c>
      <c r="C246" s="51">
        <v>1006.58</v>
      </c>
      <c r="D246" s="51">
        <v>930.58</v>
      </c>
      <c r="E246" s="31">
        <f t="shared" si="66"/>
        <v>2870.41</v>
      </c>
      <c r="F246" s="31">
        <f t="shared" si="60"/>
        <v>956.80333333333328</v>
      </c>
      <c r="O246" s="33">
        <v>9</v>
      </c>
      <c r="P246" s="31">
        <f t="shared" si="63"/>
        <v>961.63666666666666</v>
      </c>
      <c r="Q246" s="49">
        <f t="shared" si="64"/>
        <v>8</v>
      </c>
      <c r="R246" s="53">
        <v>8</v>
      </c>
    </row>
    <row r="247" spans="1:18" x14ac:dyDescent="0.25">
      <c r="A247" s="32" t="s">
        <v>99</v>
      </c>
      <c r="B247" s="51">
        <v>992.25</v>
      </c>
      <c r="C247" s="51">
        <v>1092.25</v>
      </c>
      <c r="D247" s="51">
        <v>994.59</v>
      </c>
      <c r="E247" s="31">
        <f t="shared" si="66"/>
        <v>3079.09</v>
      </c>
      <c r="F247" s="31">
        <f t="shared" si="60"/>
        <v>1026.3633333333335</v>
      </c>
      <c r="O247" s="30" t="s">
        <v>14</v>
      </c>
      <c r="P247" s="42">
        <f>SQRT(J241/(3*2))</f>
        <v>26.893170282491692</v>
      </c>
      <c r="Q247" s="49"/>
    </row>
    <row r="248" spans="1:18" x14ac:dyDescent="0.25">
      <c r="A248" s="32" t="s">
        <v>100</v>
      </c>
      <c r="B248" s="51">
        <v>1089.58</v>
      </c>
      <c r="C248" s="51">
        <v>987.58</v>
      </c>
      <c r="D248" s="51">
        <v>1086.58</v>
      </c>
      <c r="E248" s="31">
        <f t="shared" si="66"/>
        <v>3163.74</v>
      </c>
      <c r="F248" s="31">
        <f t="shared" si="60"/>
        <v>1054.58</v>
      </c>
      <c r="N248" s="30" t="s">
        <v>109</v>
      </c>
      <c r="O248" s="30" t="s">
        <v>16</v>
      </c>
      <c r="P248" s="42">
        <f>SQRT((2*J241)/(3*2))*L242</f>
        <v>77.291717600317597</v>
      </c>
      <c r="Q248" s="49"/>
    </row>
    <row r="249" spans="1:18" x14ac:dyDescent="0.25">
      <c r="A249" s="32" t="s">
        <v>101</v>
      </c>
      <c r="B249" s="51">
        <v>1007.48</v>
      </c>
      <c r="C249" s="51">
        <v>941.58</v>
      </c>
      <c r="D249" s="51">
        <v>938.54</v>
      </c>
      <c r="E249" s="31">
        <f t="shared" si="66"/>
        <v>2887.6</v>
      </c>
      <c r="F249" s="31">
        <f>E249/3</f>
        <v>962.5333333333333</v>
      </c>
      <c r="Q249" s="49"/>
    </row>
    <row r="250" spans="1:18" x14ac:dyDescent="0.25">
      <c r="A250" s="32" t="s">
        <v>102</v>
      </c>
      <c r="B250" s="51">
        <v>1105.25</v>
      </c>
      <c r="C250" s="51">
        <v>938.58</v>
      </c>
      <c r="D250" s="51">
        <v>1054.25</v>
      </c>
      <c r="E250" s="31">
        <f t="shared" si="66"/>
        <v>3098.08</v>
      </c>
      <c r="F250" s="31">
        <f t="shared" ref="F250:F251" si="67">E250/3</f>
        <v>1032.6933333333334</v>
      </c>
    </row>
    <row r="251" spans="1:18" x14ac:dyDescent="0.25">
      <c r="A251" s="32" t="s">
        <v>103</v>
      </c>
      <c r="B251" s="51">
        <v>955.25</v>
      </c>
      <c r="C251" s="51">
        <v>917.26</v>
      </c>
      <c r="D251" s="51">
        <v>921.58</v>
      </c>
      <c r="E251" s="31">
        <f t="shared" si="66"/>
        <v>2794.09</v>
      </c>
      <c r="F251" s="31">
        <f t="shared" si="67"/>
        <v>931.36333333333334</v>
      </c>
    </row>
    <row r="252" spans="1:18" x14ac:dyDescent="0.25">
      <c r="A252" s="30" t="s">
        <v>4</v>
      </c>
      <c r="B252" s="31">
        <f>SUM(B234:B251)</f>
        <v>17640.329999999998</v>
      </c>
      <c r="C252" s="31">
        <f>SUM(C234:C251)</f>
        <v>17628.09</v>
      </c>
      <c r="D252" s="31">
        <f>SUM(D234:D251)</f>
        <v>18434.13</v>
      </c>
      <c r="E252" s="31">
        <f>SUM(E234:E251)</f>
        <v>53702.549999999988</v>
      </c>
      <c r="F252" s="31">
        <f>AVERAGE(B234:D251)</f>
        <v>994.49166666666713</v>
      </c>
    </row>
    <row r="253" spans="1:18" x14ac:dyDescent="0.25">
      <c r="A253" s="30" t="s">
        <v>5</v>
      </c>
      <c r="B253" s="31">
        <f>B252/18</f>
        <v>980.0183333333332</v>
      </c>
      <c r="C253" s="31">
        <f>C252/18</f>
        <v>979.33833333333337</v>
      </c>
      <c r="D253" s="31">
        <f>D252/18</f>
        <v>1024.1183333333333</v>
      </c>
    </row>
    <row r="254" spans="1:18" x14ac:dyDescent="0.25">
      <c r="A254" s="30" t="s">
        <v>26</v>
      </c>
      <c r="B254" s="31">
        <f>(E252*E252)/54</f>
        <v>53406738.453749977</v>
      </c>
      <c r="C254" s="31"/>
      <c r="D254" s="31"/>
    </row>
    <row r="255" spans="1:18" x14ac:dyDescent="0.25">
      <c r="A255" s="30" t="s">
        <v>27</v>
      </c>
      <c r="B255" s="31">
        <f>SUMSQ(B234:D251)-B254</f>
        <v>812493.17035003006</v>
      </c>
      <c r="C255" s="30" t="s">
        <v>28</v>
      </c>
      <c r="D255" s="31">
        <f>(SUMSQ(B252:D252)/18)-B254</f>
        <v>23703.124800018966</v>
      </c>
    </row>
    <row r="256" spans="1:18" x14ac:dyDescent="0.25">
      <c r="A256" s="30" t="s">
        <v>30</v>
      </c>
      <c r="B256" s="31">
        <f>(SUMSQ(E234:E251)/3)-B254</f>
        <v>641248.55355001986</v>
      </c>
      <c r="C256" s="30" t="s">
        <v>31</v>
      </c>
      <c r="D256" s="31">
        <f>B255-B256-D255</f>
        <v>147541.49199999124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"/>
  <sheetViews>
    <sheetView topLeftCell="A7" workbookViewId="0">
      <selection activeCell="P202" sqref="P202:P214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425781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1" spans="1:21" ht="22.5" x14ac:dyDescent="0.3">
      <c r="C1" s="80" t="s">
        <v>121</v>
      </c>
    </row>
    <row r="2" spans="1:21" x14ac:dyDescent="0.25">
      <c r="C2" s="75">
        <v>2019</v>
      </c>
    </row>
    <row r="3" spans="1:21" x14ac:dyDescent="0.25">
      <c r="C3" s="48" t="s">
        <v>118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>
        <f>LN(B9)</f>
        <v>1.5877396471486203</v>
      </c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5"/>
      <c r="T8" s="55"/>
      <c r="U8" s="55"/>
    </row>
    <row r="9" spans="1:21" x14ac:dyDescent="0.25">
      <c r="A9" s="32" t="s">
        <v>86</v>
      </c>
      <c r="B9" s="65">
        <f>LN('Dry mt. new'!B9)</f>
        <v>4.8926772431255854</v>
      </c>
      <c r="C9" s="65">
        <f>LN('Dry mt. new'!C9)</f>
        <v>5.1146949640210337</v>
      </c>
      <c r="D9" s="65">
        <f>LN('Dry mt. new'!D9)</f>
        <v>5.1595724068706268</v>
      </c>
      <c r="E9" s="31">
        <f t="shared" ref="E9:E26" si="0">SUM(B9:D9)</f>
        <v>15.166944614017247</v>
      </c>
      <c r="F9" s="31">
        <f>E9/3</f>
        <v>5.0556482046724156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42">
        <f>SUM(F9:F17)/9</f>
        <v>5.4866503088642586</v>
      </c>
      <c r="Q9" s="49">
        <f>RANK(P9,P$9:P$10,0)</f>
        <v>1</v>
      </c>
      <c r="S9" s="55"/>
      <c r="T9" s="55"/>
      <c r="U9" s="55"/>
    </row>
    <row r="10" spans="1:21" x14ac:dyDescent="0.25">
      <c r="A10" s="32" t="s">
        <v>87</v>
      </c>
      <c r="B10" s="65">
        <f>LN('Dry mt. new'!B10)</f>
        <v>5.4640860100009228</v>
      </c>
      <c r="C10" s="65">
        <f>LN('Dry mt. new'!C10)</f>
        <v>5.5349298038092103</v>
      </c>
      <c r="D10" s="65">
        <f>LN('Dry mt. new'!D10)</f>
        <v>5.587548238989668</v>
      </c>
      <c r="E10" s="31">
        <f t="shared" si="0"/>
        <v>16.586564052799801</v>
      </c>
      <c r="F10" s="31">
        <f t="shared" ref="F10:F26" si="1">E10/3</f>
        <v>5.5288546842666006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42">
        <f>SUM(F18:F26)/9</f>
        <v>5.4456484242944052</v>
      </c>
      <c r="Q10" s="49">
        <f>RANK(P10,P$9:P$10,0)</f>
        <v>2</v>
      </c>
      <c r="S10" s="55"/>
      <c r="T10" s="55"/>
      <c r="U10" s="55"/>
    </row>
    <row r="11" spans="1:21" x14ac:dyDescent="0.25">
      <c r="A11" s="32" t="s">
        <v>88</v>
      </c>
      <c r="B11" s="65">
        <f>LN('Dry mt. new'!B11)</f>
        <v>5.5177741300042511</v>
      </c>
      <c r="C11" s="65">
        <f>LN('Dry mt. new'!C11)</f>
        <v>5.5949344030573966</v>
      </c>
      <c r="D11" s="65">
        <f>LN('Dry mt. new'!D11)</f>
        <v>5.7153157104698744</v>
      </c>
      <c r="E11" s="31">
        <f t="shared" si="0"/>
        <v>16.828024243531523</v>
      </c>
      <c r="F11" s="31">
        <f t="shared" si="1"/>
        <v>5.6093414145105074</v>
      </c>
      <c r="G11" s="31" t="s">
        <v>13</v>
      </c>
      <c r="H11" s="31">
        <f>B7-1</f>
        <v>2</v>
      </c>
      <c r="I11" s="31">
        <f>D30</f>
        <v>0.28266736009868509</v>
      </c>
      <c r="J11" s="31">
        <f>I11/H11</f>
        <v>0.14133368004934255</v>
      </c>
      <c r="K11" s="31">
        <f>J11/$J$16</f>
        <v>29.741189505122254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1.3266665661262157E-2</v>
      </c>
      <c r="S11" s="55"/>
      <c r="T11" s="55"/>
      <c r="U11" s="55"/>
    </row>
    <row r="12" spans="1:21" x14ac:dyDescent="0.25">
      <c r="A12" s="32" t="s">
        <v>89</v>
      </c>
      <c r="B12" s="65">
        <f>LN('Dry mt. new'!B12)</f>
        <v>5.3359984335157256</v>
      </c>
      <c r="C12" s="65">
        <f>LN('Dry mt. new'!C12)</f>
        <v>5.4883176992689924</v>
      </c>
      <c r="D12" s="65">
        <f>LN('Dry mt. new'!D12)</f>
        <v>5.5837970154446177</v>
      </c>
      <c r="E12" s="31">
        <f t="shared" si="0"/>
        <v>16.408113148229337</v>
      </c>
      <c r="F12" s="31">
        <f t="shared" si="1"/>
        <v>5.4693710494097791</v>
      </c>
      <c r="G12" s="31" t="s">
        <v>15</v>
      </c>
      <c r="H12" s="31">
        <f>D6-1</f>
        <v>17</v>
      </c>
      <c r="I12" s="31">
        <f>B31</f>
        <v>1.4022041905209335</v>
      </c>
      <c r="J12" s="31">
        <f t="shared" ref="J12:J16" si="2">I12/H12</f>
        <v>8.248259944240785E-2</v>
      </c>
      <c r="K12" s="31">
        <f>J12/$J$16</f>
        <v>17.357013700027508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3.8128765222435503E-2</v>
      </c>
      <c r="S12" s="55"/>
      <c r="T12" s="55"/>
      <c r="U12" s="55"/>
    </row>
    <row r="13" spans="1:21" x14ac:dyDescent="0.25">
      <c r="A13" s="32" t="s">
        <v>90</v>
      </c>
      <c r="B13" s="65">
        <f>LN('Dry mt. new'!B13)</f>
        <v>5.5698319465876409</v>
      </c>
      <c r="C13" s="65">
        <f>LN('Dry mt. new'!C13)</f>
        <v>5.5885586613947407</v>
      </c>
      <c r="D13" s="65">
        <f>LN('Dry mt. new'!D13)</f>
        <v>5.6206906787897477</v>
      </c>
      <c r="E13" s="31">
        <f t="shared" si="0"/>
        <v>16.779081286772129</v>
      </c>
      <c r="F13" s="31">
        <f t="shared" si="1"/>
        <v>5.5930270955907098</v>
      </c>
      <c r="G13" s="31" t="s">
        <v>108</v>
      </c>
      <c r="H13" s="31">
        <f>B5-1</f>
        <v>1</v>
      </c>
      <c r="I13" s="31">
        <f>(SUM(E9:E17)^2+SUM(E18:E26)^2)/27-B29</f>
        <v>2.2695586266081591E-2</v>
      </c>
      <c r="J13" s="31">
        <f t="shared" si="2"/>
        <v>2.2695586266081591E-2</v>
      </c>
      <c r="K13" s="31">
        <f>J13/$J$16</f>
        <v>4.7758873315527346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42">
        <f>(F9+F18)/2</f>
        <v>5.0414570898122175</v>
      </c>
      <c r="Q13" s="49">
        <f>RANK(P13,P$13:P$21,0)</f>
        <v>9</v>
      </c>
      <c r="R13" s="52">
        <v>9</v>
      </c>
      <c r="S13" s="56"/>
      <c r="T13" s="56"/>
      <c r="U13" s="56"/>
    </row>
    <row r="14" spans="1:21" x14ac:dyDescent="0.25">
      <c r="A14" s="32" t="s">
        <v>91</v>
      </c>
      <c r="B14" s="65">
        <f>LN('Dry mt. new'!B14)</f>
        <v>5.5072808542884122</v>
      </c>
      <c r="C14" s="65">
        <f>LN('Dry mt. new'!C14)</f>
        <v>5.6421198142640945</v>
      </c>
      <c r="D14" s="65">
        <f>LN('Dry mt. new'!D14)</f>
        <v>5.746778105117297</v>
      </c>
      <c r="E14" s="31">
        <f t="shared" si="0"/>
        <v>16.896178773669803</v>
      </c>
      <c r="F14" s="31">
        <f t="shared" si="1"/>
        <v>5.6320595912232676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7186.1146280382454</v>
      </c>
      <c r="J14" s="31">
        <f t="shared" si="2"/>
        <v>898.26432850478068</v>
      </c>
      <c r="K14" s="31">
        <f>J14/$J$16</f>
        <v>189023.9439772965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42">
        <f t="shared" ref="P14:P21" si="4">(F10+F19)/2</f>
        <v>5.513569815286397</v>
      </c>
      <c r="Q14" s="49">
        <f t="shared" ref="Q14:Q21" si="5">RANK(P14,P$13:P$21,0)</f>
        <v>5</v>
      </c>
      <c r="R14" s="53">
        <v>5</v>
      </c>
      <c r="S14" s="55"/>
      <c r="T14" s="55"/>
      <c r="U14" s="55"/>
    </row>
    <row r="15" spans="1:21" x14ac:dyDescent="0.25">
      <c r="A15" s="32" t="s">
        <v>92</v>
      </c>
      <c r="B15" s="65">
        <f>LN('Dry mt. new'!B15)</f>
        <v>5.3631214774135332</v>
      </c>
      <c r="C15" s="65">
        <f>LN('Dry mt. new'!C15)</f>
        <v>5.4426774170548722</v>
      </c>
      <c r="D15" s="65">
        <f>LN('Dry mt. new'!D15)</f>
        <v>5.5762520875449377</v>
      </c>
      <c r="E15" s="31">
        <f t="shared" si="0"/>
        <v>16.382050982013343</v>
      </c>
      <c r="F15" s="31">
        <f t="shared" si="1"/>
        <v>5.4606836606711147</v>
      </c>
      <c r="G15" s="26" t="s">
        <v>110</v>
      </c>
      <c r="H15" s="31">
        <f>H13*H14</f>
        <v>8</v>
      </c>
      <c r="I15" s="31">
        <f>I12-(I13+I14)</f>
        <v>-7184.7351194339908</v>
      </c>
      <c r="J15" s="31">
        <f t="shared" si="2"/>
        <v>-898.09188992924885</v>
      </c>
      <c r="K15" s="44">
        <f>J15/$J$16</f>
        <v>-188987.65730910038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42">
        <f t="shared" si="4"/>
        <v>5.5765702337347278</v>
      </c>
      <c r="Q15" s="49">
        <f t="shared" si="5"/>
        <v>2</v>
      </c>
      <c r="R15" s="53">
        <v>2</v>
      </c>
      <c r="S15" s="55"/>
      <c r="T15" s="55"/>
      <c r="U15" s="55"/>
    </row>
    <row r="16" spans="1:21" x14ac:dyDescent="0.25">
      <c r="A16" s="32" t="s">
        <v>93</v>
      </c>
      <c r="B16" s="65">
        <f>LN('Dry mt. new'!B16)</f>
        <v>5.4938019098682718</v>
      </c>
      <c r="C16" s="65">
        <f>LN('Dry mt. new'!C16)</f>
        <v>5.5647502659606438</v>
      </c>
      <c r="D16" s="65">
        <f>LN('Dry mt. new'!D16)</f>
        <v>5.6311400946640893</v>
      </c>
      <c r="E16" s="31">
        <f t="shared" si="0"/>
        <v>16.689692270493005</v>
      </c>
      <c r="F16" s="31">
        <f t="shared" si="1"/>
        <v>5.5632307568310013</v>
      </c>
      <c r="G16" s="45" t="s">
        <v>23</v>
      </c>
      <c r="H16" s="31">
        <f>((B7-1)*(B5*B6-1))</f>
        <v>34</v>
      </c>
      <c r="I16" s="31">
        <f>D31</f>
        <v>0.16157205551076004</v>
      </c>
      <c r="J16" s="31">
        <f t="shared" si="2"/>
        <v>4.7521192797282362E-3</v>
      </c>
      <c r="O16" s="33">
        <v>4</v>
      </c>
      <c r="P16" s="42">
        <f t="shared" si="4"/>
        <v>5.455131764505917</v>
      </c>
      <c r="Q16" s="49">
        <f t="shared" si="5"/>
        <v>7</v>
      </c>
      <c r="R16" s="53">
        <v>7</v>
      </c>
      <c r="S16" s="55"/>
      <c r="T16" s="55"/>
      <c r="U16" s="55"/>
    </row>
    <row r="17" spans="1:21" x14ac:dyDescent="0.25">
      <c r="A17" s="32" t="s">
        <v>94</v>
      </c>
      <c r="B17" s="65">
        <f>LN('Dry mt. new'!B17)</f>
        <v>5.4086952740176457</v>
      </c>
      <c r="C17" s="65">
        <f>LN('Dry mt. new'!C17)</f>
        <v>5.4644671963421265</v>
      </c>
      <c r="D17" s="65">
        <f>LN('Dry mt. new'!D17)</f>
        <v>5.5297464974490191</v>
      </c>
      <c r="E17" s="31">
        <f t="shared" si="0"/>
        <v>16.402908967808791</v>
      </c>
      <c r="F17" s="31">
        <f t="shared" si="1"/>
        <v>5.4676363226029308</v>
      </c>
      <c r="G17" s="44" t="s">
        <v>4</v>
      </c>
      <c r="H17" s="31">
        <f>SUM(H11:H16)-H12</f>
        <v>53</v>
      </c>
      <c r="I17" s="31">
        <f>B30</f>
        <v>1.8464436061303786</v>
      </c>
      <c r="K17" s="31" t="s">
        <v>111</v>
      </c>
      <c r="L17" s="41">
        <f>TINV(0.05,34)</f>
        <v>2.0322445093177191</v>
      </c>
      <c r="O17" s="33">
        <v>5</v>
      </c>
      <c r="P17" s="42">
        <f t="shared" si="4"/>
        <v>5.561419370097294</v>
      </c>
      <c r="Q17" s="49">
        <f t="shared" si="5"/>
        <v>3</v>
      </c>
      <c r="R17" s="52">
        <v>3</v>
      </c>
      <c r="S17" s="78"/>
      <c r="T17" s="78"/>
      <c r="U17" s="78"/>
    </row>
    <row r="18" spans="1:21" x14ac:dyDescent="0.25">
      <c r="A18" s="32" t="s">
        <v>95</v>
      </c>
      <c r="B18" s="65">
        <f>LN('Dry mt. new'!B18)</f>
        <v>4.8335002639896016</v>
      </c>
      <c r="C18" s="65">
        <f>LN('Dry mt. new'!C18)</f>
        <v>4.8796150316578517</v>
      </c>
      <c r="D18" s="65">
        <f>LN('Dry mt. new'!D18)</f>
        <v>5.3686826292086005</v>
      </c>
      <c r="E18" s="31">
        <f t="shared" si="0"/>
        <v>15.081797924856055</v>
      </c>
      <c r="F18" s="31">
        <f t="shared" si="1"/>
        <v>5.0272659749520185</v>
      </c>
      <c r="G18" s="34" t="s">
        <v>14</v>
      </c>
      <c r="H18" s="31">
        <f>SQRT(J16/3)</f>
        <v>3.9799996983786466E-2</v>
      </c>
      <c r="O18" s="33">
        <v>6</v>
      </c>
      <c r="P18" s="42">
        <f t="shared" si="4"/>
        <v>5.606024055258505</v>
      </c>
      <c r="Q18" s="49">
        <f t="shared" si="5"/>
        <v>1</v>
      </c>
      <c r="R18" s="53">
        <v>1</v>
      </c>
      <c r="S18" s="78"/>
      <c r="T18" s="78"/>
      <c r="U18" s="78"/>
    </row>
    <row r="19" spans="1:21" x14ac:dyDescent="0.25">
      <c r="A19" s="32" t="s">
        <v>96</v>
      </c>
      <c r="B19" s="65">
        <f>LN('Dry mt. new'!B19)</f>
        <v>5.4800554198035751</v>
      </c>
      <c r="C19" s="65">
        <f>LN('Dry mt. new'!C19)</f>
        <v>5.4871178894397001</v>
      </c>
      <c r="D19" s="65">
        <f>LN('Dry mt. new'!D19)</f>
        <v>5.527681529675303</v>
      </c>
      <c r="E19" s="31">
        <f t="shared" si="0"/>
        <v>16.494854838918577</v>
      </c>
      <c r="F19" s="31">
        <f t="shared" si="1"/>
        <v>5.4982849463061925</v>
      </c>
      <c r="G19" s="34" t="s">
        <v>16</v>
      </c>
      <c r="H19" s="31">
        <f>(SQRT((2*J16)/3))*L17</f>
        <v>0.1143862956673065</v>
      </c>
      <c r="O19" s="33">
        <v>7</v>
      </c>
      <c r="P19" s="42">
        <f t="shared" si="4"/>
        <v>5.4591041067972892</v>
      </c>
      <c r="Q19" s="49">
        <f t="shared" si="5"/>
        <v>6</v>
      </c>
      <c r="R19" s="53">
        <v>6</v>
      </c>
      <c r="S19" s="78"/>
      <c r="T19" s="78"/>
      <c r="U19" s="78"/>
    </row>
    <row r="20" spans="1:21" x14ac:dyDescent="0.25">
      <c r="A20" s="32" t="s">
        <v>97</v>
      </c>
      <c r="B20" s="65">
        <f>LN('Dry mt. new'!B20)</f>
        <v>5.3745837220014865</v>
      </c>
      <c r="C20" s="65">
        <f>LN('Dry mt. new'!C20)</f>
        <v>5.5781436630342336</v>
      </c>
      <c r="D20" s="65">
        <f>LN('Dry mt. new'!D20)</f>
        <v>5.6786697738411256</v>
      </c>
      <c r="E20" s="31">
        <f t="shared" si="0"/>
        <v>16.631397158876844</v>
      </c>
      <c r="F20" s="31">
        <f t="shared" si="1"/>
        <v>5.5437990529589483</v>
      </c>
      <c r="G20" s="34" t="s">
        <v>29</v>
      </c>
      <c r="H20" s="31">
        <f>((SQRT(J16))/F27)*100</f>
        <v>1.2611367215555174</v>
      </c>
      <c r="O20" s="33">
        <v>8</v>
      </c>
      <c r="P20" s="42">
        <f t="shared" si="4"/>
        <v>5.537172833148432</v>
      </c>
      <c r="Q20" s="49">
        <f t="shared" si="5"/>
        <v>4</v>
      </c>
      <c r="R20" s="52">
        <v>4</v>
      </c>
      <c r="S20" s="78"/>
      <c r="T20" s="78"/>
      <c r="U20" s="78"/>
    </row>
    <row r="21" spans="1:21" x14ac:dyDescent="0.25">
      <c r="A21" s="32" t="s">
        <v>98</v>
      </c>
      <c r="B21" s="65">
        <f>LN('Dry mt. new'!B21)</f>
        <v>5.4156113937703942</v>
      </c>
      <c r="C21" s="65">
        <f>LN('Dry mt. new'!C21)</f>
        <v>5.4021817635783247</v>
      </c>
      <c r="D21" s="65">
        <f>LN('Dry mt. new'!D21)</f>
        <v>5.5048842814574446</v>
      </c>
      <c r="E21" s="31">
        <f t="shared" si="0"/>
        <v>16.322677438806164</v>
      </c>
      <c r="F21" s="31">
        <f t="shared" si="1"/>
        <v>5.4408924796020548</v>
      </c>
      <c r="O21" s="33">
        <v>9</v>
      </c>
      <c r="P21" s="42">
        <f t="shared" si="4"/>
        <v>5.4448950305732033</v>
      </c>
      <c r="Q21" s="49">
        <f t="shared" si="5"/>
        <v>8</v>
      </c>
      <c r="R21" s="53">
        <v>8</v>
      </c>
      <c r="S21" s="78"/>
      <c r="T21" s="78"/>
      <c r="U21" s="78"/>
    </row>
    <row r="22" spans="1:21" x14ac:dyDescent="0.25">
      <c r="A22" s="32" t="s">
        <v>99</v>
      </c>
      <c r="B22" s="65">
        <f>LN('Dry mt. new'!B22)</f>
        <v>5.4739918806201979</v>
      </c>
      <c r="C22" s="65">
        <f>LN('Dry mt. new'!C22)</f>
        <v>5.5525331374166571</v>
      </c>
      <c r="D22" s="65">
        <f>LN('Dry mt. new'!D22)</f>
        <v>5.5629099157747852</v>
      </c>
      <c r="E22" s="31">
        <f t="shared" si="0"/>
        <v>16.589434933811638</v>
      </c>
      <c r="F22" s="31">
        <f t="shared" si="1"/>
        <v>5.5298116446038792</v>
      </c>
      <c r="O22" s="30" t="s">
        <v>14</v>
      </c>
      <c r="P22" s="42">
        <f>SQRT(J16/(3*2))</f>
        <v>2.8142847758439549E-2</v>
      </c>
      <c r="Q22" s="49"/>
      <c r="S22" s="78"/>
      <c r="T22" s="78"/>
      <c r="U22" s="78"/>
    </row>
    <row r="23" spans="1:21" x14ac:dyDescent="0.25">
      <c r="A23" s="32" t="s">
        <v>100</v>
      </c>
      <c r="B23" s="65">
        <f>LN('Dry mt. new'!B23)</f>
        <v>5.4871178894397001</v>
      </c>
      <c r="C23" s="65">
        <f>LN('Dry mt. new'!C23)</f>
        <v>5.5979403615674652</v>
      </c>
      <c r="D23" s="65">
        <f>LN('Dry mt. new'!D23)</f>
        <v>5.6549073068740645</v>
      </c>
      <c r="E23" s="31">
        <f t="shared" si="0"/>
        <v>16.739965557881231</v>
      </c>
      <c r="F23" s="31">
        <f t="shared" si="1"/>
        <v>5.5799885192937433</v>
      </c>
      <c r="N23" s="30" t="s">
        <v>109</v>
      </c>
      <c r="O23" s="30" t="s">
        <v>16</v>
      </c>
      <c r="P23" s="42">
        <f>SQRT((2*J16)/(3*2))*L17</f>
        <v>8.0883325341161827E-2</v>
      </c>
      <c r="Q23" s="49"/>
      <c r="S23" s="78"/>
      <c r="T23" s="78"/>
      <c r="U23" s="78"/>
    </row>
    <row r="24" spans="1:21" x14ac:dyDescent="0.25">
      <c r="A24" s="32" t="s">
        <v>101</v>
      </c>
      <c r="B24" s="65">
        <f>LN('Dry mt. new'!B24)</f>
        <v>5.4200481551191837</v>
      </c>
      <c r="C24" s="65">
        <f>LN('Dry mt. new'!C24)</f>
        <v>5.4448390192108036</v>
      </c>
      <c r="D24" s="65">
        <f>LN('Dry mt. new'!D24)</f>
        <v>5.5076864844404065</v>
      </c>
      <c r="E24" s="31">
        <f t="shared" si="0"/>
        <v>16.372573658770392</v>
      </c>
      <c r="F24" s="31">
        <f>E24/3</f>
        <v>5.4575245529234637</v>
      </c>
      <c r="Q24" s="49"/>
      <c r="S24" s="78"/>
      <c r="T24" s="78"/>
      <c r="U24" s="78"/>
    </row>
    <row r="25" spans="1:21" x14ac:dyDescent="0.25">
      <c r="A25" s="32" t="s">
        <v>102</v>
      </c>
      <c r="B25" s="65">
        <f>LN('Dry mt. new'!B25)</f>
        <v>5.4191180666937413</v>
      </c>
      <c r="C25" s="65">
        <f>LN('Dry mt. new'!C25)</f>
        <v>5.531332037657509</v>
      </c>
      <c r="D25" s="65">
        <f>LN('Dry mt. new'!D25)</f>
        <v>5.5828946240463386</v>
      </c>
      <c r="E25" s="31">
        <f t="shared" si="0"/>
        <v>16.533344728397591</v>
      </c>
      <c r="F25" s="31">
        <f t="shared" si="1"/>
        <v>5.5111149094658636</v>
      </c>
      <c r="S25" s="78"/>
      <c r="T25" s="78"/>
      <c r="U25" s="78"/>
    </row>
    <row r="26" spans="1:21" x14ac:dyDescent="0.25">
      <c r="A26" s="32" t="s">
        <v>103</v>
      </c>
      <c r="B26" s="65">
        <f>LN('Dry mt. new'!B26)</f>
        <v>5.3700331940896371</v>
      </c>
      <c r="C26" s="65">
        <f>LN('Dry mt. new'!C26)</f>
        <v>5.4200481551191837</v>
      </c>
      <c r="D26" s="65">
        <f>LN('Dry mt. new'!D26)</f>
        <v>5.4763798664216079</v>
      </c>
      <c r="E26" s="31">
        <f t="shared" si="0"/>
        <v>16.266461215630429</v>
      </c>
      <c r="F26" s="31">
        <f t="shared" si="1"/>
        <v>5.4221537385434759</v>
      </c>
    </row>
    <row r="27" spans="1:21" x14ac:dyDescent="0.25">
      <c r="A27" s="30" t="s">
        <v>4</v>
      </c>
      <c r="B27" s="31">
        <f>SUM(B9:B26)</f>
        <v>96.827327264349535</v>
      </c>
      <c r="C27" s="31">
        <f>SUM(C9:C26)</f>
        <v>98.329201283854857</v>
      </c>
      <c r="D27" s="31">
        <f>SUM(D9:D26)</f>
        <v>100.01553724707956</v>
      </c>
      <c r="E27" s="31">
        <f>SUM(E9:E26)</f>
        <v>295.17206579528391</v>
      </c>
      <c r="F27" s="31">
        <f>AVERAGE(B9:D26)</f>
        <v>5.4661493665793293</v>
      </c>
    </row>
    <row r="28" spans="1:21" x14ac:dyDescent="0.25">
      <c r="A28" s="30" t="s">
        <v>5</v>
      </c>
      <c r="B28" s="31">
        <f>B27/18</f>
        <v>5.3792959591305296</v>
      </c>
      <c r="C28" s="31">
        <f>C27/18</f>
        <v>5.4627334046586036</v>
      </c>
      <c r="D28" s="31">
        <f>D27/18</f>
        <v>5.5564187359488644</v>
      </c>
    </row>
    <row r="29" spans="1:21" x14ac:dyDescent="0.25">
      <c r="A29" s="30" t="s">
        <v>26</v>
      </c>
      <c r="B29" s="31">
        <f>(E27*E27)/54</f>
        <v>1613.4546004788042</v>
      </c>
      <c r="C29" s="31"/>
      <c r="D29" s="31"/>
    </row>
    <row r="30" spans="1:21" x14ac:dyDescent="0.25">
      <c r="A30" s="30" t="s">
        <v>27</v>
      </c>
      <c r="B30" s="31">
        <f>SUMSQ(B9:D26)-B29</f>
        <v>1.8464436061303786</v>
      </c>
      <c r="C30" s="30" t="s">
        <v>28</v>
      </c>
      <c r="D30" s="31">
        <f>(SUMSQ(B27:D27)/18)-B29</f>
        <v>0.28266736009868509</v>
      </c>
    </row>
    <row r="31" spans="1:21" x14ac:dyDescent="0.25">
      <c r="A31" s="30" t="s">
        <v>30</v>
      </c>
      <c r="B31" s="31">
        <f>(SUMSQ(E9:E26)/3)-B29</f>
        <v>1.4022041905209335</v>
      </c>
      <c r="C31" s="30" t="s">
        <v>31</v>
      </c>
      <c r="D31" s="31">
        <f>B30-B31-D30</f>
        <v>0.16157205551076004</v>
      </c>
    </row>
    <row r="35" spans="1:18" x14ac:dyDescent="0.25">
      <c r="C35" s="48" t="s">
        <v>114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65">
        <f>LN('Dry mt. new'!B41)</f>
        <v>5.9966510737952818</v>
      </c>
      <c r="C41" s="65">
        <f>LN('Dry mt. new'!C41)</f>
        <v>6.0236412788032032</v>
      </c>
      <c r="D41" s="65">
        <f>LN('Dry mt. new'!D41)</f>
        <v>6.1863937919410192</v>
      </c>
      <c r="E41" s="31">
        <f>SUM(B41:D41)</f>
        <v>18.206686144539503</v>
      </c>
      <c r="F41" s="31">
        <f>E41/3</f>
        <v>6.0688953815131681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42">
        <f>SUM(F41:F49)/9</f>
        <v>6.3916115309630879</v>
      </c>
      <c r="Q41" s="49">
        <f>RANK(P41,P$41:P$42,0)</f>
        <v>1</v>
      </c>
    </row>
    <row r="42" spans="1:18" s="41" customFormat="1" x14ac:dyDescent="0.25">
      <c r="A42" s="32" t="s">
        <v>87</v>
      </c>
      <c r="B42" s="65">
        <f>LN('Dry mt. new'!B42)</f>
        <v>6.4484937462683032</v>
      </c>
      <c r="C42" s="65">
        <f>LN('Dry mt. new'!C42)</f>
        <v>6.4928305695933499</v>
      </c>
      <c r="D42" s="65">
        <f>LN('Dry mt. new'!D42)</f>
        <v>6.5059185802279762</v>
      </c>
      <c r="E42" s="31">
        <f>SUM(B42:D42)</f>
        <v>19.44724289608963</v>
      </c>
      <c r="F42" s="31">
        <f t="shared" ref="F42:F55" si="6">E42/3</f>
        <v>6.4824142986965434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42">
        <f>SUM(F50:F58)/9</f>
        <v>6.3573482310702145</v>
      </c>
      <c r="Q42" s="49">
        <f>RANK(P42,P$41:P$42,0)</f>
        <v>2</v>
      </c>
    </row>
    <row r="43" spans="1:18" s="41" customFormat="1" x14ac:dyDescent="0.25">
      <c r="A43" s="32" t="s">
        <v>88</v>
      </c>
      <c r="B43" s="65">
        <f>LN('Dry mt. new'!B43)</f>
        <v>6.4969107275794604</v>
      </c>
      <c r="C43" s="65">
        <f>LN('Dry mt. new'!C43)</f>
        <v>6.5048718355081832</v>
      </c>
      <c r="D43" s="65">
        <f>LN('Dry mt. new'!D43)</f>
        <v>6.5212100557264838</v>
      </c>
      <c r="E43" s="31">
        <f t="shared" ref="E43:E58" si="7">SUM(B43:D43)</f>
        <v>19.522992618814129</v>
      </c>
      <c r="F43" s="31">
        <f t="shared" si="6"/>
        <v>6.5076642062713761</v>
      </c>
      <c r="G43" s="31" t="s">
        <v>13</v>
      </c>
      <c r="H43" s="31">
        <f>B39-1</f>
        <v>2</v>
      </c>
      <c r="I43" s="31">
        <f>D62</f>
        <v>3.7896941580584098E-3</v>
      </c>
      <c r="J43" s="31">
        <f>I43/H43</f>
        <v>1.8948470790292049E-3</v>
      </c>
      <c r="K43" s="31">
        <f>J43/$J$16</f>
        <v>0.39873727225499428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1.2344926746219851E-2</v>
      </c>
      <c r="Q43" s="37"/>
    </row>
    <row r="44" spans="1:18" s="41" customFormat="1" x14ac:dyDescent="0.25">
      <c r="A44" s="32" t="s">
        <v>89</v>
      </c>
      <c r="B44" s="65">
        <f>LN('Dry mt. new'!B44)</f>
        <v>6.3806986421057292</v>
      </c>
      <c r="C44" s="65">
        <f>LN('Dry mt. new'!C44)</f>
        <v>6.2959484253620328</v>
      </c>
      <c r="D44" s="65">
        <f>LN('Dry mt. new'!D44)</f>
        <v>6.2545400970135372</v>
      </c>
      <c r="E44" s="31">
        <f t="shared" si="7"/>
        <v>18.931187164481301</v>
      </c>
      <c r="F44" s="31">
        <f t="shared" si="6"/>
        <v>6.3103957214937667</v>
      </c>
      <c r="G44" s="31" t="s">
        <v>15</v>
      </c>
      <c r="H44" s="31">
        <f>D38-1</f>
        <v>17</v>
      </c>
      <c r="I44" s="31">
        <f>B63</f>
        <v>1.1057079115698798</v>
      </c>
      <c r="J44" s="31">
        <f t="shared" ref="J44:J48" si="8">I44/H44</f>
        <v>6.5041641857051746E-2</v>
      </c>
      <c r="K44" s="31">
        <f>J44/$J$16</f>
        <v>13.68687064201203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3.5479662004989455E-2</v>
      </c>
      <c r="Q44" s="37"/>
    </row>
    <row r="45" spans="1:18" s="41" customFormat="1" x14ac:dyDescent="0.25">
      <c r="A45" s="32" t="s">
        <v>90</v>
      </c>
      <c r="B45" s="65">
        <f>LN('Dry mt. new'!B45)</f>
        <v>6.4852304782905152</v>
      </c>
      <c r="C45" s="65">
        <f>LN('Dry mt. new'!C45)</f>
        <v>6.4953863945571779</v>
      </c>
      <c r="D45" s="65">
        <f>LN('Dry mt. new'!D45)</f>
        <v>6.5048718355081832</v>
      </c>
      <c r="E45" s="31">
        <f t="shared" si="7"/>
        <v>19.485488708355877</v>
      </c>
      <c r="F45" s="31">
        <f t="shared" si="6"/>
        <v>6.4951629027852924</v>
      </c>
      <c r="G45" s="31" t="s">
        <v>108</v>
      </c>
      <c r="H45" s="31">
        <f>B37-1</f>
        <v>1</v>
      </c>
      <c r="I45" s="31">
        <f>(SUM(E41:E49)^2+SUM(E50:E58)^2)/27-B61</f>
        <v>1.5848645213736745E-2</v>
      </c>
      <c r="J45" s="31">
        <f t="shared" si="8"/>
        <v>1.5848645213736745E-2</v>
      </c>
      <c r="K45" s="31">
        <f>J45/$J$16</f>
        <v>3.3350688989109498</v>
      </c>
      <c r="L45" s="31">
        <f>FINV(0.05,H45,$H$16)</f>
        <v>4.1300177456520188</v>
      </c>
      <c r="M45" s="31" t="str">
        <f>IF(K45&gt;=L45, "S", "NS")</f>
        <v>NS</v>
      </c>
      <c r="N45" s="39"/>
      <c r="O45" s="33">
        <v>1</v>
      </c>
      <c r="P45" s="42">
        <f>(F41+F50)/2</f>
        <v>6.06151490497537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91</v>
      </c>
      <c r="B46" s="65">
        <f>LN('Dry mt. new'!B46)</f>
        <v>6.6268369474426514</v>
      </c>
      <c r="C46" s="65">
        <f>LN('Dry mt. new'!C46)</f>
        <v>6.4908145773989476</v>
      </c>
      <c r="D46" s="65">
        <f>LN('Dry mt. new'!D46)</f>
        <v>6.5103178625612017</v>
      </c>
      <c r="E46" s="31">
        <f t="shared" si="7"/>
        <v>19.6279693874028</v>
      </c>
      <c r="F46" s="31">
        <f t="shared" si="6"/>
        <v>6.5426564624676002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9794.678702351217</v>
      </c>
      <c r="J46" s="31">
        <f t="shared" si="8"/>
        <v>1224.3348377939021</v>
      </c>
      <c r="K46" s="31">
        <f>J46/$J$16</f>
        <v>257639.75307116433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42">
        <f t="shared" ref="P46:P53" si="10">(F42+F51)/2</f>
        <v>6.4655070939283465</v>
      </c>
      <c r="Q46" s="49">
        <f t="shared" ref="Q46:Q53" si="11">RANK(P46,P$45:P$53,0)</f>
        <v>5</v>
      </c>
      <c r="R46" s="53">
        <v>5</v>
      </c>
    </row>
    <row r="47" spans="1:18" s="41" customFormat="1" x14ac:dyDescent="0.25">
      <c r="A47" s="32" t="s">
        <v>92</v>
      </c>
      <c r="B47" s="65">
        <f>LN('Dry mt. new'!B47)</f>
        <v>6.415211518894159</v>
      </c>
      <c r="C47" s="65">
        <f>LN('Dry mt. new'!C47)</f>
        <v>6.395411837246348</v>
      </c>
      <c r="D47" s="65">
        <f>LN('Dry mt. new'!D47)</f>
        <v>6.1507946476908639</v>
      </c>
      <c r="E47" s="31">
        <f t="shared" si="7"/>
        <v>18.961418003831369</v>
      </c>
      <c r="F47" s="31">
        <f t="shared" si="6"/>
        <v>6.3204726679437897</v>
      </c>
      <c r="G47" s="26" t="s">
        <v>110</v>
      </c>
      <c r="H47" s="31">
        <f>H45*H46</f>
        <v>8</v>
      </c>
      <c r="I47" s="31">
        <f>I44-(I45+I46)</f>
        <v>-9793.5888430848609</v>
      </c>
      <c r="J47" s="31">
        <f t="shared" si="8"/>
        <v>-1224.1986053856076</v>
      </c>
      <c r="K47" s="44">
        <f>J47/$J$16</f>
        <v>-257611.08535466244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42">
        <f t="shared" si="10"/>
        <v>6.4839611579476522</v>
      </c>
      <c r="Q47" s="49">
        <f t="shared" si="11"/>
        <v>2</v>
      </c>
      <c r="R47" s="53">
        <v>2</v>
      </c>
    </row>
    <row r="48" spans="1:18" s="41" customFormat="1" x14ac:dyDescent="0.25">
      <c r="A48" s="32" t="s">
        <v>93</v>
      </c>
      <c r="B48" s="65">
        <f>LN('Dry mt. new'!B48)</f>
        <v>6.4846963024729245</v>
      </c>
      <c r="C48" s="65">
        <f>LN('Dry mt. new'!C48)</f>
        <v>6.4928305695933499</v>
      </c>
      <c r="D48" s="65">
        <f>LN('Dry mt. new'!D48)</f>
        <v>6.5059185802279762</v>
      </c>
      <c r="E48" s="31">
        <f t="shared" si="7"/>
        <v>19.483445452294252</v>
      </c>
      <c r="F48" s="31">
        <f t="shared" si="6"/>
        <v>6.4944818174314172</v>
      </c>
      <c r="G48" s="45" t="s">
        <v>23</v>
      </c>
      <c r="H48" s="31">
        <f>((B39-1)*(B37*B38-1))</f>
        <v>34</v>
      </c>
      <c r="I48" s="31">
        <f>D63</f>
        <v>0.1399006446272324</v>
      </c>
      <c r="J48" s="31">
        <f t="shared" si="8"/>
        <v>4.1147248419774237E-3</v>
      </c>
      <c r="O48" s="33">
        <v>4</v>
      </c>
      <c r="P48" s="42">
        <f t="shared" si="10"/>
        <v>6.2922728699351955</v>
      </c>
      <c r="Q48" s="49">
        <f t="shared" si="11"/>
        <v>7</v>
      </c>
      <c r="R48" s="53">
        <v>7</v>
      </c>
    </row>
    <row r="49" spans="1:18" x14ac:dyDescent="0.25">
      <c r="A49" s="32" t="s">
        <v>94</v>
      </c>
      <c r="B49" s="65">
        <f>LN('Dry mt. new'!B49)</f>
        <v>6.3751781300516335</v>
      </c>
      <c r="C49" s="65">
        <f>LN('Dry mt. new'!C49)</f>
        <v>6.2953766964197415</v>
      </c>
      <c r="D49" s="65">
        <f>LN('Dry mt. new'!D49)</f>
        <v>6.2365261337231228</v>
      </c>
      <c r="E49" s="31">
        <f t="shared" si="7"/>
        <v>18.907080960194499</v>
      </c>
      <c r="F49" s="31">
        <f t="shared" si="6"/>
        <v>6.3023603200648326</v>
      </c>
      <c r="G49" s="44" t="s">
        <v>4</v>
      </c>
      <c r="H49" s="31">
        <f>SUM(H43:H48)-H44</f>
        <v>53</v>
      </c>
      <c r="I49" s="31">
        <f>B62</f>
        <v>1.2493982503551706</v>
      </c>
      <c r="K49" s="31" t="s">
        <v>111</v>
      </c>
      <c r="L49" s="41">
        <f>TINV(0.05,34)</f>
        <v>2.0322445093177191</v>
      </c>
      <c r="O49" s="33">
        <v>5</v>
      </c>
      <c r="P49" s="42">
        <f t="shared" si="10"/>
        <v>6.4753476754432633</v>
      </c>
      <c r="Q49" s="49">
        <f t="shared" si="11"/>
        <v>3</v>
      </c>
      <c r="R49" s="52">
        <v>3</v>
      </c>
    </row>
    <row r="50" spans="1:18" x14ac:dyDescent="0.25">
      <c r="A50" s="32" t="s">
        <v>95</v>
      </c>
      <c r="B50" s="65">
        <f>LN('Dry mt. new'!B50)</f>
        <v>5.9828777861706595</v>
      </c>
      <c r="C50" s="65">
        <f>LN('Dry mt. new'!C50)</f>
        <v>6.0003995111655613</v>
      </c>
      <c r="D50" s="65">
        <f>LN('Dry mt. new'!D50)</f>
        <v>6.1791259879764935</v>
      </c>
      <c r="E50" s="31">
        <f t="shared" si="7"/>
        <v>18.162403285312713</v>
      </c>
      <c r="F50" s="31">
        <f t="shared" si="6"/>
        <v>6.0541344284375711</v>
      </c>
      <c r="G50" s="34" t="s">
        <v>14</v>
      </c>
      <c r="H50" s="31">
        <f>SQRT(J48/3)</f>
        <v>3.7034780238659547E-2</v>
      </c>
      <c r="O50" s="33">
        <v>6</v>
      </c>
      <c r="P50" s="42">
        <f t="shared" si="10"/>
        <v>6.5311057814116591</v>
      </c>
      <c r="Q50" s="49">
        <f t="shared" si="11"/>
        <v>1</v>
      </c>
      <c r="R50" s="53">
        <v>1</v>
      </c>
    </row>
    <row r="51" spans="1:18" x14ac:dyDescent="0.25">
      <c r="A51" s="32" t="s">
        <v>96</v>
      </c>
      <c r="B51" s="65">
        <f>LN('Dry mt. new'!B51)</f>
        <v>6.4384074346624551</v>
      </c>
      <c r="C51" s="65">
        <f>LN('Dry mt. new'!C51)</f>
        <v>6.4481296119145366</v>
      </c>
      <c r="D51" s="65">
        <f>LN('Dry mt. new'!D51)</f>
        <v>6.4592626209034547</v>
      </c>
      <c r="E51" s="31">
        <f t="shared" si="7"/>
        <v>19.345799667480446</v>
      </c>
      <c r="F51" s="31">
        <f t="shared" si="6"/>
        <v>6.4485998891601488</v>
      </c>
      <c r="G51" s="34" t="s">
        <v>16</v>
      </c>
      <c r="H51" s="31">
        <f>(SQRT((2*J48)/3))*L49</f>
        <v>0.10643898601496837</v>
      </c>
      <c r="O51" s="33">
        <v>7</v>
      </c>
      <c r="P51" s="42">
        <f t="shared" si="10"/>
        <v>6.3127664319987549</v>
      </c>
      <c r="Q51" s="49">
        <f t="shared" si="11"/>
        <v>6</v>
      </c>
      <c r="R51" s="53">
        <v>6</v>
      </c>
    </row>
    <row r="52" spans="1:18" x14ac:dyDescent="0.25">
      <c r="A52" s="32" t="s">
        <v>97</v>
      </c>
      <c r="B52" s="65">
        <f>LN('Dry mt. new'!B52)</f>
        <v>6.4274103624697334</v>
      </c>
      <c r="C52" s="65">
        <f>LN('Dry mt. new'!C52)</f>
        <v>6.4481929491536878</v>
      </c>
      <c r="D52" s="65">
        <f>LN('Dry mt. new'!D52)</f>
        <v>6.5051710172483617</v>
      </c>
      <c r="E52" s="31">
        <f t="shared" si="7"/>
        <v>19.380774328871784</v>
      </c>
      <c r="F52" s="31">
        <f t="shared" si="6"/>
        <v>6.4602581096239282</v>
      </c>
      <c r="G52" s="34" t="s">
        <v>29</v>
      </c>
      <c r="H52" s="31">
        <f>((SQRT(J48))/F59)*100</f>
        <v>1.0062957640126031</v>
      </c>
      <c r="O52" s="33">
        <v>8</v>
      </c>
      <c r="P52" s="42">
        <f t="shared" si="10"/>
        <v>6.4681799901074388</v>
      </c>
      <c r="Q52" s="49">
        <f t="shared" si="11"/>
        <v>4</v>
      </c>
      <c r="R52" s="52">
        <v>4</v>
      </c>
    </row>
    <row r="53" spans="1:18" x14ac:dyDescent="0.25">
      <c r="A53" s="32" t="s">
        <v>98</v>
      </c>
      <c r="B53" s="65">
        <f>LN('Dry mt. new'!B53)</f>
        <v>6.2197747283735509</v>
      </c>
      <c r="C53" s="65">
        <f>LN('Dry mt. new'!C53)</f>
        <v>6.2702130840949133</v>
      </c>
      <c r="D53" s="65">
        <f>LN('Dry mt. new'!D53)</f>
        <v>6.3324622426614114</v>
      </c>
      <c r="E53" s="31">
        <f t="shared" si="7"/>
        <v>18.822450055129874</v>
      </c>
      <c r="F53" s="31">
        <f t="shared" si="6"/>
        <v>6.2741500183766243</v>
      </c>
      <c r="O53" s="33">
        <v>9</v>
      </c>
      <c r="P53" s="42">
        <f t="shared" si="10"/>
        <v>6.2796630234021791</v>
      </c>
      <c r="Q53" s="49">
        <f t="shared" si="11"/>
        <v>8</v>
      </c>
      <c r="R53" s="53">
        <v>8</v>
      </c>
    </row>
    <row r="54" spans="1:18" x14ac:dyDescent="0.25">
      <c r="A54" s="32" t="s">
        <v>99</v>
      </c>
      <c r="B54" s="65">
        <f>LN('Dry mt. new'!B54)</f>
        <v>6.4159803659069468</v>
      </c>
      <c r="C54" s="65">
        <f>LN('Dry mt. new'!C54)</f>
        <v>6.4616400365849023</v>
      </c>
      <c r="D54" s="65">
        <f>LN('Dry mt. new'!D54)</f>
        <v>6.4889769418118473</v>
      </c>
      <c r="E54" s="31">
        <f t="shared" si="7"/>
        <v>19.366597344303699</v>
      </c>
      <c r="F54" s="31">
        <f t="shared" si="6"/>
        <v>6.4555324481012333</v>
      </c>
      <c r="I54" s="79"/>
      <c r="J54" s="79"/>
      <c r="K54" s="79"/>
      <c r="O54" s="30" t="s">
        <v>14</v>
      </c>
      <c r="P54" s="42">
        <f>SQRT(J48/(3*2))</f>
        <v>2.6187544246509712E-2</v>
      </c>
      <c r="Q54" s="49"/>
    </row>
    <row r="55" spans="1:18" x14ac:dyDescent="0.25">
      <c r="A55" s="32" t="s">
        <v>100</v>
      </c>
      <c r="B55" s="65">
        <f>LN('Dry mt. new'!B55)</f>
        <v>6.5575025257021533</v>
      </c>
      <c r="C55" s="65">
        <f>LN('Dry mt. new'!C55)</f>
        <v>6.5110615892610593</v>
      </c>
      <c r="D55" s="65">
        <f>LN('Dry mt. new'!D55)</f>
        <v>6.4901011861039413</v>
      </c>
      <c r="E55" s="31">
        <f t="shared" si="7"/>
        <v>19.558665301067155</v>
      </c>
      <c r="F55" s="31">
        <f t="shared" si="6"/>
        <v>6.5195551003557179</v>
      </c>
      <c r="I55" s="79"/>
      <c r="J55" s="79"/>
      <c r="K55" s="79"/>
      <c r="N55" s="30" t="s">
        <v>109</v>
      </c>
      <c r="O55" s="30" t="s">
        <v>16</v>
      </c>
      <c r="P55" s="42">
        <f>SQRT((2*J48)/(3*2))*L49</f>
        <v>7.5263728793804233E-2</v>
      </c>
      <c r="Q55" s="49"/>
    </row>
    <row r="56" spans="1:18" x14ac:dyDescent="0.25">
      <c r="A56" s="32" t="s">
        <v>101</v>
      </c>
      <c r="B56" s="65">
        <f>LN('Dry mt. new'!B56)</f>
        <v>6.2974959855006611</v>
      </c>
      <c r="C56" s="65">
        <f>LN('Dry mt. new'!C56)</f>
        <v>6.302380852157639</v>
      </c>
      <c r="D56" s="65">
        <f>LN('Dry mt. new'!D56)</f>
        <v>6.3153037505028546</v>
      </c>
      <c r="E56" s="31">
        <f t="shared" si="7"/>
        <v>18.915180588161157</v>
      </c>
      <c r="F56" s="31">
        <f>E56/3</f>
        <v>6.3050601960537191</v>
      </c>
      <c r="I56" s="79"/>
      <c r="J56" s="79"/>
      <c r="K56" s="79"/>
      <c r="Q56" s="49"/>
    </row>
    <row r="57" spans="1:18" x14ac:dyDescent="0.25">
      <c r="A57" s="32" t="s">
        <v>102</v>
      </c>
      <c r="B57" s="65">
        <f>LN('Dry mt. new'!B57)</f>
        <v>6.4060215318943641</v>
      </c>
      <c r="C57" s="65">
        <f>LN('Dry mt. new'!C57)</f>
        <v>6.4386792194106093</v>
      </c>
      <c r="D57" s="65">
        <f>LN('Dry mt. new'!D57)</f>
        <v>6.4809337370454099</v>
      </c>
      <c r="E57" s="31">
        <f t="shared" si="7"/>
        <v>19.325634488350381</v>
      </c>
      <c r="F57" s="31">
        <f t="shared" ref="F57:F58" si="13">E57/3</f>
        <v>6.4418781627834605</v>
      </c>
      <c r="I57" s="79"/>
      <c r="J57" s="79"/>
      <c r="K57" s="79"/>
    </row>
    <row r="58" spans="1:18" x14ac:dyDescent="0.25">
      <c r="A58" s="32" t="s">
        <v>103</v>
      </c>
      <c r="B58" s="65">
        <f>LN('Dry mt. new'!B58)</f>
        <v>6.2174440732414</v>
      </c>
      <c r="C58" s="65">
        <f>LN('Dry mt. new'!C58)</f>
        <v>6.2316421909779711</v>
      </c>
      <c r="D58" s="65">
        <f>LN('Dry mt. new'!D58)</f>
        <v>6.3218109159992046</v>
      </c>
      <c r="E58" s="31">
        <f t="shared" si="7"/>
        <v>18.770897180218576</v>
      </c>
      <c r="F58" s="31">
        <f t="shared" si="13"/>
        <v>6.2569657267395256</v>
      </c>
      <c r="I58" s="79"/>
      <c r="J58" s="79"/>
      <c r="K58" s="79"/>
    </row>
    <row r="59" spans="1:18" x14ac:dyDescent="0.25">
      <c r="A59" s="30" t="s">
        <v>4</v>
      </c>
      <c r="B59" s="31">
        <f>SUM(B41:B58)</f>
        <v>114.67282236082258</v>
      </c>
      <c r="C59" s="31">
        <f t="shared" ref="C59:D59" si="14">SUM(C41:C58)</f>
        <v>114.59945122920323</v>
      </c>
      <c r="D59" s="31">
        <f t="shared" si="14"/>
        <v>114.94963998487333</v>
      </c>
      <c r="E59" s="31">
        <f>SUM(E41:E58)</f>
        <v>344.22191357489913</v>
      </c>
      <c r="F59" s="31">
        <f>AVERAGE(B41:D58)</f>
        <v>6.3744798810166499</v>
      </c>
      <c r="I59" s="79"/>
      <c r="J59" s="79"/>
      <c r="K59" s="79"/>
    </row>
    <row r="60" spans="1:18" x14ac:dyDescent="0.25">
      <c r="A60" s="30" t="s">
        <v>5</v>
      </c>
      <c r="B60" s="31">
        <f>B59/18</f>
        <v>6.370712353379032</v>
      </c>
      <c r="C60" s="31">
        <f>C59/18</f>
        <v>6.3666361794001789</v>
      </c>
      <c r="D60" s="31">
        <f>D59/18</f>
        <v>6.3860911102707405</v>
      </c>
      <c r="I60" s="79"/>
      <c r="J60" s="79"/>
      <c r="K60" s="79"/>
    </row>
    <row r="61" spans="1:18" x14ac:dyDescent="0.25">
      <c r="A61" s="30" t="s">
        <v>26</v>
      </c>
      <c r="B61" s="31">
        <f>(E59*E59)/54</f>
        <v>2194.235662688247</v>
      </c>
      <c r="C61" s="31"/>
      <c r="D61" s="31"/>
      <c r="I61" s="79"/>
      <c r="J61" s="79"/>
      <c r="K61" s="79"/>
    </row>
    <row r="62" spans="1:18" x14ac:dyDescent="0.25">
      <c r="A62" s="30" t="s">
        <v>27</v>
      </c>
      <c r="B62" s="31">
        <f>SUMSQ(B41:D58)-B61</f>
        <v>1.2493982503551706</v>
      </c>
      <c r="C62" s="30" t="s">
        <v>28</v>
      </c>
      <c r="D62" s="31">
        <f>(SUMSQ(B59:D59)/18)-B61</f>
        <v>3.7896941580584098E-3</v>
      </c>
      <c r="I62" s="79"/>
      <c r="J62" s="79"/>
      <c r="K62" s="79"/>
    </row>
    <row r="63" spans="1:18" x14ac:dyDescent="0.25">
      <c r="A63" s="30" t="s">
        <v>30</v>
      </c>
      <c r="B63" s="31">
        <f>(SUMSQ(E41:E58)/3)-B61</f>
        <v>1.1057079115698798</v>
      </c>
      <c r="C63" s="30" t="s">
        <v>31</v>
      </c>
      <c r="D63" s="31">
        <f>B62-B63-D62</f>
        <v>0.1399006446272324</v>
      </c>
      <c r="I63" s="79"/>
      <c r="J63" s="79"/>
      <c r="K63" s="79"/>
    </row>
    <row r="64" spans="1:18" x14ac:dyDescent="0.25">
      <c r="I64" s="79"/>
      <c r="J64" s="79"/>
      <c r="K64" s="79"/>
    </row>
    <row r="67" spans="1:19" x14ac:dyDescent="0.25">
      <c r="C67" s="66" t="s">
        <v>115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86</v>
      </c>
      <c r="B73" s="65">
        <f>LN('Dry mt. new'!B73)</f>
        <v>6.2458354108387644</v>
      </c>
      <c r="C73" s="65">
        <f>LN('Dry mt. new'!C73)</f>
        <v>6.4099116894393156</v>
      </c>
      <c r="D73" s="65">
        <f>LN('Dry mt. new'!D73)</f>
        <v>6.6803275637288753</v>
      </c>
      <c r="E73" s="31">
        <f>SUM(B73:D73)</f>
        <v>19.336074664006958</v>
      </c>
      <c r="F73" s="31">
        <f>E73/3</f>
        <v>6.4453582213356526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42">
        <f>SUM(F73:F81)/9</f>
        <v>6.7585405197877071</v>
      </c>
      <c r="Q73" s="49">
        <f>RANK(P73,P$73:P$74,0)</f>
        <v>1</v>
      </c>
      <c r="R73" s="41"/>
      <c r="S73" s="41"/>
    </row>
    <row r="74" spans="1:19" x14ac:dyDescent="0.25">
      <c r="A74" s="32" t="s">
        <v>87</v>
      </c>
      <c r="B74" s="65">
        <f>LN('Dry mt. new'!B74)</f>
        <v>6.7908730874438215</v>
      </c>
      <c r="C74" s="65">
        <f>LN('Dry mt. new'!C74)</f>
        <v>6.6928154846435959</v>
      </c>
      <c r="D74" s="65">
        <f>LN('Dry mt. new'!D74)</f>
        <v>6.8861127601230656</v>
      </c>
      <c r="E74" s="31">
        <f t="shared" ref="E74:E90" si="15">SUM(B74:D74)</f>
        <v>20.369801332210482</v>
      </c>
      <c r="F74" s="31">
        <f t="shared" ref="F74:F87" si="16">E74/3</f>
        <v>6.789933777403494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42">
        <f>SUM(F82:F90)/9</f>
        <v>6.7116231548612832</v>
      </c>
      <c r="Q74" s="49">
        <f>RANK(P74,P$73:P$74,0)</f>
        <v>2</v>
      </c>
      <c r="R74" s="41"/>
      <c r="S74" s="41"/>
    </row>
    <row r="75" spans="1:19" x14ac:dyDescent="0.25">
      <c r="A75" s="32" t="s">
        <v>88</v>
      </c>
      <c r="B75" s="65">
        <f>LN('Dry mt. new'!B75)</f>
        <v>6.7907494412292051</v>
      </c>
      <c r="C75" s="65">
        <f>LN('Dry mt. new'!C75)</f>
        <v>6.8932404466238868</v>
      </c>
      <c r="D75" s="65">
        <f>LN('Dry mt. new'!D75)</f>
        <v>6.8528554890004747</v>
      </c>
      <c r="E75" s="31">
        <f t="shared" si="15"/>
        <v>20.536845376853567</v>
      </c>
      <c r="F75" s="31">
        <f t="shared" si="16"/>
        <v>6.8456151256178552</v>
      </c>
      <c r="G75" s="31" t="s">
        <v>13</v>
      </c>
      <c r="H75" s="31">
        <f>B71-1</f>
        <v>2</v>
      </c>
      <c r="I75" s="31">
        <f>D94</f>
        <v>0.14070507895257833</v>
      </c>
      <c r="J75" s="31">
        <f>I75/H75</f>
        <v>7.0352539476289166E-2</v>
      </c>
      <c r="K75" s="31">
        <f>J75/$J$16</f>
        <v>14.804455724922898</v>
      </c>
      <c r="L75" s="31">
        <f>FINV(0.05,H75,$H$16)</f>
        <v>3.275897990672394</v>
      </c>
      <c r="M75" s="31" t="str">
        <f>IF(K75&gt;=L75, "S", "NS")</f>
        <v>S</v>
      </c>
      <c r="N75" s="39"/>
      <c r="O75" s="30" t="s">
        <v>14</v>
      </c>
      <c r="P75" s="42">
        <f>SQRT(J80/(3*9))</f>
        <v>1.6845817385050733E-2</v>
      </c>
      <c r="R75" s="41"/>
      <c r="S75" s="41"/>
    </row>
    <row r="76" spans="1:19" x14ac:dyDescent="0.25">
      <c r="A76" s="32" t="s">
        <v>89</v>
      </c>
      <c r="B76" s="65">
        <f>LN('Dry mt. new'!B76)</f>
        <v>6.6677071469751246</v>
      </c>
      <c r="C76" s="65">
        <f>LN('Dry mt. new'!C76)</f>
        <v>6.7135028313202172</v>
      </c>
      <c r="D76" s="65">
        <f>LN('Dry mt. new'!D76)</f>
        <v>6.8314572180260731</v>
      </c>
      <c r="E76" s="31">
        <f t="shared" si="15"/>
        <v>20.212667196321416</v>
      </c>
      <c r="F76" s="31">
        <f t="shared" si="16"/>
        <v>6.7375557321071389</v>
      </c>
      <c r="G76" s="31" t="s">
        <v>15</v>
      </c>
      <c r="H76" s="31">
        <f>D70-1</f>
        <v>17</v>
      </c>
      <c r="I76" s="31">
        <f>B95</f>
        <v>0.82997533600973838</v>
      </c>
      <c r="J76" s="31">
        <f t="shared" ref="J76:J80" si="17">I76/H76</f>
        <v>4.8822078588808139E-2</v>
      </c>
      <c r="K76" s="31">
        <f>J76/$J$16</f>
        <v>10.273748556160015</v>
      </c>
      <c r="L76" s="31">
        <f>FINV(0.05,H76,$H$16)</f>
        <v>1.9332068318040869</v>
      </c>
      <c r="M76" s="43" t="str">
        <f t="shared" ref="M76" si="18">IF(K76&gt;=L76, "S", "NS")</f>
        <v>S</v>
      </c>
      <c r="N76" s="30" t="s">
        <v>113</v>
      </c>
      <c r="O76" s="30" t="s">
        <v>16</v>
      </c>
      <c r="P76" s="42">
        <f>SQRT((2*J80)/(3*9))*L81</f>
        <v>4.8415346587811284E-2</v>
      </c>
      <c r="R76" s="41"/>
      <c r="S76" s="41"/>
    </row>
    <row r="77" spans="1:19" x14ac:dyDescent="0.25">
      <c r="A77" s="32" t="s">
        <v>90</v>
      </c>
      <c r="B77" s="65">
        <f>LN('Dry mt. new'!B77)</f>
        <v>6.7873826432038076</v>
      </c>
      <c r="C77" s="65">
        <f>LN('Dry mt. new'!C77)</f>
        <v>6.9039982301044249</v>
      </c>
      <c r="D77" s="65">
        <f>LN('Dry mt. new'!D77)</f>
        <v>6.8026836104928394</v>
      </c>
      <c r="E77" s="31">
        <f t="shared" si="15"/>
        <v>20.494064483801072</v>
      </c>
      <c r="F77" s="31">
        <f t="shared" si="16"/>
        <v>6.8313548279336906</v>
      </c>
      <c r="G77" s="31" t="s">
        <v>108</v>
      </c>
      <c r="H77" s="31">
        <f>B69-1</f>
        <v>1</v>
      </c>
      <c r="I77" s="31">
        <f>(SUM(E73:E81)^2+SUM(E82:E90)^2)/27-B93</f>
        <v>2.9716728276980575E-2</v>
      </c>
      <c r="J77" s="31">
        <f t="shared" si="17"/>
        <v>2.9716728276980575E-2</v>
      </c>
      <c r="K77" s="31">
        <f>J77/$J$16</f>
        <v>6.2533632949297546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42">
        <f>(F73+F82)/2</f>
        <v>6.4212981557110584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91</v>
      </c>
      <c r="B78" s="65">
        <f>LN('Dry mt. new'!B78)</f>
        <v>6.7564904311333356</v>
      </c>
      <c r="C78" s="65">
        <f>LN('Dry mt. new'!C78)</f>
        <v>6.9033053929085062</v>
      </c>
      <c r="D78" s="65">
        <f>LN('Dry mt. new'!D78)</f>
        <v>6.9586004729877056</v>
      </c>
      <c r="E78" s="31">
        <f t="shared" si="15"/>
        <v>20.618396297029548</v>
      </c>
      <c r="F78" s="31">
        <f t="shared" si="16"/>
        <v>6.8727987656765164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10905.231427638921</v>
      </c>
      <c r="J78" s="31">
        <f t="shared" si="17"/>
        <v>1363.1539284548651</v>
      </c>
      <c r="K78" s="31">
        <f>J78/$J$16</f>
        <v>286851.79142490315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42">
        <f t="shared" ref="P78:P85" si="19">(F74+F83)/2</f>
        <v>6.7588661370655583</v>
      </c>
      <c r="Q78" s="49">
        <f t="shared" ref="Q78:Q84" si="20">RANK(P78,P$77:P$85,0)</f>
        <v>5</v>
      </c>
      <c r="R78" s="53">
        <v>5</v>
      </c>
      <c r="S78" s="41"/>
    </row>
    <row r="79" spans="1:19" x14ac:dyDescent="0.25">
      <c r="A79" s="32" t="s">
        <v>92</v>
      </c>
      <c r="B79" s="65">
        <f>LN('Dry mt. new'!B79)</f>
        <v>6.6886784473426886</v>
      </c>
      <c r="C79" s="65">
        <f>LN('Dry mt. new'!C79)</f>
        <v>6.8206275315853704</v>
      </c>
      <c r="D79" s="65">
        <f>LN('Dry mt. new'!D79)</f>
        <v>6.7245052913296037</v>
      </c>
      <c r="E79" s="31">
        <f t="shared" si="15"/>
        <v>20.233811270257661</v>
      </c>
      <c r="F79" s="31">
        <f t="shared" si="16"/>
        <v>6.7446037567525536</v>
      </c>
      <c r="G79" s="26" t="s">
        <v>110</v>
      </c>
      <c r="H79" s="31">
        <f>H77*H78</f>
        <v>8</v>
      </c>
      <c r="I79" s="31">
        <f>I76-(I77+I78)</f>
        <v>-10904.431169031188</v>
      </c>
      <c r="J79" s="31">
        <f t="shared" si="17"/>
        <v>-1363.0538961288985</v>
      </c>
      <c r="K79" s="44">
        <f>J79/$J$16</f>
        <v>-286830.7413796332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42">
        <f t="shared" si="19"/>
        <v>6.819131754909356</v>
      </c>
      <c r="Q79" s="49">
        <f t="shared" si="20"/>
        <v>2</v>
      </c>
      <c r="R79" s="53">
        <v>2</v>
      </c>
      <c r="S79" s="41"/>
    </row>
    <row r="80" spans="1:19" x14ac:dyDescent="0.25">
      <c r="A80" s="32" t="s">
        <v>93</v>
      </c>
      <c r="B80" s="65">
        <f>LN('Dry mt. new'!B80)</f>
        <v>6.818443075301448</v>
      </c>
      <c r="C80" s="65">
        <f>LN('Dry mt. new'!C80)</f>
        <v>6.8173490551061215</v>
      </c>
      <c r="D80" s="65">
        <f>LN('Dry mt. new'!D80)</f>
        <v>6.8486101871212739</v>
      </c>
      <c r="E80" s="31">
        <f t="shared" si="15"/>
        <v>20.484402317528843</v>
      </c>
      <c r="F80" s="31">
        <f t="shared" si="16"/>
        <v>6.8281341058429481</v>
      </c>
      <c r="G80" s="45" t="s">
        <v>23</v>
      </c>
      <c r="H80" s="31">
        <f>((B71-1)*(B69*B70-1))</f>
        <v>34</v>
      </c>
      <c r="I80" s="31">
        <f>D95</f>
        <v>0.26051147517409845</v>
      </c>
      <c r="J80" s="31">
        <f t="shared" si="17"/>
        <v>7.6621022110028953E-3</v>
      </c>
      <c r="O80" s="33">
        <v>4</v>
      </c>
      <c r="P80" s="42">
        <f t="shared" si="19"/>
        <v>6.7101823994397254</v>
      </c>
      <c r="Q80" s="49">
        <f t="shared" si="20"/>
        <v>7</v>
      </c>
      <c r="R80" s="53">
        <v>7</v>
      </c>
      <c r="S80" s="41"/>
    </row>
    <row r="81" spans="1:18" x14ac:dyDescent="0.25">
      <c r="A81" s="32" t="s">
        <v>94</v>
      </c>
      <c r="B81" s="65">
        <f>LN('Dry mt. new'!B81)</f>
        <v>6.6445576673773559</v>
      </c>
      <c r="C81" s="65">
        <f>LN('Dry mt. new'!C81)</f>
        <v>6.7412873861113498</v>
      </c>
      <c r="D81" s="65">
        <f>LN('Dry mt. new'!D81)</f>
        <v>6.8086860427698541</v>
      </c>
      <c r="E81" s="31">
        <f t="shared" si="15"/>
        <v>20.194531096258558</v>
      </c>
      <c r="F81" s="31">
        <f t="shared" si="16"/>
        <v>6.7315103654195196</v>
      </c>
      <c r="G81" s="44" t="s">
        <v>4</v>
      </c>
      <c r="H81" s="31">
        <f>SUM(H75:H80)-H76</f>
        <v>53</v>
      </c>
      <c r="I81" s="31">
        <f>B94</f>
        <v>1.2311918901364152</v>
      </c>
      <c r="K81" s="31" t="s">
        <v>111</v>
      </c>
      <c r="L81" s="41">
        <f>TINV(0.05,34)</f>
        <v>2.0322445093177191</v>
      </c>
      <c r="O81" s="33">
        <v>5</v>
      </c>
      <c r="P81" s="42">
        <f t="shared" si="19"/>
        <v>6.815175624758627</v>
      </c>
      <c r="Q81" s="49">
        <f t="shared" si="20"/>
        <v>3</v>
      </c>
      <c r="R81" s="52">
        <v>3</v>
      </c>
    </row>
    <row r="82" spans="1:18" x14ac:dyDescent="0.25">
      <c r="A82" s="32" t="s">
        <v>95</v>
      </c>
      <c r="B82" s="65">
        <f>LN('Dry mt. new'!B82)</f>
        <v>6.264312130601307</v>
      </c>
      <c r="C82" s="65">
        <f>LN('Dry mt. new'!C82)</f>
        <v>6.3271507606082293</v>
      </c>
      <c r="D82" s="65">
        <f>LN('Dry mt. new'!D82)</f>
        <v>6.6002513790498538</v>
      </c>
      <c r="E82" s="31">
        <f t="shared" si="15"/>
        <v>19.191714270259389</v>
      </c>
      <c r="F82" s="31">
        <f t="shared" si="16"/>
        <v>6.3972380900864634</v>
      </c>
      <c r="G82" s="34" t="s">
        <v>14</v>
      </c>
      <c r="H82" s="31">
        <f>SQRT(J80/3)</f>
        <v>5.0537452155152207E-2</v>
      </c>
      <c r="O82" s="33">
        <v>6</v>
      </c>
      <c r="P82" s="42">
        <f t="shared" si="19"/>
        <v>6.8497664038382506</v>
      </c>
      <c r="Q82" s="49">
        <f t="shared" si="20"/>
        <v>1</v>
      </c>
      <c r="R82" s="53">
        <v>1</v>
      </c>
    </row>
    <row r="83" spans="1:18" x14ac:dyDescent="0.25">
      <c r="A83" s="32" t="s">
        <v>96</v>
      </c>
      <c r="B83" s="65">
        <f>LN('Dry mt. new'!B83)</f>
        <v>6.6411560597391537</v>
      </c>
      <c r="C83" s="65">
        <f>LN('Dry mt. new'!C83)</f>
        <v>6.8592790655250226</v>
      </c>
      <c r="D83" s="65">
        <f>LN('Dry mt. new'!D83)</f>
        <v>6.6829603649186966</v>
      </c>
      <c r="E83" s="31">
        <f t="shared" si="15"/>
        <v>20.183395490182871</v>
      </c>
      <c r="F83" s="31">
        <f t="shared" si="16"/>
        <v>6.7277984967276234</v>
      </c>
      <c r="G83" s="34" t="s">
        <v>16</v>
      </c>
      <c r="H83" s="31">
        <f>(SQRT((2*J80)/3))*L81</f>
        <v>0.14524603976343384</v>
      </c>
      <c r="O83" s="33">
        <v>7</v>
      </c>
      <c r="P83" s="42">
        <f t="shared" si="19"/>
        <v>6.7302301793127466</v>
      </c>
      <c r="Q83" s="49">
        <f t="shared" si="20"/>
        <v>6</v>
      </c>
      <c r="R83" s="53">
        <v>6</v>
      </c>
    </row>
    <row r="84" spans="1:18" x14ac:dyDescent="0.25">
      <c r="A84" s="32" t="s">
        <v>97</v>
      </c>
      <c r="B84" s="65">
        <f>LN('Dry mt. new'!B84)</f>
        <v>6.6865598288859429</v>
      </c>
      <c r="C84" s="65">
        <f>LN('Dry mt. new'!C84)</f>
        <v>6.9002874641346157</v>
      </c>
      <c r="D84" s="65">
        <f>LN('Dry mt. new'!D84)</f>
        <v>6.7910978595820133</v>
      </c>
      <c r="E84" s="31">
        <f t="shared" si="15"/>
        <v>20.377945152602571</v>
      </c>
      <c r="F84" s="31">
        <f t="shared" si="16"/>
        <v>6.7926483842008567</v>
      </c>
      <c r="G84" s="34" t="s">
        <v>29</v>
      </c>
      <c r="H84" s="31">
        <f>((SQRT(J80))/F91)*100</f>
        <v>1.2996640119903491</v>
      </c>
      <c r="O84" s="33">
        <v>8</v>
      </c>
      <c r="P84" s="42">
        <f t="shared" si="19"/>
        <v>6.8100465653990767</v>
      </c>
      <c r="Q84" s="49">
        <f t="shared" si="20"/>
        <v>4</v>
      </c>
      <c r="R84" s="52">
        <v>4</v>
      </c>
    </row>
    <row r="85" spans="1:18" x14ac:dyDescent="0.25">
      <c r="A85" s="32" t="s">
        <v>98</v>
      </c>
      <c r="B85" s="65">
        <f>LN('Dry mt. new'!B85)</f>
        <v>6.5732331396845378</v>
      </c>
      <c r="C85" s="65">
        <f>LN('Dry mt. new'!C85)</f>
        <v>6.6803275637288753</v>
      </c>
      <c r="D85" s="65">
        <f>LN('Dry mt. new'!D85)</f>
        <v>6.7948664969035191</v>
      </c>
      <c r="E85" s="31">
        <f t="shared" si="15"/>
        <v>20.048427200316933</v>
      </c>
      <c r="F85" s="31">
        <f t="shared" si="16"/>
        <v>6.682809066772311</v>
      </c>
      <c r="O85" s="33">
        <v>9</v>
      </c>
      <c r="P85" s="42">
        <f t="shared" si="19"/>
        <v>6.7010393154860637</v>
      </c>
      <c r="Q85" s="49">
        <f>RANK(P85,P$77:P$85,0)</f>
        <v>8</v>
      </c>
      <c r="R85" s="53">
        <v>8</v>
      </c>
    </row>
    <row r="86" spans="1:18" x14ac:dyDescent="0.25">
      <c r="A86" s="32" t="s">
        <v>99</v>
      </c>
      <c r="B86" s="65">
        <f>LN('Dry mt. new'!B86)</f>
        <v>6.7040221211877506</v>
      </c>
      <c r="C86" s="65">
        <f>LN('Dry mt. new'!C86)</f>
        <v>6.8902835330700976</v>
      </c>
      <c r="D86" s="65">
        <f>LN('Dry mt. new'!D86)</f>
        <v>6.8026836104928394</v>
      </c>
      <c r="E86" s="31">
        <f t="shared" si="15"/>
        <v>20.396989264750687</v>
      </c>
      <c r="F86" s="31">
        <f t="shared" si="16"/>
        <v>6.7989964215835625</v>
      </c>
      <c r="O86" s="30" t="s">
        <v>14</v>
      </c>
      <c r="P86" s="42">
        <f>SQRT(J80/(3*2))</f>
        <v>3.5735375122798826E-2</v>
      </c>
      <c r="Q86" s="49"/>
    </row>
    <row r="87" spans="1:18" x14ac:dyDescent="0.25">
      <c r="A87" s="32" t="s">
        <v>100</v>
      </c>
      <c r="B87" s="65">
        <f>LN('Dry mt. new'!B87)</f>
        <v>6.8037937842380183</v>
      </c>
      <c r="C87" s="65">
        <f>LN('Dry mt. new'!C87)</f>
        <v>6.8519042454421211</v>
      </c>
      <c r="D87" s="65">
        <f>LN('Dry mt. new'!D87)</f>
        <v>6.824504096319818</v>
      </c>
      <c r="E87" s="31">
        <f t="shared" si="15"/>
        <v>20.480202125999956</v>
      </c>
      <c r="F87" s="31">
        <f t="shared" si="16"/>
        <v>6.8267340419999849</v>
      </c>
      <c r="N87" s="30" t="s">
        <v>109</v>
      </c>
      <c r="O87" s="30" t="s">
        <v>16</v>
      </c>
      <c r="P87" s="42">
        <f>SQRT((2*J80)/(3*2))*L81</f>
        <v>0.102704459657215</v>
      </c>
      <c r="Q87" s="49"/>
    </row>
    <row r="88" spans="1:18" x14ac:dyDescent="0.25">
      <c r="A88" s="32" t="s">
        <v>101</v>
      </c>
      <c r="B88" s="65">
        <f>LN('Dry mt. new'!B88)</f>
        <v>6.6716404633867619</v>
      </c>
      <c r="C88" s="65">
        <f>LN('Dry mt. new'!C88)</f>
        <v>6.8082221952569268</v>
      </c>
      <c r="D88" s="65">
        <f>LN('Dry mt. new'!D88)</f>
        <v>6.6677071469751246</v>
      </c>
      <c r="E88" s="31">
        <f t="shared" si="15"/>
        <v>20.147569805618815</v>
      </c>
      <c r="F88" s="31">
        <f>E88/3</f>
        <v>6.7158566018729386</v>
      </c>
      <c r="Q88" s="49"/>
    </row>
    <row r="89" spans="1:18" x14ac:dyDescent="0.25">
      <c r="A89" s="32" t="s">
        <v>102</v>
      </c>
      <c r="B89" s="65">
        <f>LN('Dry mt. new'!B89)</f>
        <v>6.7634113553452622</v>
      </c>
      <c r="C89" s="65">
        <f>LN('Dry mt. new'!C89)</f>
        <v>6.7121782553857328</v>
      </c>
      <c r="D89" s="65">
        <f>LN('Dry mt. new'!D89)</f>
        <v>6.9002874641346157</v>
      </c>
      <c r="E89" s="31">
        <f t="shared" si="15"/>
        <v>20.375877074865613</v>
      </c>
      <c r="F89" s="31">
        <f t="shared" ref="F89:F90" si="22">E89/3</f>
        <v>6.7919590249552044</v>
      </c>
    </row>
    <row r="90" spans="1:18" x14ac:dyDescent="0.25">
      <c r="A90" s="32" t="s">
        <v>103</v>
      </c>
      <c r="B90" s="65">
        <f>LN('Dry mt. new'!B90)</f>
        <v>6.6458579055040836</v>
      </c>
      <c r="C90" s="65">
        <f>LN('Dry mt. new'!C90)</f>
        <v>6.7926137514692053</v>
      </c>
      <c r="D90" s="65">
        <f>LN('Dry mt. new'!D90)</f>
        <v>6.5732331396845378</v>
      </c>
      <c r="E90" s="31">
        <f t="shared" si="15"/>
        <v>20.011704796657824</v>
      </c>
      <c r="F90" s="31">
        <f t="shared" si="22"/>
        <v>6.6705682655526077</v>
      </c>
    </row>
    <row r="91" spans="1:18" x14ac:dyDescent="0.25">
      <c r="A91" s="30" t="s">
        <v>4</v>
      </c>
      <c r="B91" s="31">
        <f>SUM(B73:B90)</f>
        <v>119.94470413941839</v>
      </c>
      <c r="C91" s="31">
        <f t="shared" ref="C91:D91" si="23">SUM(C73:C90)</f>
        <v>121.71828488246365</v>
      </c>
      <c r="D91" s="31">
        <f t="shared" si="23"/>
        <v>122.03143019364077</v>
      </c>
      <c r="E91" s="31">
        <f>SUM(E73:E90)</f>
        <v>363.69441921552277</v>
      </c>
      <c r="F91" s="31">
        <f>AVERAGE(B73:D90)</f>
        <v>6.7350818373244961</v>
      </c>
    </row>
    <row r="92" spans="1:18" x14ac:dyDescent="0.25">
      <c r="A92" s="30" t="s">
        <v>5</v>
      </c>
      <c r="B92" s="31">
        <f>B91/18</f>
        <v>6.663594674412133</v>
      </c>
      <c r="C92" s="31">
        <f>C91/18</f>
        <v>6.7621269379146476</v>
      </c>
      <c r="D92" s="31">
        <f>D91/18</f>
        <v>6.7795238996467093</v>
      </c>
    </row>
    <row r="93" spans="1:18" x14ac:dyDescent="0.25">
      <c r="A93" s="30" t="s">
        <v>26</v>
      </c>
      <c r="B93" s="31">
        <f>(E91*E91)/54</f>
        <v>2449.5116771947482</v>
      </c>
      <c r="C93" s="31"/>
      <c r="D93" s="31"/>
    </row>
    <row r="94" spans="1:18" x14ac:dyDescent="0.25">
      <c r="A94" s="30" t="s">
        <v>27</v>
      </c>
      <c r="B94" s="31">
        <f>SUMSQ(B73:D90)-B93</f>
        <v>1.2311918901364152</v>
      </c>
      <c r="C94" s="30" t="s">
        <v>28</v>
      </c>
      <c r="D94" s="31">
        <f>(SUMSQ(B91:D91)/18)-B93</f>
        <v>0.14070507895257833</v>
      </c>
    </row>
    <row r="95" spans="1:18" x14ac:dyDescent="0.25">
      <c r="A95" s="30" t="s">
        <v>30</v>
      </c>
      <c r="B95" s="31">
        <f>(SUMSQ(E73:E90)/3)-B93</f>
        <v>0.82997533600973838</v>
      </c>
      <c r="C95" s="30" t="s">
        <v>31</v>
      </c>
      <c r="D95" s="31">
        <f>B94-B95-D94</f>
        <v>0.26051147517409845</v>
      </c>
    </row>
    <row r="99" spans="1:18" x14ac:dyDescent="0.25">
      <c r="C99" s="66" t="s">
        <v>116</v>
      </c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  <c r="R104" s="41"/>
    </row>
    <row r="105" spans="1:18" x14ac:dyDescent="0.25">
      <c r="A105" s="32" t="s">
        <v>86</v>
      </c>
      <c r="B105" s="65">
        <f>LN('Dry mt. new'!B105)</f>
        <v>6.3931893356004235</v>
      </c>
      <c r="C105" s="65">
        <f>LN('Dry mt. new'!C105)</f>
        <v>6.5507231283955631</v>
      </c>
      <c r="D105" s="65">
        <f>LN('Dry mt. new'!D105)</f>
        <v>6.7834157967265076</v>
      </c>
      <c r="E105" s="31">
        <f>SUM(B105:D105)</f>
        <v>19.727328260722494</v>
      </c>
      <c r="F105" s="31">
        <f>E105/3</f>
        <v>6.5757760869074984</v>
      </c>
      <c r="H105" s="47"/>
      <c r="I105" s="47"/>
      <c r="J105" s="47" t="s">
        <v>6</v>
      </c>
      <c r="K105" s="47"/>
      <c r="L105" s="47"/>
      <c r="M105" s="47"/>
      <c r="N105" s="47"/>
      <c r="O105" s="33">
        <v>1</v>
      </c>
      <c r="P105" s="42">
        <f>SUM(F105:F113)/9</f>
        <v>6.9048685081708108</v>
      </c>
      <c r="Q105" s="49">
        <f>RANK(P105,P$105:P$106,0)</f>
        <v>1</v>
      </c>
      <c r="R105" s="41"/>
    </row>
    <row r="106" spans="1:18" x14ac:dyDescent="0.25">
      <c r="A106" s="32" t="s">
        <v>87</v>
      </c>
      <c r="B106" s="65">
        <f>LN('Dry mt. new'!B106)</f>
        <v>6.9626695098595288</v>
      </c>
      <c r="C106" s="65">
        <f>LN('Dry mt. new'!C106)</f>
        <v>6.9067747984681755</v>
      </c>
      <c r="D106" s="65">
        <f>LN('Dry mt. new'!D106)</f>
        <v>7.0130697935819306</v>
      </c>
      <c r="E106" s="31">
        <f t="shared" ref="E106:E122" si="24">SUM(B106:D106)</f>
        <v>20.882514101909635</v>
      </c>
      <c r="F106" s="31">
        <f t="shared" ref="F106:F119" si="25">E106/3</f>
        <v>6.9608380339698783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2</v>
      </c>
      <c r="P106" s="42">
        <f>SUM(F114:F122)/9</f>
        <v>6.8560965429780829</v>
      </c>
      <c r="Q106" s="49">
        <f>RANK(P106,P$105:P$106,0)</f>
        <v>2</v>
      </c>
      <c r="R106" s="41"/>
    </row>
    <row r="107" spans="1:18" x14ac:dyDescent="0.25">
      <c r="A107" s="32" t="s">
        <v>88</v>
      </c>
      <c r="B107" s="65">
        <f>LN('Dry mt. new'!B107)</f>
        <v>6.8954701245484991</v>
      </c>
      <c r="C107" s="65">
        <f>LN('Dry mt. new'!C107)</f>
        <v>6.9451281320469382</v>
      </c>
      <c r="D107" s="65">
        <f>LN('Dry mt. new'!D107)</f>
        <v>7.0901268345261332</v>
      </c>
      <c r="E107" s="31">
        <f t="shared" si="24"/>
        <v>20.930725091121573</v>
      </c>
      <c r="F107" s="31">
        <f t="shared" si="25"/>
        <v>6.9769083637071914</v>
      </c>
      <c r="G107" s="31" t="s">
        <v>13</v>
      </c>
      <c r="H107" s="31">
        <f>B103-1</f>
        <v>2</v>
      </c>
      <c r="I107" s="31">
        <f>D126</f>
        <v>2.6706825246947119E-2</v>
      </c>
      <c r="J107" s="31">
        <f>I107/H107</f>
        <v>1.335341262347356E-2</v>
      </c>
      <c r="K107" s="31">
        <f>J107/$J$16</f>
        <v>2.8099910455608792</v>
      </c>
      <c r="L107" s="31">
        <f>FINV(0.05,H107,$H$16)</f>
        <v>3.275897990672394</v>
      </c>
      <c r="M107" s="31" t="str">
        <f>IF(K107&gt;=L107, "S", "NS")</f>
        <v>NS</v>
      </c>
      <c r="N107" s="39"/>
      <c r="O107" s="30" t="s">
        <v>14</v>
      </c>
      <c r="P107" s="42">
        <f>SQRT(J112/(3*9))</f>
        <v>1.3830523676231698E-2</v>
      </c>
      <c r="R107" s="41"/>
    </row>
    <row r="108" spans="1:18" x14ac:dyDescent="0.25">
      <c r="A108" s="32" t="s">
        <v>89</v>
      </c>
      <c r="B108" s="65">
        <f>LN('Dry mt. new'!B108)</f>
        <v>6.9006803103101735</v>
      </c>
      <c r="C108" s="65">
        <f>LN('Dry mt. new'!C108)</f>
        <v>6.8756348986991451</v>
      </c>
      <c r="D108" s="65">
        <f>LN('Dry mt. new'!D108)</f>
        <v>6.8957737867165507</v>
      </c>
      <c r="E108" s="31">
        <f t="shared" si="24"/>
        <v>20.672088995725868</v>
      </c>
      <c r="F108" s="31">
        <f t="shared" si="25"/>
        <v>6.8906963319086225</v>
      </c>
      <c r="G108" s="31" t="s">
        <v>15</v>
      </c>
      <c r="H108" s="31">
        <f>D102-1</f>
        <v>17</v>
      </c>
      <c r="I108" s="31">
        <f>B127</f>
        <v>0.89541035714955797</v>
      </c>
      <c r="J108" s="31">
        <f t="shared" ref="J108:J112" si="26">I108/H108</f>
        <v>5.2671197479385763E-2</v>
      </c>
      <c r="K108" s="31">
        <f>J108/$J$16</f>
        <v>11.083727991440046</v>
      </c>
      <c r="L108" s="31">
        <f>FINV(0.05,H108,$H$16)</f>
        <v>1.9332068318040869</v>
      </c>
      <c r="M108" s="43" t="str">
        <f t="shared" ref="M108" si="27">IF(K108&gt;=L108, "S", "NS")</f>
        <v>S</v>
      </c>
      <c r="N108" s="30" t="s">
        <v>113</v>
      </c>
      <c r="O108" s="30" t="s">
        <v>16</v>
      </c>
      <c r="P108" s="42">
        <f>SQRT((2*J112)/(3*9))*L113</f>
        <v>3.9749308802902637E-2</v>
      </c>
      <c r="R108" s="41"/>
    </row>
    <row r="109" spans="1:18" x14ac:dyDescent="0.25">
      <c r="A109" s="32" t="s">
        <v>90</v>
      </c>
      <c r="B109" s="65">
        <f>LN('Dry mt. new'!B109)</f>
        <v>6.991627567518262</v>
      </c>
      <c r="C109" s="65">
        <f>LN('Dry mt. new'!C109)</f>
        <v>6.9729716952968435</v>
      </c>
      <c r="D109" s="65">
        <f>LN('Dry mt. new'!D109)</f>
        <v>6.9786609864978679</v>
      </c>
      <c r="E109" s="31">
        <f t="shared" si="24"/>
        <v>20.943260249312974</v>
      </c>
      <c r="F109" s="31">
        <f t="shared" si="25"/>
        <v>6.9810867497709914</v>
      </c>
      <c r="G109" s="31" t="s">
        <v>108</v>
      </c>
      <c r="H109" s="31">
        <f>B101-1</f>
        <v>1</v>
      </c>
      <c r="I109" s="31">
        <f>(SUM(E105:E113)^2+SUM(E114:E122)^2)/27-B125</f>
        <v>3.2112511948071187E-2</v>
      </c>
      <c r="J109" s="31">
        <f t="shared" si="26"/>
        <v>3.2112511948071187E-2</v>
      </c>
      <c r="K109" s="31">
        <f>J109/$J$16</f>
        <v>6.7575138707182525</v>
      </c>
      <c r="L109" s="31">
        <f>FINV(0.05,H109,$H$16)</f>
        <v>4.1300177456520188</v>
      </c>
      <c r="M109" s="31" t="str">
        <f>IF(K109&gt;=L109, "S", "NS")</f>
        <v>S</v>
      </c>
      <c r="N109" s="39"/>
      <c r="O109" s="33">
        <v>1</v>
      </c>
      <c r="P109" s="42">
        <f>(F105+F114)/2</f>
        <v>6.5411793775892928</v>
      </c>
      <c r="Q109" s="49">
        <f>RANK(P109,P$109:P$117,0)</f>
        <v>9</v>
      </c>
      <c r="R109" s="52">
        <v>9</v>
      </c>
    </row>
    <row r="110" spans="1:18" x14ac:dyDescent="0.25">
      <c r="A110" s="32" t="s">
        <v>91</v>
      </c>
      <c r="B110" s="65">
        <f>LN('Dry mt. new'!B110)</f>
        <v>7.0149760632668414</v>
      </c>
      <c r="C110" s="65">
        <f>LN('Dry mt. new'!C110)</f>
        <v>6.9903301626058063</v>
      </c>
      <c r="D110" s="65">
        <f>LN('Dry mt. new'!D110)</f>
        <v>7.0059521972357155</v>
      </c>
      <c r="E110" s="31">
        <f t="shared" si="24"/>
        <v>21.011258423108362</v>
      </c>
      <c r="F110" s="31">
        <f t="shared" si="25"/>
        <v>7.0037528077027877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11376.292842023395</v>
      </c>
      <c r="J110" s="31">
        <f t="shared" si="26"/>
        <v>1422.0366052529243</v>
      </c>
      <c r="K110" s="31">
        <f>J110/$J$16</f>
        <v>299242.61609322391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42">
        <f t="shared" ref="P110:P117" si="28">(F106+F115)/2</f>
        <v>6.9335517293293201</v>
      </c>
      <c r="Q110" s="49">
        <f t="shared" ref="Q110:Q117" si="29">RANK(P110,P$109:P$117,0)</f>
        <v>5</v>
      </c>
      <c r="R110" s="53">
        <v>5</v>
      </c>
    </row>
    <row r="111" spans="1:18" x14ac:dyDescent="0.25">
      <c r="A111" s="32" t="s">
        <v>92</v>
      </c>
      <c r="B111" s="65">
        <f>LN('Dry mt. new'!B111)</f>
        <v>6.9009219851177583</v>
      </c>
      <c r="C111" s="65">
        <f>LN('Dry mt. new'!C111)</f>
        <v>6.98318737409799</v>
      </c>
      <c r="D111" s="65">
        <f>LN('Dry mt. new'!D111)</f>
        <v>6.8222627479617772</v>
      </c>
      <c r="E111" s="31">
        <f t="shared" si="24"/>
        <v>20.706372107177526</v>
      </c>
      <c r="F111" s="31">
        <f t="shared" si="25"/>
        <v>6.9021240357258415</v>
      </c>
      <c r="G111" s="26" t="s">
        <v>110</v>
      </c>
      <c r="H111" s="31">
        <f>H109*H110</f>
        <v>8</v>
      </c>
      <c r="I111" s="31">
        <f>I108-(I109+I110)</f>
        <v>-11375.429544178194</v>
      </c>
      <c r="J111" s="31">
        <f t="shared" si="26"/>
        <v>-1421.9286930222743</v>
      </c>
      <c r="K111" s="44">
        <f>J111/$J$16</f>
        <v>-299219.907860476</v>
      </c>
      <c r="L111" s="31">
        <f>FINV(0.05,H111,$H$16)</f>
        <v>2.2253399674380931</v>
      </c>
      <c r="M111" s="31" t="str">
        <f t="shared" ref="M111" si="30">IF(K111&gt;=L111, "S", "NS")</f>
        <v>NS</v>
      </c>
      <c r="N111" s="39"/>
      <c r="O111" s="33">
        <v>3</v>
      </c>
      <c r="P111" s="42">
        <f t="shared" si="28"/>
        <v>6.952643920359832</v>
      </c>
      <c r="Q111" s="49">
        <f t="shared" si="29"/>
        <v>3</v>
      </c>
      <c r="R111" s="53">
        <v>2</v>
      </c>
    </row>
    <row r="112" spans="1:18" x14ac:dyDescent="0.25">
      <c r="A112" s="32" t="s">
        <v>93</v>
      </c>
      <c r="B112" s="65">
        <f>LN('Dry mt. new'!B112)</f>
        <v>6.9745630983137499</v>
      </c>
      <c r="C112" s="65">
        <f>LN('Dry mt. new'!C112)</f>
        <v>6.9597688139341711</v>
      </c>
      <c r="D112" s="65">
        <f>LN('Dry mt. new'!D112)</f>
        <v>6.9691701766836029</v>
      </c>
      <c r="E112" s="31">
        <f t="shared" si="24"/>
        <v>20.903502088931525</v>
      </c>
      <c r="F112" s="31">
        <f t="shared" si="25"/>
        <v>6.9678340296438419</v>
      </c>
      <c r="G112" s="45" t="s">
        <v>23</v>
      </c>
      <c r="H112" s="31">
        <f>((B103-1)*(B101*B102-1))</f>
        <v>34</v>
      </c>
      <c r="I112" s="31">
        <f>D127</f>
        <v>0.17559814757578351</v>
      </c>
      <c r="J112" s="31">
        <f t="shared" si="26"/>
        <v>5.1646513992877506E-3</v>
      </c>
      <c r="O112" s="33">
        <v>4</v>
      </c>
      <c r="P112" s="42">
        <f t="shared" si="28"/>
        <v>6.8737572509729405</v>
      </c>
      <c r="Q112" s="49">
        <f t="shared" si="29"/>
        <v>7</v>
      </c>
      <c r="R112" s="53">
        <v>7</v>
      </c>
    </row>
    <row r="113" spans="1:18" x14ac:dyDescent="0.25">
      <c r="A113" s="32" t="s">
        <v>94</v>
      </c>
      <c r="B113" s="65">
        <f>LN('Dry mt. new'!B113)</f>
        <v>6.8937273459974939</v>
      </c>
      <c r="C113" s="65">
        <f>LN('Dry mt. new'!C113)</f>
        <v>6.8652130557164623</v>
      </c>
      <c r="D113" s="65">
        <f>LN('Dry mt. new'!D113)</f>
        <v>6.8954600008879856</v>
      </c>
      <c r="E113" s="31">
        <f t="shared" si="24"/>
        <v>20.654400402601944</v>
      </c>
      <c r="F113" s="31">
        <f t="shared" si="25"/>
        <v>6.8848001342006482</v>
      </c>
      <c r="G113" s="44" t="s">
        <v>4</v>
      </c>
      <c r="H113" s="31">
        <f>SUM(H107:H112)-H108</f>
        <v>53</v>
      </c>
      <c r="I113" s="31">
        <f>B126</f>
        <v>1.0977153299722886</v>
      </c>
      <c r="K113" s="31" t="s">
        <v>111</v>
      </c>
      <c r="L113" s="41">
        <f>TINV(0.05,34)</f>
        <v>2.0322445093177191</v>
      </c>
      <c r="O113" s="33">
        <v>5</v>
      </c>
      <c r="P113" s="42">
        <f t="shared" si="28"/>
        <v>6.9538861879001601</v>
      </c>
      <c r="Q113" s="49">
        <f t="shared" si="29"/>
        <v>2</v>
      </c>
      <c r="R113" s="52">
        <v>3</v>
      </c>
    </row>
    <row r="114" spans="1:18" x14ac:dyDescent="0.25">
      <c r="A114" s="32" t="s">
        <v>95</v>
      </c>
      <c r="B114" s="65">
        <f>LN('Dry mt. new'!B114)</f>
        <v>6.4175815949470065</v>
      </c>
      <c r="C114" s="65">
        <f>LN('Dry mt. new'!C114)</f>
        <v>6.4804279240168379</v>
      </c>
      <c r="D114" s="65">
        <f>LN('Dry mt. new'!D114)</f>
        <v>6.6217384858494173</v>
      </c>
      <c r="E114" s="31">
        <f t="shared" si="24"/>
        <v>19.519748004813263</v>
      </c>
      <c r="F114" s="31">
        <f t="shared" si="25"/>
        <v>6.5065826682710872</v>
      </c>
      <c r="G114" s="34" t="s">
        <v>14</v>
      </c>
      <c r="H114" s="31">
        <f>SQRT(J112/3)</f>
        <v>4.1491571028695093E-2</v>
      </c>
      <c r="O114" s="33">
        <v>6</v>
      </c>
      <c r="P114" s="42">
        <f t="shared" si="28"/>
        <v>6.9791060547794999</v>
      </c>
      <c r="Q114" s="49">
        <f t="shared" si="29"/>
        <v>1</v>
      </c>
      <c r="R114" s="53">
        <v>1</v>
      </c>
    </row>
    <row r="115" spans="1:18" x14ac:dyDescent="0.25">
      <c r="A115" s="32" t="s">
        <v>96</v>
      </c>
      <c r="B115" s="65">
        <f>LN('Dry mt. new'!B115)</f>
        <v>6.8260461836555919</v>
      </c>
      <c r="C115" s="65">
        <f>LN('Dry mt. new'!C115)</f>
        <v>6.8682345208198541</v>
      </c>
      <c r="D115" s="65">
        <f>LN('Dry mt. new'!D115)</f>
        <v>7.0245155695908359</v>
      </c>
      <c r="E115" s="31">
        <f t="shared" si="24"/>
        <v>20.718796274066282</v>
      </c>
      <c r="F115" s="31">
        <f t="shared" si="25"/>
        <v>6.9062654246887609</v>
      </c>
      <c r="G115" s="34" t="s">
        <v>16</v>
      </c>
      <c r="H115" s="31">
        <f>(SQRT((2*J112)/3))*L113</f>
        <v>0.11924792640870792</v>
      </c>
      <c r="O115" s="33">
        <v>7</v>
      </c>
      <c r="P115" s="42">
        <f t="shared" si="28"/>
        <v>6.8823350057156221</v>
      </c>
      <c r="Q115" s="49">
        <f t="shared" si="29"/>
        <v>6</v>
      </c>
      <c r="R115" s="53">
        <v>6</v>
      </c>
    </row>
    <row r="116" spans="1:18" x14ac:dyDescent="0.25">
      <c r="A116" s="32" t="s">
        <v>97</v>
      </c>
      <c r="B116" s="65">
        <f>LN('Dry mt. new'!B116)</f>
        <v>6.8784809362781418</v>
      </c>
      <c r="C116" s="65">
        <f>LN('Dry mt. new'!C116)</f>
        <v>6.9208491784932944</v>
      </c>
      <c r="D116" s="65">
        <f>LN('Dry mt. new'!D116)</f>
        <v>6.9858083162659792</v>
      </c>
      <c r="E116" s="31">
        <f t="shared" si="24"/>
        <v>20.785138431037417</v>
      </c>
      <c r="F116" s="31">
        <f t="shared" si="25"/>
        <v>6.9283794770124727</v>
      </c>
      <c r="G116" s="34" t="s">
        <v>29</v>
      </c>
      <c r="H116" s="31">
        <f>((SQRT(J112))/F123)*100</f>
        <v>1.0444835640586525</v>
      </c>
      <c r="L116" s="41">
        <f>P105-P106</f>
        <v>4.8771965192727862E-2</v>
      </c>
      <c r="O116" s="33">
        <v>8</v>
      </c>
      <c r="P116" s="42">
        <f t="shared" si="28"/>
        <v>6.9498978933446622</v>
      </c>
      <c r="Q116" s="49">
        <f t="shared" si="29"/>
        <v>4</v>
      </c>
      <c r="R116" s="52">
        <v>4</v>
      </c>
    </row>
    <row r="117" spans="1:18" x14ac:dyDescent="0.25">
      <c r="A117" s="32" t="s">
        <v>98</v>
      </c>
      <c r="B117" s="65">
        <f>LN('Dry mt. new'!B117)</f>
        <v>6.8293179486671862</v>
      </c>
      <c r="C117" s="65">
        <f>LN('Dry mt. new'!C117)</f>
        <v>6.9093340320953516</v>
      </c>
      <c r="D117" s="65">
        <f>LN('Dry mt. new'!D117)</f>
        <v>6.8318025293492406</v>
      </c>
      <c r="E117" s="31">
        <f t="shared" si="24"/>
        <v>20.570454510111777</v>
      </c>
      <c r="F117" s="31">
        <f t="shared" si="25"/>
        <v>6.8568181700372586</v>
      </c>
      <c r="O117" s="33">
        <v>9</v>
      </c>
      <c r="P117" s="42">
        <f t="shared" si="28"/>
        <v>6.8579853101786918</v>
      </c>
      <c r="Q117" s="49">
        <f t="shared" si="29"/>
        <v>8</v>
      </c>
      <c r="R117" s="53">
        <v>8</v>
      </c>
    </row>
    <row r="118" spans="1:18" x14ac:dyDescent="0.25">
      <c r="A118" s="32" t="s">
        <v>99</v>
      </c>
      <c r="B118" s="65">
        <f>LN('Dry mt. new'!B118)</f>
        <v>6.8972603998894852</v>
      </c>
      <c r="C118" s="65">
        <f>LN('Dry mt. new'!C118)</f>
        <v>6.985910051781473</v>
      </c>
      <c r="D118" s="65">
        <f>LN('Dry mt. new'!D118)</f>
        <v>6.8968864264170282</v>
      </c>
      <c r="E118" s="31">
        <f t="shared" si="24"/>
        <v>20.780056878087986</v>
      </c>
      <c r="F118" s="31">
        <f t="shared" si="25"/>
        <v>6.9266856260293288</v>
      </c>
      <c r="O118" s="30" t="s">
        <v>14</v>
      </c>
      <c r="P118" s="42">
        <f>SQRT(J112/(3*2))</f>
        <v>2.9338971236473596E-2</v>
      </c>
      <c r="Q118" s="49"/>
    </row>
    <row r="119" spans="1:18" x14ac:dyDescent="0.25">
      <c r="A119" s="32" t="s">
        <v>100</v>
      </c>
      <c r="B119" s="65">
        <f>LN('Dry mt. new'!B119)</f>
        <v>6.986178213993476</v>
      </c>
      <c r="C119" s="65">
        <f>LN('Dry mt. new'!C119)</f>
        <v>6.8907718739417234</v>
      </c>
      <c r="D119" s="65">
        <f>LN('Dry mt. new'!D119)</f>
        <v>6.9864278176334382</v>
      </c>
      <c r="E119" s="31">
        <f t="shared" si="24"/>
        <v>20.863377905568637</v>
      </c>
      <c r="F119" s="31">
        <f t="shared" si="25"/>
        <v>6.954459301856212</v>
      </c>
      <c r="N119" s="30" t="s">
        <v>109</v>
      </c>
      <c r="O119" s="30" t="s">
        <v>16</v>
      </c>
      <c r="P119" s="42">
        <f>SQRT((2*J112)/(3*2))*L113</f>
        <v>8.4321017406031748E-2</v>
      </c>
      <c r="Q119" s="49"/>
    </row>
    <row r="120" spans="1:18" x14ac:dyDescent="0.25">
      <c r="A120" s="32" t="s">
        <v>101</v>
      </c>
      <c r="B120" s="65">
        <f>LN('Dry mt. new'!B120)</f>
        <v>6.9092940943981542</v>
      </c>
      <c r="C120" s="65">
        <f>LN('Dry mt. new'!C120)</f>
        <v>6.8422349426884317</v>
      </c>
      <c r="D120" s="65">
        <f>LN('Dry mt. new'!D120)</f>
        <v>6.8361088900296219</v>
      </c>
      <c r="E120" s="31">
        <f t="shared" si="24"/>
        <v>20.587637927116209</v>
      </c>
      <c r="F120" s="31">
        <f>E120/3</f>
        <v>6.8625459757054026</v>
      </c>
      <c r="Q120" s="49"/>
    </row>
    <row r="121" spans="1:18" x14ac:dyDescent="0.25">
      <c r="A121" s="32" t="s">
        <v>102</v>
      </c>
      <c r="B121" s="65">
        <f>LN('Dry mt. new'!B121)</f>
        <v>7.0047549399000877</v>
      </c>
      <c r="C121" s="65">
        <f>LN('Dry mt. new'!C121)</f>
        <v>6.8353566143603528</v>
      </c>
      <c r="D121" s="65">
        <f>LN('Dry mt. new'!D121)</f>
        <v>6.9557737168760054</v>
      </c>
      <c r="E121" s="31">
        <f t="shared" si="24"/>
        <v>20.795885271136445</v>
      </c>
      <c r="F121" s="31">
        <f t="shared" ref="F121:F122" si="31">E121/3</f>
        <v>6.9319617570454817</v>
      </c>
      <c r="I121" s="41">
        <f>B114+5.5</f>
        <v>11.917581594947006</v>
      </c>
      <c r="J121" s="41">
        <f t="shared" ref="J121:K129" si="32">C114+5.5</f>
        <v>11.980427924016837</v>
      </c>
      <c r="K121" s="41">
        <f t="shared" si="32"/>
        <v>12.121738485849416</v>
      </c>
    </row>
    <row r="122" spans="1:18" x14ac:dyDescent="0.25">
      <c r="A122" s="32" t="s">
        <v>103</v>
      </c>
      <c r="B122" s="65">
        <f>LN('Dry mt. new'!B122)</f>
        <v>6.8576717788141499</v>
      </c>
      <c r="C122" s="65">
        <f>LN('Dry mt. new'!C122)</f>
        <v>6.8151903275877981</v>
      </c>
      <c r="D122" s="65">
        <f>LN('Dry mt. new'!D122)</f>
        <v>6.8206493520682585</v>
      </c>
      <c r="E122" s="31">
        <f t="shared" si="24"/>
        <v>20.493511458470206</v>
      </c>
      <c r="F122" s="31">
        <f t="shared" si="31"/>
        <v>6.8311704861567355</v>
      </c>
      <c r="I122" s="41">
        <f t="shared" ref="I122:I129" si="33">B115+5.5</f>
        <v>12.326046183655592</v>
      </c>
      <c r="J122" s="41">
        <f t="shared" si="32"/>
        <v>12.368234520819854</v>
      </c>
      <c r="K122" s="41">
        <f t="shared" si="32"/>
        <v>12.524515569590836</v>
      </c>
    </row>
    <row r="123" spans="1:18" x14ac:dyDescent="0.25">
      <c r="A123" s="30" t="s">
        <v>4</v>
      </c>
      <c r="B123" s="31">
        <f>SUM(B105:B122)</f>
        <v>123.53441143107599</v>
      </c>
      <c r="C123" s="31">
        <f t="shared" ref="C123:D123" si="34">SUM(C105:C122)</f>
        <v>123.59804152504621</v>
      </c>
      <c r="D123" s="31">
        <f t="shared" si="34"/>
        <v>124.4136034248979</v>
      </c>
      <c r="E123" s="31">
        <f>SUM(E105:E122)</f>
        <v>371.54605638102009</v>
      </c>
      <c r="F123" s="31">
        <f>AVERAGE(B105:D122)</f>
        <v>6.8804825255744468</v>
      </c>
      <c r="I123" s="41">
        <f t="shared" si="33"/>
        <v>12.378480936278141</v>
      </c>
      <c r="J123" s="41">
        <f t="shared" si="32"/>
        <v>12.420849178493295</v>
      </c>
      <c r="K123" s="41">
        <f t="shared" si="32"/>
        <v>12.485808316265979</v>
      </c>
    </row>
    <row r="124" spans="1:18" x14ac:dyDescent="0.25">
      <c r="A124" s="30" t="s">
        <v>5</v>
      </c>
      <c r="B124" s="31">
        <f>B123/18</f>
        <v>6.863022857282</v>
      </c>
      <c r="C124" s="31">
        <f>C123/18</f>
        <v>6.8665578625025674</v>
      </c>
      <c r="D124" s="31">
        <f>D123/18</f>
        <v>6.9118668569387722</v>
      </c>
      <c r="I124" s="41">
        <f t="shared" si="33"/>
        <v>12.329317948667185</v>
      </c>
      <c r="J124" s="41">
        <f t="shared" si="32"/>
        <v>12.409334032095352</v>
      </c>
      <c r="K124" s="41">
        <f t="shared" si="32"/>
        <v>12.33180252934924</v>
      </c>
    </row>
    <row r="125" spans="1:18" x14ac:dyDescent="0.25">
      <c r="A125" s="30" t="s">
        <v>26</v>
      </c>
      <c r="B125" s="31">
        <f>(E123*E123)/54</f>
        <v>2556.4161483757071</v>
      </c>
      <c r="C125" s="31"/>
      <c r="D125" s="31"/>
      <c r="I125" s="41">
        <f t="shared" si="33"/>
        <v>12.397260399889486</v>
      </c>
      <c r="J125" s="41">
        <f t="shared" si="32"/>
        <v>12.485910051781474</v>
      </c>
      <c r="K125" s="41">
        <f t="shared" si="32"/>
        <v>12.396886426417028</v>
      </c>
    </row>
    <row r="126" spans="1:18" x14ac:dyDescent="0.25">
      <c r="A126" s="30" t="s">
        <v>27</v>
      </c>
      <c r="B126" s="31">
        <f>SUMSQ(B105:D122)-B125</f>
        <v>1.0977153299722886</v>
      </c>
      <c r="C126" s="30" t="s">
        <v>28</v>
      </c>
      <c r="D126" s="31">
        <f>(SUMSQ(B123:D123)/18)-B125</f>
        <v>2.6706825246947119E-2</v>
      </c>
      <c r="I126" s="41">
        <f t="shared" si="33"/>
        <v>12.486178213993476</v>
      </c>
      <c r="J126" s="41">
        <f t="shared" si="32"/>
        <v>12.390771873941723</v>
      </c>
      <c r="K126" s="41">
        <f t="shared" si="32"/>
        <v>12.486427817633437</v>
      </c>
    </row>
    <row r="127" spans="1:18" x14ac:dyDescent="0.25">
      <c r="A127" s="30" t="s">
        <v>30</v>
      </c>
      <c r="B127" s="31">
        <f>(SUMSQ(E105:E122)/3)-B125</f>
        <v>0.89541035714955797</v>
      </c>
      <c r="C127" s="30" t="s">
        <v>31</v>
      </c>
      <c r="D127" s="31">
        <f>B126-B127-D126</f>
        <v>0.17559814757578351</v>
      </c>
      <c r="I127" s="41">
        <f t="shared" si="33"/>
        <v>12.409294094398154</v>
      </c>
      <c r="J127" s="41">
        <f t="shared" si="32"/>
        <v>12.342234942688432</v>
      </c>
      <c r="K127" s="41">
        <f t="shared" si="32"/>
        <v>12.336108890029621</v>
      </c>
    </row>
    <row r="128" spans="1:18" x14ac:dyDescent="0.25">
      <c r="I128" s="41">
        <f t="shared" si="33"/>
        <v>12.504754939900089</v>
      </c>
      <c r="J128" s="41">
        <f t="shared" si="32"/>
        <v>12.335356614360354</v>
      </c>
      <c r="K128" s="41">
        <f t="shared" si="32"/>
        <v>12.455773716876006</v>
      </c>
    </row>
    <row r="129" spans="1:18" x14ac:dyDescent="0.25">
      <c r="I129" s="41">
        <f t="shared" si="33"/>
        <v>12.357671778814151</v>
      </c>
      <c r="J129" s="41">
        <f t="shared" si="32"/>
        <v>12.315190327587798</v>
      </c>
      <c r="K129" s="41">
        <f t="shared" si="32"/>
        <v>12.320649352068259</v>
      </c>
    </row>
    <row r="131" spans="1:18" x14ac:dyDescent="0.25">
      <c r="C131" s="75">
        <v>2020</v>
      </c>
    </row>
    <row r="132" spans="1:18" x14ac:dyDescent="0.25">
      <c r="C132" s="48" t="s">
        <v>118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J135" s="39"/>
      <c r="K135" s="39"/>
      <c r="L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</row>
    <row r="138" spans="1:18" x14ac:dyDescent="0.25">
      <c r="A138" s="32" t="s">
        <v>86</v>
      </c>
      <c r="B138" s="65">
        <f>LN('Dry mt. new'!B138)</f>
        <v>4.8867335774316949</v>
      </c>
      <c r="C138" s="65">
        <f>LN('Dry mt. new'!C138)</f>
        <v>5.1561775993869139</v>
      </c>
      <c r="D138" s="65">
        <f>LN('Dry mt. new'!D138)</f>
        <v>5.2130317722656763</v>
      </c>
      <c r="E138" s="31">
        <f t="shared" ref="E138:E155" si="35">SUM(B138:D138)</f>
        <v>15.255942949084286</v>
      </c>
      <c r="F138" s="31">
        <f>E138/3</f>
        <v>5.0853143163614289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42">
        <f>SUM(F138:F146)/9</f>
        <v>5.5065720237339946</v>
      </c>
      <c r="Q138" s="49">
        <f>RANK(P138,P$138:P$139,0)</f>
        <v>1</v>
      </c>
      <c r="R138" s="75">
        <v>1</v>
      </c>
    </row>
    <row r="139" spans="1:18" x14ac:dyDescent="0.25">
      <c r="A139" s="32" t="s">
        <v>87</v>
      </c>
      <c r="B139" s="65">
        <f>LN('Dry mt. new'!B139)</f>
        <v>5.4997877421807519</v>
      </c>
      <c r="C139" s="65">
        <f>LN('Dry mt. new'!C139)</f>
        <v>5.5679245682722858</v>
      </c>
      <c r="D139" s="65">
        <f>LN('Dry mt. new'!D139)</f>
        <v>5.6045512843943444</v>
      </c>
      <c r="E139" s="31">
        <f t="shared" si="35"/>
        <v>16.672263594847383</v>
      </c>
      <c r="F139" s="31">
        <f t="shared" ref="F139:F152" si="36">E139/3</f>
        <v>5.5574211982824613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42">
        <f>SUM(F147:F155)/9</f>
        <v>5.4683713001128442</v>
      </c>
      <c r="Q139" s="49">
        <f>RANK(P139,P$138:P$139,0)</f>
        <v>2</v>
      </c>
      <c r="R139" s="75">
        <v>2</v>
      </c>
    </row>
    <row r="140" spans="1:18" x14ac:dyDescent="0.25">
      <c r="A140" s="32" t="s">
        <v>88</v>
      </c>
      <c r="B140" s="65">
        <f>LN('Dry mt. new'!B140)</f>
        <v>5.6014174679781732</v>
      </c>
      <c r="C140" s="65">
        <f>LN('Dry mt. new'!C140)</f>
        <v>5.6332169386089284</v>
      </c>
      <c r="D140" s="65">
        <f>LN('Dry mt. new'!D140)</f>
        <v>5.6718100954129289</v>
      </c>
      <c r="E140" s="31">
        <f t="shared" si="35"/>
        <v>16.906444502000031</v>
      </c>
      <c r="F140" s="31">
        <f t="shared" si="36"/>
        <v>5.6354815006666774</v>
      </c>
      <c r="G140" s="31" t="s">
        <v>13</v>
      </c>
      <c r="H140" s="31">
        <f>B136-1</f>
        <v>2</v>
      </c>
      <c r="I140" s="31">
        <f>D159</f>
        <v>0.1727130919953197</v>
      </c>
      <c r="J140" s="31">
        <f>I140/H140</f>
        <v>8.635654599765985E-2</v>
      </c>
      <c r="K140" s="31">
        <f>J140/$J$16</f>
        <v>18.172217681076052</v>
      </c>
      <c r="L140" s="31">
        <f>FINV(0.05,H140,$H$16)</f>
        <v>3.275897990672394</v>
      </c>
      <c r="M140" s="31" t="str">
        <f>IF(K140&gt;=L140, "S", "NS")</f>
        <v>S</v>
      </c>
      <c r="N140" s="39"/>
      <c r="O140" s="30" t="s">
        <v>14</v>
      </c>
      <c r="P140" s="42">
        <f>SQRT(J145/(3*9))</f>
        <v>1.2947200094678922E-2</v>
      </c>
    </row>
    <row r="141" spans="1:18" x14ac:dyDescent="0.25">
      <c r="A141" s="32" t="s">
        <v>89</v>
      </c>
      <c r="B141" s="65">
        <f>LN('Dry mt. new'!B141)</f>
        <v>5.4600109555460241</v>
      </c>
      <c r="C141" s="65">
        <f>LN('Dry mt. new'!C141)</f>
        <v>5.4829695386802735</v>
      </c>
      <c r="D141" s="65">
        <f>LN('Dry mt. new'!D141)</f>
        <v>5.5200599369466179</v>
      </c>
      <c r="E141" s="31">
        <f t="shared" si="35"/>
        <v>16.463040431172914</v>
      </c>
      <c r="F141" s="31">
        <f t="shared" si="36"/>
        <v>5.4876801437243046</v>
      </c>
      <c r="G141" s="31" t="s">
        <v>15</v>
      </c>
      <c r="H141" s="31">
        <f>D135-1</f>
        <v>17</v>
      </c>
      <c r="I141" s="31">
        <f>B160</f>
        <v>1.3538865041300596</v>
      </c>
      <c r="J141" s="31">
        <f t="shared" ref="J141:J145" si="37">I141/H141</f>
        <v>7.9640382595885864E-2</v>
      </c>
      <c r="K141" s="31">
        <f>J141/$J$16</f>
        <v>16.758919107022148</v>
      </c>
      <c r="L141" s="31">
        <f>FINV(0.05,H141,$H$16)</f>
        <v>1.9332068318040869</v>
      </c>
      <c r="M141" s="43" t="str">
        <f t="shared" ref="M141" si="38">IF(K141&gt;=L141, "S", "NS")</f>
        <v>S</v>
      </c>
      <c r="N141" s="30" t="s">
        <v>113</v>
      </c>
      <c r="O141" s="30" t="s">
        <v>16</v>
      </c>
      <c r="P141" s="42">
        <f>SQRT((2*J145)/(3*9))*L146</f>
        <v>3.7210612319820958E-2</v>
      </c>
    </row>
    <row r="142" spans="1:18" x14ac:dyDescent="0.25">
      <c r="A142" s="32" t="s">
        <v>90</v>
      </c>
      <c r="B142" s="65">
        <f>LN('Dry mt. new'!B142)</f>
        <v>5.5935582987026295</v>
      </c>
      <c r="C142" s="65">
        <f>LN('Dry mt. new'!C142)</f>
        <v>5.6081889213720704</v>
      </c>
      <c r="D142" s="65">
        <f>LN('Dry mt. new'!D142)</f>
        <v>5.6427932030297718</v>
      </c>
      <c r="E142" s="31">
        <f t="shared" si="35"/>
        <v>16.844540423104473</v>
      </c>
      <c r="F142" s="31">
        <f t="shared" si="36"/>
        <v>5.6148468077014906</v>
      </c>
      <c r="G142" s="31" t="s">
        <v>108</v>
      </c>
      <c r="H142" s="31">
        <f>B134-1</f>
        <v>1</v>
      </c>
      <c r="I142" s="31">
        <f>(SUM(E138:E146)^2+SUM(E147:E155)^2)/27-B158</f>
        <v>1.9700486350075153E-2</v>
      </c>
      <c r="J142" s="31">
        <f t="shared" si="37"/>
        <v>1.9700486350075153E-2</v>
      </c>
      <c r="K142" s="31">
        <f>J142/$J$16</f>
        <v>4.1456211829770782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42">
        <f>(F138+F147)/2</f>
        <v>5.076260956010568</v>
      </c>
      <c r="Q142" s="49">
        <f>RANK(P142,P$142:P$150,0)</f>
        <v>9</v>
      </c>
      <c r="R142" s="52">
        <v>9</v>
      </c>
    </row>
    <row r="143" spans="1:18" x14ac:dyDescent="0.25">
      <c r="A143" s="32" t="s">
        <v>91</v>
      </c>
      <c r="B143" s="65">
        <f>LN('Dry mt. new'!B143)</f>
        <v>5.4955275358357421</v>
      </c>
      <c r="C143" s="65">
        <f>LN('Dry mt. new'!C143)</f>
        <v>5.662578462732144</v>
      </c>
      <c r="D143" s="65">
        <f>LN('Dry mt. new'!D143)</f>
        <v>5.7614222541026159</v>
      </c>
      <c r="E143" s="31">
        <f t="shared" si="35"/>
        <v>16.919528252670503</v>
      </c>
      <c r="F143" s="31">
        <f t="shared" si="36"/>
        <v>5.6398427508901676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7245.1292288219547</v>
      </c>
      <c r="J143" s="31">
        <f t="shared" si="37"/>
        <v>905.64115360274434</v>
      </c>
      <c r="K143" s="31">
        <f>J143/$J$16</f>
        <v>190576.26719641939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42">
        <f t="shared" ref="P143:P150" si="39">(F139+F148)/2</f>
        <v>5.5319279188284352</v>
      </c>
      <c r="Q143" s="49">
        <f t="shared" ref="Q143:Q150" si="40">RANK(P143,P$142:P$150,0)</f>
        <v>5</v>
      </c>
      <c r="R143" s="53">
        <v>5</v>
      </c>
    </row>
    <row r="144" spans="1:18" x14ac:dyDescent="0.25">
      <c r="A144" s="32" t="s">
        <v>92</v>
      </c>
      <c r="B144" s="65">
        <f>LN('Dry mt. new'!B144)</f>
        <v>5.4666245119564127</v>
      </c>
      <c r="C144" s="65">
        <f>LN('Dry mt. new'!C144)</f>
        <v>5.4718083819571746</v>
      </c>
      <c r="D144" s="65">
        <f>LN('Dry mt. new'!D144)</f>
        <v>5.4999921032465933</v>
      </c>
      <c r="E144" s="31">
        <f t="shared" si="35"/>
        <v>16.43842499716018</v>
      </c>
      <c r="F144" s="31">
        <f t="shared" si="36"/>
        <v>5.4794749990533935</v>
      </c>
      <c r="G144" s="26" t="s">
        <v>110</v>
      </c>
      <c r="H144" s="31">
        <f>H142*H143</f>
        <v>8</v>
      </c>
      <c r="I144" s="31">
        <f>I141-(I142+I143)</f>
        <v>-7243.795042804175</v>
      </c>
      <c r="J144" s="31">
        <f t="shared" si="37"/>
        <v>-905.47438035052187</v>
      </c>
      <c r="K144" s="44">
        <f>J144/$J$16</f>
        <v>-190541.17269596484</v>
      </c>
      <c r="L144" s="31">
        <f>FINV(0.05,H144,$H$16)</f>
        <v>2.2253399674380931</v>
      </c>
      <c r="M144" s="31" t="str">
        <f t="shared" ref="M144" si="41">IF(K144&gt;=L144, "S", "NS")</f>
        <v>NS</v>
      </c>
      <c r="N144" s="39"/>
      <c r="O144" s="33">
        <v>3</v>
      </c>
      <c r="P144" s="42">
        <f t="shared" si="39"/>
        <v>5.605899165604173</v>
      </c>
      <c r="Q144" s="49">
        <f t="shared" si="40"/>
        <v>2</v>
      </c>
      <c r="R144" s="53">
        <v>2</v>
      </c>
    </row>
    <row r="145" spans="1:18" x14ac:dyDescent="0.25">
      <c r="A145" s="32" t="s">
        <v>93</v>
      </c>
      <c r="B145" s="65">
        <f>LN('Dry mt. new'!B145)</f>
        <v>5.5080919501232923</v>
      </c>
      <c r="C145" s="65">
        <f>LN('Dry mt. new'!C145)</f>
        <v>5.5860494377498595</v>
      </c>
      <c r="D145" s="65">
        <f>LN('Dry mt. new'!D145)</f>
        <v>5.65445216463426</v>
      </c>
      <c r="E145" s="31">
        <f t="shared" si="35"/>
        <v>16.748593552507412</v>
      </c>
      <c r="F145" s="31">
        <f t="shared" si="36"/>
        <v>5.5828645175024709</v>
      </c>
      <c r="G145" s="45" t="s">
        <v>23</v>
      </c>
      <c r="H145" s="31">
        <f>((B136-1)*(B134*B135-1))</f>
        <v>34</v>
      </c>
      <c r="I145" s="31">
        <f>D160</f>
        <v>0.15388433108773825</v>
      </c>
      <c r="J145" s="31">
        <f t="shared" si="37"/>
        <v>4.5260097378746547E-3</v>
      </c>
      <c r="O145" s="33">
        <v>4</v>
      </c>
      <c r="P145" s="42">
        <f t="shared" si="39"/>
        <v>5.4689746990499106</v>
      </c>
      <c r="Q145" s="49">
        <f t="shared" si="40"/>
        <v>7</v>
      </c>
      <c r="R145" s="53">
        <v>7</v>
      </c>
    </row>
    <row r="146" spans="1:18" x14ac:dyDescent="0.25">
      <c r="A146" s="32" t="s">
        <v>94</v>
      </c>
      <c r="B146" s="65">
        <f>LN('Dry mt. new'!B146)</f>
        <v>5.4495351782906578</v>
      </c>
      <c r="C146" s="65">
        <f>LN('Dry mt. new'!C146)</f>
        <v>5.4791795256056401</v>
      </c>
      <c r="D146" s="65">
        <f>LN('Dry mt. new'!D146)</f>
        <v>5.4999512343743637</v>
      </c>
      <c r="E146" s="31">
        <f t="shared" si="35"/>
        <v>16.428665938270662</v>
      </c>
      <c r="F146" s="31">
        <f t="shared" si="36"/>
        <v>5.4762219794235536</v>
      </c>
      <c r="G146" s="44" t="s">
        <v>4</v>
      </c>
      <c r="H146" s="31">
        <f>SUM(H140:H145)-H141</f>
        <v>53</v>
      </c>
      <c r="I146" s="31">
        <f>B159</f>
        <v>1.6804839272131176</v>
      </c>
      <c r="K146" s="31" t="s">
        <v>111</v>
      </c>
      <c r="L146" s="41">
        <f>TINV(0.05,34)</f>
        <v>2.0322445093177191</v>
      </c>
      <c r="O146" s="33">
        <v>5</v>
      </c>
      <c r="P146" s="42">
        <f t="shared" si="39"/>
        <v>5.5793260005955805</v>
      </c>
      <c r="Q146" s="49">
        <f t="shared" si="40"/>
        <v>3</v>
      </c>
      <c r="R146" s="52">
        <v>3</v>
      </c>
    </row>
    <row r="147" spans="1:18" x14ac:dyDescent="0.25">
      <c r="A147" s="32" t="s">
        <v>95</v>
      </c>
      <c r="B147" s="65">
        <f>LN('Dry mt. new'!B147)</f>
        <v>4.8086007059922808</v>
      </c>
      <c r="C147" s="65">
        <f>LN('Dry mt. new'!C147)</f>
        <v>5.0667005180292044</v>
      </c>
      <c r="D147" s="65">
        <f>LN('Dry mt. new'!D147)</f>
        <v>5.3263215629576344</v>
      </c>
      <c r="E147" s="31">
        <f t="shared" si="35"/>
        <v>15.201622786979119</v>
      </c>
      <c r="F147" s="31">
        <f t="shared" si="36"/>
        <v>5.0672075956597062</v>
      </c>
      <c r="G147" s="34" t="s">
        <v>14</v>
      </c>
      <c r="H147" s="31">
        <f>SQRT(J145/3)</f>
        <v>3.8841600284036763E-2</v>
      </c>
      <c r="O147" s="33">
        <v>6</v>
      </c>
      <c r="P147" s="42">
        <f t="shared" si="39"/>
        <v>5.6334010586343677</v>
      </c>
      <c r="Q147" s="49">
        <f t="shared" si="40"/>
        <v>1</v>
      </c>
      <c r="R147" s="53">
        <v>1</v>
      </c>
    </row>
    <row r="148" spans="1:18" x14ac:dyDescent="0.25">
      <c r="A148" s="32" t="s">
        <v>96</v>
      </c>
      <c r="B148" s="65">
        <f>LN('Dry mt. new'!B148)</f>
        <v>5.4580950422404264</v>
      </c>
      <c r="C148" s="65">
        <f>LN('Dry mt. new'!C148)</f>
        <v>5.5142751620475217</v>
      </c>
      <c r="D148" s="65">
        <f>LN('Dry mt. new'!D148)</f>
        <v>5.5469337138352772</v>
      </c>
      <c r="E148" s="31">
        <f t="shared" si="35"/>
        <v>16.519303918123224</v>
      </c>
      <c r="F148" s="31">
        <f t="shared" si="36"/>
        <v>5.5064346393744081</v>
      </c>
      <c r="G148" s="34" t="s">
        <v>16</v>
      </c>
      <c r="H148" s="31">
        <f>(SQRT((2*J145)/3))*L146</f>
        <v>0.11163183695946288</v>
      </c>
      <c r="O148" s="33">
        <v>7</v>
      </c>
      <c r="P148" s="42">
        <f t="shared" si="39"/>
        <v>5.4757792522845747</v>
      </c>
      <c r="Q148" s="49">
        <f t="shared" si="40"/>
        <v>6</v>
      </c>
      <c r="R148" s="53">
        <v>6</v>
      </c>
    </row>
    <row r="149" spans="1:18" x14ac:dyDescent="0.25">
      <c r="A149" s="32" t="s">
        <v>97</v>
      </c>
      <c r="B149" s="65">
        <f>LN('Dry mt. new'!B149)</f>
        <v>5.5161669294011366</v>
      </c>
      <c r="C149" s="65">
        <f>LN('Dry mt. new'!C149)</f>
        <v>5.5893438402502076</v>
      </c>
      <c r="D149" s="65">
        <f>LN('Dry mt. new'!D149)</f>
        <v>5.6234397219736625</v>
      </c>
      <c r="E149" s="31">
        <f t="shared" si="35"/>
        <v>16.728950491625007</v>
      </c>
      <c r="F149" s="31">
        <f t="shared" si="36"/>
        <v>5.5763168305416686</v>
      </c>
      <c r="G149" s="34" t="s">
        <v>29</v>
      </c>
      <c r="H149" s="31">
        <f>((SQRT(J145))/F156)*100</f>
        <v>1.2259858325291573</v>
      </c>
      <c r="O149" s="33">
        <v>8</v>
      </c>
      <c r="P149" s="42">
        <f t="shared" si="39"/>
        <v>5.5592568469553463</v>
      </c>
      <c r="Q149" s="49">
        <f t="shared" si="40"/>
        <v>4</v>
      </c>
      <c r="R149" s="52">
        <v>4</v>
      </c>
    </row>
    <row r="150" spans="1:18" x14ac:dyDescent="0.25">
      <c r="A150" s="32" t="s">
        <v>98</v>
      </c>
      <c r="B150" s="65">
        <f>LN('Dry mt. new'!B150)</f>
        <v>5.4317987579225173</v>
      </c>
      <c r="C150" s="65">
        <f>LN('Dry mt. new'!C150)</f>
        <v>5.4327608430975269</v>
      </c>
      <c r="D150" s="65">
        <f>LN('Dry mt. new'!D150)</f>
        <v>5.4862481621065022</v>
      </c>
      <c r="E150" s="31">
        <f t="shared" si="35"/>
        <v>16.350807763126546</v>
      </c>
      <c r="F150" s="31">
        <f t="shared" si="36"/>
        <v>5.4502692543755158</v>
      </c>
      <c r="O150" s="33">
        <v>9</v>
      </c>
      <c r="P150" s="42">
        <f t="shared" si="39"/>
        <v>5.4564190593478186</v>
      </c>
      <c r="Q150" s="49">
        <f t="shared" si="40"/>
        <v>8</v>
      </c>
      <c r="R150" s="53">
        <v>8</v>
      </c>
    </row>
    <row r="151" spans="1:18" x14ac:dyDescent="0.25">
      <c r="A151" s="32" t="s">
        <v>99</v>
      </c>
      <c r="B151" s="65">
        <f>LN('Dry mt. new'!B151)</f>
        <v>5.4903829622913847</v>
      </c>
      <c r="C151" s="65">
        <f>LN('Dry mt. new'!C151)</f>
        <v>5.5688405639090215</v>
      </c>
      <c r="D151" s="65">
        <f>LN('Dry mt. new'!D151)</f>
        <v>5.5721920542686041</v>
      </c>
      <c r="E151" s="31">
        <f t="shared" si="35"/>
        <v>16.63141558046901</v>
      </c>
      <c r="F151" s="31">
        <f t="shared" si="36"/>
        <v>5.5438051934896704</v>
      </c>
      <c r="I151" s="65"/>
      <c r="J151" s="65"/>
      <c r="K151" s="65"/>
      <c r="O151" s="30" t="s">
        <v>14</v>
      </c>
      <c r="P151" s="42">
        <f>SQRT(J145/(3*2))</f>
        <v>2.7465158952979726E-2</v>
      </c>
      <c r="Q151" s="49"/>
    </row>
    <row r="152" spans="1:18" x14ac:dyDescent="0.25">
      <c r="A152" s="32" t="s">
        <v>100</v>
      </c>
      <c r="B152" s="65">
        <f>LN('Dry mt. new'!B152)</f>
        <v>5.4872006811771321</v>
      </c>
      <c r="C152" s="65">
        <f>LN('Dry mt. new'!C152)</f>
        <v>5.6074551110291075</v>
      </c>
      <c r="D152" s="65">
        <f>LN('Dry mt. new'!D152)</f>
        <v>5.7862223069294592</v>
      </c>
      <c r="E152" s="31">
        <f t="shared" si="35"/>
        <v>16.8808780991357</v>
      </c>
      <c r="F152" s="31">
        <f t="shared" si="36"/>
        <v>5.6269593663785669</v>
      </c>
      <c r="I152" s="65"/>
      <c r="J152" s="65"/>
      <c r="K152" s="65"/>
      <c r="N152" s="30" t="s">
        <v>109</v>
      </c>
      <c r="O152" s="30" t="s">
        <v>16</v>
      </c>
      <c r="P152" s="42">
        <f>SQRT((2*J145)/(3*2))*L146</f>
        <v>7.8935628910347264E-2</v>
      </c>
      <c r="Q152" s="49"/>
    </row>
    <row r="153" spans="1:18" x14ac:dyDescent="0.25">
      <c r="A153" s="32" t="s">
        <v>101</v>
      </c>
      <c r="B153" s="65">
        <f>LN('Dry mt. new'!B153)</f>
        <v>5.430704354591362</v>
      </c>
      <c r="C153" s="65">
        <f>LN('Dry mt. new'!C153)</f>
        <v>5.4576261490329188</v>
      </c>
      <c r="D153" s="65">
        <f>LN('Dry mt. new'!D153)</f>
        <v>5.5279200129229853</v>
      </c>
      <c r="E153" s="31">
        <f t="shared" si="35"/>
        <v>16.416250516547265</v>
      </c>
      <c r="F153" s="31">
        <f>E153/3</f>
        <v>5.4720835055157551</v>
      </c>
      <c r="I153" s="65"/>
      <c r="J153" s="65"/>
      <c r="K153" s="65"/>
      <c r="Q153" s="49"/>
    </row>
    <row r="154" spans="1:18" x14ac:dyDescent="0.25">
      <c r="A154" s="32" t="s">
        <v>102</v>
      </c>
      <c r="B154" s="65">
        <f>LN('Dry mt. new'!B154)</f>
        <v>5.4861238535725612</v>
      </c>
      <c r="C154" s="65">
        <f>LN('Dry mt. new'!C154)</f>
        <v>5.5465046883016775</v>
      </c>
      <c r="D154" s="65">
        <f>LN('Dry mt. new'!D154)</f>
        <v>5.5743189873504253</v>
      </c>
      <c r="E154" s="31">
        <f t="shared" si="35"/>
        <v>16.606947529224662</v>
      </c>
      <c r="F154" s="31">
        <f t="shared" ref="F154:F155" si="42">E154/3</f>
        <v>5.5356491764082207</v>
      </c>
      <c r="I154" s="65"/>
      <c r="J154" s="65"/>
      <c r="K154" s="65"/>
    </row>
    <row r="155" spans="1:18" x14ac:dyDescent="0.25">
      <c r="A155" s="32" t="s">
        <v>103</v>
      </c>
      <c r="B155" s="65">
        <f>LN('Dry mt. new'!B155)</f>
        <v>5.4141429320536272</v>
      </c>
      <c r="C155" s="65">
        <f>LN('Dry mt. new'!C155)</f>
        <v>5.4343768109551327</v>
      </c>
      <c r="D155" s="65">
        <f>LN('Dry mt. new'!D155)</f>
        <v>5.4613286748074916</v>
      </c>
      <c r="E155" s="31">
        <f t="shared" si="35"/>
        <v>16.309848417816251</v>
      </c>
      <c r="F155" s="31">
        <f t="shared" si="42"/>
        <v>5.4366161392720835</v>
      </c>
      <c r="I155" s="65"/>
      <c r="J155" s="65"/>
      <c r="K155" s="65"/>
    </row>
    <row r="156" spans="1:18" x14ac:dyDescent="0.25">
      <c r="A156" s="30" t="s">
        <v>4</v>
      </c>
      <c r="B156" s="31">
        <f>SUM(B138:B155)</f>
        <v>97.484503437287813</v>
      </c>
      <c r="C156" s="31">
        <f>SUM(C138:C155)</f>
        <v>98.865977061017603</v>
      </c>
      <c r="D156" s="31">
        <f>SUM(D138:D155)</f>
        <v>99.972989245559205</v>
      </c>
      <c r="E156" s="31">
        <f>SUM(E138:E155)</f>
        <v>296.32346974386462</v>
      </c>
      <c r="F156" s="31">
        <f>AVERAGE(B138:D155)</f>
        <v>5.4874716619234185</v>
      </c>
      <c r="I156" s="65"/>
      <c r="J156" s="65"/>
      <c r="K156" s="65"/>
    </row>
    <row r="157" spans="1:18" x14ac:dyDescent="0.25">
      <c r="A157" s="30" t="s">
        <v>5</v>
      </c>
      <c r="B157" s="31">
        <f>B156/18</f>
        <v>5.4158057465159892</v>
      </c>
      <c r="C157" s="31">
        <f>C156/18</f>
        <v>5.4925542811676449</v>
      </c>
      <c r="D157" s="31">
        <f>D156/18</f>
        <v>5.5540549580866223</v>
      </c>
      <c r="I157" s="65"/>
      <c r="J157" s="65"/>
      <c r="K157" s="65"/>
    </row>
    <row r="158" spans="1:18" x14ac:dyDescent="0.25">
      <c r="A158" s="30" t="s">
        <v>26</v>
      </c>
      <c r="B158" s="31">
        <f>(E156*E156)/54</f>
        <v>1626.0666429822786</v>
      </c>
      <c r="C158" s="31"/>
      <c r="D158" s="31"/>
      <c r="I158" s="65"/>
      <c r="J158" s="65"/>
      <c r="K158" s="65"/>
    </row>
    <row r="159" spans="1:18" x14ac:dyDescent="0.25">
      <c r="A159" s="30" t="s">
        <v>27</v>
      </c>
      <c r="B159" s="31">
        <f>SUMSQ(B138:D155)-B158</f>
        <v>1.6804839272131176</v>
      </c>
      <c r="C159" s="30" t="s">
        <v>28</v>
      </c>
      <c r="D159" s="31">
        <f>(SUMSQ(B156:D156)/18)-B158</f>
        <v>0.1727130919953197</v>
      </c>
      <c r="I159" s="65"/>
      <c r="J159" s="65"/>
      <c r="K159" s="65"/>
    </row>
    <row r="160" spans="1:18" x14ac:dyDescent="0.25">
      <c r="A160" s="30" t="s">
        <v>30</v>
      </c>
      <c r="B160" s="31">
        <f>(SUMSQ(E138:E155)/3)-B158</f>
        <v>1.3538865041300596</v>
      </c>
      <c r="C160" s="30" t="s">
        <v>31</v>
      </c>
      <c r="D160" s="31">
        <f>B159-B160-D159</f>
        <v>0.15388433108773825</v>
      </c>
    </row>
    <row r="164" spans="1:18" x14ac:dyDescent="0.25">
      <c r="C164" s="48" t="s">
        <v>114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65">
        <f>LN('Dry mt. new'!B170)</f>
        <v>6.0406117903742276</v>
      </c>
      <c r="C170" s="65">
        <f>LN('Dry mt. new'!C170)</f>
        <v>6.1097807739260244</v>
      </c>
      <c r="D170" s="65">
        <f>LN('Dry mt. new'!D170)</f>
        <v>6.2920505051647861</v>
      </c>
      <c r="E170" s="31">
        <f>SUM(B170:D170)</f>
        <v>18.442443069465035</v>
      </c>
      <c r="F170" s="31">
        <f>E170/3</f>
        <v>6.1474810231550121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42">
        <f>SUM(F170:F178)/9</f>
        <v>6.4076289582628796</v>
      </c>
      <c r="Q170" s="49">
        <f>RANK(P170,P$170:P$171,0)</f>
        <v>1</v>
      </c>
      <c r="R170" s="75">
        <v>1</v>
      </c>
    </row>
    <row r="171" spans="1:18" x14ac:dyDescent="0.25">
      <c r="A171" s="32" t="s">
        <v>87</v>
      </c>
      <c r="B171" s="65">
        <f>LN('Dry mt. new'!B171)</f>
        <v>6.4639338839966207</v>
      </c>
      <c r="C171" s="65">
        <f>LN('Dry mt. new'!C171)</f>
        <v>6.4748007759313584</v>
      </c>
      <c r="D171" s="65">
        <f>LN('Dry mt. new'!D171)</f>
        <v>6.5433073463451867</v>
      </c>
      <c r="E171" s="31">
        <f t="shared" ref="E171:E187" si="43">SUM(B171:D171)</f>
        <v>19.482042006273165</v>
      </c>
      <c r="F171" s="31">
        <f t="shared" ref="F171:F184" si="44">E171/3</f>
        <v>6.4940140020910553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42">
        <f>SUM(F179:F187)/9</f>
        <v>6.3638938841974051</v>
      </c>
      <c r="Q171" s="49">
        <f>RANK(P171,P$170:P$171,0)</f>
        <v>2</v>
      </c>
      <c r="R171" s="75">
        <v>2</v>
      </c>
    </row>
    <row r="172" spans="1:18" x14ac:dyDescent="0.25">
      <c r="A172" s="32" t="s">
        <v>88</v>
      </c>
      <c r="B172" s="65">
        <f>LN('Dry mt. new'!B172)</f>
        <v>6.4144257028328973</v>
      </c>
      <c r="C172" s="65">
        <f>LN('Dry mt. new'!C172)</f>
        <v>6.5494933621821225</v>
      </c>
      <c r="D172" s="65">
        <f>LN('Dry mt. new'!D172)</f>
        <v>6.6095513790707736</v>
      </c>
      <c r="E172" s="31">
        <f t="shared" si="43"/>
        <v>19.573470444085793</v>
      </c>
      <c r="F172" s="31">
        <f t="shared" si="44"/>
        <v>6.5244901480285975</v>
      </c>
      <c r="G172" s="31" t="s">
        <v>13</v>
      </c>
      <c r="H172" s="31">
        <f>B168-1</f>
        <v>2</v>
      </c>
      <c r="I172" s="31">
        <f>D191</f>
        <v>0.12209674153200467</v>
      </c>
      <c r="J172" s="31">
        <f>I172/H172</f>
        <v>6.1048370766002336E-2</v>
      </c>
      <c r="K172" s="31">
        <f>J172/$J$16</f>
        <v>12.846556909129934</v>
      </c>
      <c r="L172" s="31">
        <f>FINV(0.05,H172,$H$16)</f>
        <v>3.275897990672394</v>
      </c>
      <c r="M172" s="31" t="str">
        <f>IF(K172&gt;=L172, "S", "NS")</f>
        <v>S</v>
      </c>
      <c r="N172" s="39"/>
      <c r="O172" s="30" t="s">
        <v>14</v>
      </c>
      <c r="P172" s="42">
        <f>SQRT(J177/(3*9))</f>
        <v>1.1678571864747456E-2</v>
      </c>
      <c r="R172" s="41"/>
    </row>
    <row r="173" spans="1:18" x14ac:dyDescent="0.25">
      <c r="A173" s="32" t="s">
        <v>89</v>
      </c>
      <c r="B173" s="65">
        <f>LN('Dry mt. new'!B173)</f>
        <v>6.2688121524357037</v>
      </c>
      <c r="C173" s="65">
        <f>LN('Dry mt. new'!C173)</f>
        <v>6.3030767464097996</v>
      </c>
      <c r="D173" s="65">
        <f>LN('Dry mt. new'!D173)</f>
        <v>6.3766929337147094</v>
      </c>
      <c r="E173" s="31">
        <f t="shared" si="43"/>
        <v>18.948581832560215</v>
      </c>
      <c r="F173" s="31">
        <f t="shared" si="44"/>
        <v>6.3161939441867387</v>
      </c>
      <c r="G173" s="31" t="s">
        <v>15</v>
      </c>
      <c r="H173" s="31">
        <f>D167-1</f>
        <v>17</v>
      </c>
      <c r="I173" s="31">
        <f>B192</f>
        <v>1.0583721993061772</v>
      </c>
      <c r="J173" s="31">
        <f t="shared" ref="J173:J177" si="45">I173/H173</f>
        <v>6.2257188194481013E-2</v>
      </c>
      <c r="K173" s="31">
        <f>J173/$J$16</f>
        <v>13.100931296076679</v>
      </c>
      <c r="L173" s="31">
        <f>FINV(0.05,H173,$H$16)</f>
        <v>1.9332068318040869</v>
      </c>
      <c r="M173" s="43" t="str">
        <f t="shared" ref="M173" si="46">IF(K173&gt;=L173, "S", "NS")</f>
        <v>S</v>
      </c>
      <c r="N173" s="30" t="s">
        <v>113</v>
      </c>
      <c r="O173" s="30" t="s">
        <v>16</v>
      </c>
      <c r="P173" s="42">
        <f>SQRT((2*J177)/(3*9))*L178</f>
        <v>3.3564539586198698E-2</v>
      </c>
      <c r="R173" s="41"/>
    </row>
    <row r="174" spans="1:18" x14ac:dyDescent="0.25">
      <c r="A174" s="32" t="s">
        <v>90</v>
      </c>
      <c r="B174" s="65">
        <f>LN('Dry mt. new'!B174)</f>
        <v>6.5490497032769799</v>
      </c>
      <c r="C174" s="65">
        <f>LN('Dry mt. new'!C174)</f>
        <v>6.4832908208641902</v>
      </c>
      <c r="D174" s="65">
        <f>LN('Dry mt. new'!D174)</f>
        <v>6.4778642727121456</v>
      </c>
      <c r="E174" s="31">
        <f t="shared" si="43"/>
        <v>19.510204796853316</v>
      </c>
      <c r="F174" s="31">
        <f t="shared" si="44"/>
        <v>6.5034015989511049</v>
      </c>
      <c r="G174" s="31" t="s">
        <v>108</v>
      </c>
      <c r="H174" s="31">
        <f>B166-1</f>
        <v>1</v>
      </c>
      <c r="I174" s="31">
        <f>(SUM(E170:E178)^2+SUM(E179:E187)^2)/27-B190</f>
        <v>2.5822215496646095E-2</v>
      </c>
      <c r="J174" s="31">
        <f t="shared" si="45"/>
        <v>2.5822215496646095E-2</v>
      </c>
      <c r="K174" s="31">
        <f>J174/$J$16</f>
        <v>5.4338315131944279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42">
        <f>(F170+F179)/2</f>
        <v>6.095076862622725</v>
      </c>
      <c r="Q174" s="49">
        <f>RANK(P174,P$174:P$182,0)</f>
        <v>9</v>
      </c>
      <c r="R174" s="52">
        <v>9</v>
      </c>
    </row>
    <row r="175" spans="1:18" x14ac:dyDescent="0.25">
      <c r="A175" s="32" t="s">
        <v>91</v>
      </c>
      <c r="B175" s="65">
        <f>LN('Dry mt. new'!B175)</f>
        <v>6.4388390582933557</v>
      </c>
      <c r="C175" s="65">
        <f>LN('Dry mt. new'!C175)</f>
        <v>6.5300755568819095</v>
      </c>
      <c r="D175" s="65">
        <f>LN('Dry mt. new'!D175)</f>
        <v>6.6574845915285019</v>
      </c>
      <c r="E175" s="31">
        <f t="shared" si="43"/>
        <v>19.626399206703766</v>
      </c>
      <c r="F175" s="31">
        <f t="shared" si="44"/>
        <v>6.5421330689012551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9830.3097488498988</v>
      </c>
      <c r="J175" s="31">
        <f t="shared" si="45"/>
        <v>1228.7887186062374</v>
      </c>
      <c r="K175" s="31">
        <f>J175/$J$16</f>
        <v>258576.99402623353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42">
        <f t="shared" ref="P175:P182" si="47">(F171+F180)/2</f>
        <v>6.471331099992323</v>
      </c>
      <c r="Q175" s="49">
        <f t="shared" ref="Q175:Q182" si="48">RANK(P175,P$174:P$182,0)</f>
        <v>5</v>
      </c>
      <c r="R175" s="53">
        <v>5</v>
      </c>
    </row>
    <row r="176" spans="1:18" x14ac:dyDescent="0.25">
      <c r="A176" s="32" t="s">
        <v>92</v>
      </c>
      <c r="B176" s="65">
        <f>LN('Dry mt. new'!B176)</f>
        <v>6.2354689890895214</v>
      </c>
      <c r="C176" s="65">
        <f>LN('Dry mt. new'!C176)</f>
        <v>6.3069137692062176</v>
      </c>
      <c r="D176" s="65">
        <f>LN('Dry mt. new'!D176)</f>
        <v>6.4807345079082559</v>
      </c>
      <c r="E176" s="31">
        <f t="shared" si="43"/>
        <v>19.023117266203997</v>
      </c>
      <c r="F176" s="31">
        <f t="shared" si="44"/>
        <v>6.3410390887346653</v>
      </c>
      <c r="G176" s="26" t="s">
        <v>110</v>
      </c>
      <c r="H176" s="31">
        <f>H174*H175</f>
        <v>8</v>
      </c>
      <c r="I176" s="31">
        <f>I173-(I174+I175)</f>
        <v>-9829.2771988660897</v>
      </c>
      <c r="J176" s="31">
        <f t="shared" si="45"/>
        <v>-1228.6596498582612</v>
      </c>
      <c r="K176" s="44">
        <f>J176/$J$16</f>
        <v>-258549.83377616853</v>
      </c>
      <c r="L176" s="31">
        <f>FINV(0.05,H176,$H$16)</f>
        <v>2.2253399674380931</v>
      </c>
      <c r="M176" s="31" t="str">
        <f t="shared" ref="M176" si="49">IF(K176&gt;=L176, "S", "NS")</f>
        <v>NS</v>
      </c>
      <c r="N176" s="39"/>
      <c r="O176" s="33">
        <v>3</v>
      </c>
      <c r="P176" s="42">
        <f t="shared" si="47"/>
        <v>6.4996377339118947</v>
      </c>
      <c r="Q176" s="49">
        <f t="shared" si="48"/>
        <v>2</v>
      </c>
      <c r="R176" s="53">
        <v>2</v>
      </c>
    </row>
    <row r="177" spans="1:18" x14ac:dyDescent="0.25">
      <c r="A177" s="32" t="s">
        <v>93</v>
      </c>
      <c r="B177" s="65">
        <f>LN('Dry mt. new'!B177)</f>
        <v>6.4899493350391735</v>
      </c>
      <c r="C177" s="65">
        <f>LN('Dry mt. new'!C177)</f>
        <v>6.4911634984022228</v>
      </c>
      <c r="D177" s="65">
        <f>LN('Dry mt. new'!D177)</f>
        <v>6.4926185511772418</v>
      </c>
      <c r="E177" s="31">
        <f t="shared" si="43"/>
        <v>19.473731384618638</v>
      </c>
      <c r="F177" s="31">
        <f t="shared" si="44"/>
        <v>6.4912437948728794</v>
      </c>
      <c r="G177" s="45" t="s">
        <v>23</v>
      </c>
      <c r="H177" s="31">
        <f>((B168-1)*(B166*B167-1))</f>
        <v>34</v>
      </c>
      <c r="I177" s="31">
        <f>D192</f>
        <v>0.1252051394544651</v>
      </c>
      <c r="J177" s="31">
        <f t="shared" si="45"/>
        <v>3.6825041016019145E-3</v>
      </c>
      <c r="O177" s="33">
        <v>4</v>
      </c>
      <c r="P177" s="42">
        <f t="shared" si="47"/>
        <v>6.2935353469200868</v>
      </c>
      <c r="Q177" s="49">
        <f t="shared" si="48"/>
        <v>7</v>
      </c>
      <c r="R177" s="53">
        <v>7</v>
      </c>
    </row>
    <row r="178" spans="1:18" x14ac:dyDescent="0.25">
      <c r="A178" s="32" t="s">
        <v>94</v>
      </c>
      <c r="B178" s="65">
        <f>LN('Dry mt. new'!B178)</f>
        <v>6.2282940175267552</v>
      </c>
      <c r="C178" s="65">
        <f>LN('Dry mt. new'!C178)</f>
        <v>6.298121698650009</v>
      </c>
      <c r="D178" s="65">
        <f>LN('Dry mt. new'!D178)</f>
        <v>6.3995761501570518</v>
      </c>
      <c r="E178" s="31">
        <f t="shared" si="43"/>
        <v>18.925991866333817</v>
      </c>
      <c r="F178" s="31">
        <f t="shared" si="44"/>
        <v>6.3086639554446053</v>
      </c>
      <c r="G178" s="44" t="s">
        <v>4</v>
      </c>
      <c r="H178" s="31">
        <f>SUM(H172:H177)-H173</f>
        <v>53</v>
      </c>
      <c r="I178" s="31">
        <f>B191</f>
        <v>1.305674080292647</v>
      </c>
      <c r="K178" s="31" t="s">
        <v>111</v>
      </c>
      <c r="L178" s="41">
        <f>TINV(0.05,34)</f>
        <v>2.0322445093177191</v>
      </c>
      <c r="O178" s="33">
        <v>5</v>
      </c>
      <c r="P178" s="42">
        <f t="shared" si="47"/>
        <v>6.4991345702358974</v>
      </c>
      <c r="Q178" s="49">
        <f t="shared" si="48"/>
        <v>3</v>
      </c>
      <c r="R178" s="52">
        <v>3</v>
      </c>
    </row>
    <row r="179" spans="1:18" x14ac:dyDescent="0.25">
      <c r="A179" s="32" t="s">
        <v>95</v>
      </c>
      <c r="B179" s="65">
        <f>LN('Dry mt. new'!B179)</f>
        <v>5.9921143359494788</v>
      </c>
      <c r="C179" s="65">
        <f>LN('Dry mt. new'!C179)</f>
        <v>6.0041339502086446</v>
      </c>
      <c r="D179" s="65">
        <f>LN('Dry mt. new'!D179)</f>
        <v>6.1317698201131874</v>
      </c>
      <c r="E179" s="31">
        <f t="shared" si="43"/>
        <v>18.128018106271313</v>
      </c>
      <c r="F179" s="31">
        <f t="shared" si="44"/>
        <v>6.0426727020904378</v>
      </c>
      <c r="G179" s="34" t="s">
        <v>14</v>
      </c>
      <c r="H179" s="31">
        <f>SQRT(J177/3)</f>
        <v>3.5035715594242373E-2</v>
      </c>
      <c r="O179" s="33">
        <v>6</v>
      </c>
      <c r="P179" s="42">
        <f t="shared" si="47"/>
        <v>6.5304429284990748</v>
      </c>
      <c r="Q179" s="49">
        <f t="shared" si="48"/>
        <v>1</v>
      </c>
      <c r="R179" s="53">
        <v>1</v>
      </c>
    </row>
    <row r="180" spans="1:18" x14ac:dyDescent="0.25">
      <c r="A180" s="32" t="s">
        <v>96</v>
      </c>
      <c r="B180" s="65">
        <f>LN('Dry mt. new'!B180)</f>
        <v>6.406120621917732</v>
      </c>
      <c r="C180" s="65">
        <f>LN('Dry mt. new'!C180)</f>
        <v>6.5447460299103648</v>
      </c>
      <c r="D180" s="65">
        <f>LN('Dry mt. new'!D180)</f>
        <v>6.395077941852672</v>
      </c>
      <c r="E180" s="31">
        <f t="shared" si="43"/>
        <v>19.34594459368077</v>
      </c>
      <c r="F180" s="31">
        <f t="shared" si="44"/>
        <v>6.4486481978935899</v>
      </c>
      <c r="G180" s="34" t="s">
        <v>16</v>
      </c>
      <c r="H180" s="31">
        <f>(SQRT((2*J177)/3))*L178</f>
        <v>0.1006936187585961</v>
      </c>
      <c r="O180" s="33">
        <v>7</v>
      </c>
      <c r="P180" s="42">
        <f t="shared" si="47"/>
        <v>6.3154669884783505</v>
      </c>
      <c r="Q180" s="49">
        <f t="shared" si="48"/>
        <v>6</v>
      </c>
      <c r="R180" s="53">
        <v>6</v>
      </c>
    </row>
    <row r="181" spans="1:18" x14ac:dyDescent="0.25">
      <c r="A181" s="32" t="s">
        <v>97</v>
      </c>
      <c r="B181" s="65">
        <f>LN('Dry mt. new'!B181)</f>
        <v>6.4005065837064885</v>
      </c>
      <c r="C181" s="65">
        <f>LN('Dry mt. new'!C181)</f>
        <v>6.4747853577517827</v>
      </c>
      <c r="D181" s="65">
        <f>LN('Dry mt. new'!D181)</f>
        <v>6.549064017927309</v>
      </c>
      <c r="E181" s="31">
        <f t="shared" si="43"/>
        <v>19.424355959385579</v>
      </c>
      <c r="F181" s="31">
        <f t="shared" si="44"/>
        <v>6.4747853197951928</v>
      </c>
      <c r="G181" s="34" t="s">
        <v>29</v>
      </c>
      <c r="H181" s="31">
        <f>((SQRT(J177))/F188)*100</f>
        <v>0.9502960647263119</v>
      </c>
      <c r="O181" s="33">
        <v>8</v>
      </c>
      <c r="P181" s="42">
        <f t="shared" si="47"/>
        <v>6.4799957988118173</v>
      </c>
      <c r="Q181" s="49">
        <f t="shared" si="48"/>
        <v>4</v>
      </c>
      <c r="R181" s="52">
        <v>4</v>
      </c>
    </row>
    <row r="182" spans="1:18" x14ac:dyDescent="0.25">
      <c r="A182" s="32" t="s">
        <v>98</v>
      </c>
      <c r="B182" s="65">
        <f>LN('Dry mt. new'!B182)</f>
        <v>6.2349008016899541</v>
      </c>
      <c r="C182" s="65">
        <f>LN('Dry mt. new'!C182)</f>
        <v>6.28327558364344</v>
      </c>
      <c r="D182" s="65">
        <f>LN('Dry mt. new'!D182)</f>
        <v>6.2944538636269103</v>
      </c>
      <c r="E182" s="31">
        <f t="shared" si="43"/>
        <v>18.812630248960303</v>
      </c>
      <c r="F182" s="31">
        <f t="shared" si="44"/>
        <v>6.2708767496534348</v>
      </c>
      <c r="O182" s="33">
        <v>9</v>
      </c>
      <c r="P182" s="42">
        <f t="shared" si="47"/>
        <v>6.2872314615991067</v>
      </c>
      <c r="Q182" s="49">
        <f t="shared" si="48"/>
        <v>8</v>
      </c>
      <c r="R182" s="53">
        <v>8</v>
      </c>
    </row>
    <row r="183" spans="1:18" x14ac:dyDescent="0.25">
      <c r="A183" s="32" t="s">
        <v>99</v>
      </c>
      <c r="B183" s="65">
        <f>LN('Dry mt. new'!B183)</f>
        <v>6.5451341198658621</v>
      </c>
      <c r="C183" s="65">
        <f>LN('Dry mt. new'!C183)</f>
        <v>6.4746465834371438</v>
      </c>
      <c r="D183" s="65">
        <f>LN('Dry mt. new'!D183)</f>
        <v>6.4648219212590652</v>
      </c>
      <c r="E183" s="31">
        <f t="shared" si="43"/>
        <v>19.484602624562072</v>
      </c>
      <c r="F183" s="31">
        <f t="shared" si="44"/>
        <v>6.4948675415206907</v>
      </c>
      <c r="O183" s="30" t="s">
        <v>14</v>
      </c>
      <c r="P183" s="42">
        <f>SQRT(J177/(3*2))</f>
        <v>2.4773992080412054E-2</v>
      </c>
      <c r="Q183" s="49"/>
    </row>
    <row r="184" spans="1:18" x14ac:dyDescent="0.25">
      <c r="A184" s="32" t="s">
        <v>100</v>
      </c>
      <c r="B184" s="65">
        <f>LN('Dry mt. new'!B184)</f>
        <v>6.4224024511891775</v>
      </c>
      <c r="C184" s="65">
        <f>LN('Dry mt. new'!C184)</f>
        <v>6.4798451555434537</v>
      </c>
      <c r="D184" s="65">
        <f>LN('Dry mt. new'!D184)</f>
        <v>6.6540107575580532</v>
      </c>
      <c r="E184" s="31">
        <f t="shared" si="43"/>
        <v>19.556258364290684</v>
      </c>
      <c r="F184" s="31">
        <f t="shared" si="44"/>
        <v>6.5187527880968945</v>
      </c>
      <c r="N184" s="30" t="s">
        <v>109</v>
      </c>
      <c r="O184" s="30" t="s">
        <v>16</v>
      </c>
      <c r="P184" s="42">
        <f>SQRT((2*J177)/(3*2))*L178</f>
        <v>7.120114064641625E-2</v>
      </c>
      <c r="Q184" s="49"/>
    </row>
    <row r="185" spans="1:18" x14ac:dyDescent="0.25">
      <c r="A185" s="32" t="s">
        <v>101</v>
      </c>
      <c r="B185" s="65">
        <f>LN('Dry mt. new'!B185)</f>
        <v>6.2148480696267994</v>
      </c>
      <c r="C185" s="65">
        <f>LN('Dry mt. new'!C185)</f>
        <v>6.2248752107779692</v>
      </c>
      <c r="D185" s="65">
        <f>LN('Dry mt. new'!D185)</f>
        <v>6.4299613842613388</v>
      </c>
      <c r="E185" s="31">
        <f t="shared" si="43"/>
        <v>18.869684664666106</v>
      </c>
      <c r="F185" s="31">
        <f>E185/3</f>
        <v>6.2898948882220358</v>
      </c>
      <c r="Q185" s="49"/>
    </row>
    <row r="186" spans="1:18" x14ac:dyDescent="0.25">
      <c r="A186" s="32" t="s">
        <v>102</v>
      </c>
      <c r="B186" s="65">
        <f>LN('Dry mt. new'!B186)</f>
        <v>6.4138687092730695</v>
      </c>
      <c r="C186" s="65">
        <f>LN('Dry mt. new'!C186)</f>
        <v>6.4768031177993093</v>
      </c>
      <c r="D186" s="65">
        <f>LN('Dry mt. new'!D186)</f>
        <v>6.5155715811798869</v>
      </c>
      <c r="E186" s="31">
        <f t="shared" si="43"/>
        <v>19.406243408252266</v>
      </c>
      <c r="F186" s="31">
        <f t="shared" ref="F186:F187" si="50">E186/3</f>
        <v>6.4687478027507552</v>
      </c>
    </row>
    <row r="187" spans="1:18" x14ac:dyDescent="0.25">
      <c r="A187" s="32" t="s">
        <v>103</v>
      </c>
      <c r="B187" s="65">
        <f>LN('Dry mt. new'!B187)</f>
        <v>6.2195558381461256</v>
      </c>
      <c r="C187" s="65">
        <f>LN('Dry mt. new'!C187)</f>
        <v>6.2833502718203365</v>
      </c>
      <c r="D187" s="65">
        <f>LN('Dry mt. new'!D187)</f>
        <v>6.2944907932943623</v>
      </c>
      <c r="E187" s="31">
        <f t="shared" si="43"/>
        <v>18.797396903260825</v>
      </c>
      <c r="F187" s="31">
        <f t="shared" si="50"/>
        <v>6.2657989677536081</v>
      </c>
    </row>
    <row r="188" spans="1:18" x14ac:dyDescent="0.25">
      <c r="A188" s="30" t="s">
        <v>4</v>
      </c>
      <c r="B188" s="31">
        <f>SUM(B170:B187)</f>
        <v>113.97883616422992</v>
      </c>
      <c r="C188" s="31">
        <f t="shared" ref="C188:D188" si="51">SUM(C170:C187)</f>
        <v>114.79317826334632</v>
      </c>
      <c r="D188" s="31">
        <f t="shared" si="51"/>
        <v>116.05910231885143</v>
      </c>
      <c r="E188" s="31">
        <f>SUM(E170:E187)</f>
        <v>344.83111674642771</v>
      </c>
      <c r="F188" s="31">
        <f>AVERAGE(B170:D187)</f>
        <v>6.3857614212301383</v>
      </c>
    </row>
    <row r="189" spans="1:18" x14ac:dyDescent="0.25">
      <c r="A189" s="30" t="s">
        <v>5</v>
      </c>
      <c r="B189" s="31">
        <f>B188/18</f>
        <v>6.3321575646794397</v>
      </c>
      <c r="C189" s="31">
        <f>C188/18</f>
        <v>6.3773987924081288</v>
      </c>
      <c r="D189" s="31">
        <f>D188/18</f>
        <v>6.4477279066028572</v>
      </c>
    </row>
    <row r="190" spans="1:18" x14ac:dyDescent="0.25">
      <c r="A190" s="30" t="s">
        <v>26</v>
      </c>
      <c r="B190" s="31">
        <f>(E188*E188)/54</f>
        <v>2202.0092421590457</v>
      </c>
      <c r="C190" s="31"/>
      <c r="D190" s="31"/>
    </row>
    <row r="191" spans="1:18" x14ac:dyDescent="0.25">
      <c r="A191" s="30" t="s">
        <v>27</v>
      </c>
      <c r="B191" s="31">
        <f>SUMSQ(B170:D187)-B190</f>
        <v>1.305674080292647</v>
      </c>
      <c r="C191" s="30" t="s">
        <v>28</v>
      </c>
      <c r="D191" s="31">
        <f>(SUMSQ(B188:D188)/18)-B190</f>
        <v>0.12209674153200467</v>
      </c>
    </row>
    <row r="192" spans="1:18" x14ac:dyDescent="0.25">
      <c r="A192" s="30" t="s">
        <v>30</v>
      </c>
      <c r="B192" s="31">
        <f>(SUMSQ(E170:E187)/3)-B190</f>
        <v>1.0583721993061772</v>
      </c>
      <c r="C192" s="30" t="s">
        <v>31</v>
      </c>
      <c r="D192" s="31">
        <f>B191-B192-D191</f>
        <v>0.1252051394544651</v>
      </c>
    </row>
    <row r="196" spans="1:18" x14ac:dyDescent="0.25">
      <c r="C196" s="48" t="s">
        <v>115</v>
      </c>
    </row>
    <row r="198" spans="1:18" x14ac:dyDescent="0.25">
      <c r="A198" s="36" t="s">
        <v>104</v>
      </c>
      <c r="B198" s="38">
        <v>2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x14ac:dyDescent="0.25">
      <c r="A199" s="36" t="s">
        <v>105</v>
      </c>
      <c r="B199" s="38">
        <v>9</v>
      </c>
      <c r="C199" s="39" t="s">
        <v>107</v>
      </c>
      <c r="D199" s="39">
        <v>18</v>
      </c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x14ac:dyDescent="0.25">
      <c r="A200" s="37" t="s">
        <v>106</v>
      </c>
      <c r="B200" s="40">
        <v>3</v>
      </c>
    </row>
    <row r="201" spans="1:18" x14ac:dyDescent="0.25">
      <c r="A201" s="46" t="s">
        <v>0</v>
      </c>
      <c r="B201" s="30" t="s">
        <v>1</v>
      </c>
      <c r="C201" s="30" t="s">
        <v>2</v>
      </c>
      <c r="D201" s="30" t="s">
        <v>3</v>
      </c>
      <c r="E201" s="30" t="s">
        <v>4</v>
      </c>
      <c r="F201" s="30" t="s">
        <v>5</v>
      </c>
      <c r="O201" s="41" t="s">
        <v>7</v>
      </c>
      <c r="R201" s="41"/>
    </row>
    <row r="202" spans="1:18" x14ac:dyDescent="0.25">
      <c r="A202" s="32" t="s">
        <v>86</v>
      </c>
      <c r="B202" s="65">
        <f>LN('Dry mt. new'!B202)</f>
        <v>6.3276688907062058</v>
      </c>
      <c r="C202" s="65">
        <f>LN('Dry mt. new'!C202)</f>
        <v>6.4138687092730695</v>
      </c>
      <c r="D202" s="65">
        <f>LN('Dry mt. new'!D202)</f>
        <v>6.6840990962949149</v>
      </c>
      <c r="E202" s="31">
        <f>SUM(B202:D202)</f>
        <v>19.425636696274189</v>
      </c>
      <c r="F202" s="31">
        <f>E202/3</f>
        <v>6.4752122320913967</v>
      </c>
      <c r="H202" s="47"/>
      <c r="I202" s="47"/>
      <c r="J202" s="47" t="s">
        <v>6</v>
      </c>
      <c r="K202" s="47"/>
      <c r="L202" s="47"/>
      <c r="M202" s="47"/>
      <c r="N202" s="47"/>
      <c r="O202" s="33">
        <v>1</v>
      </c>
      <c r="P202" s="42">
        <f>SUM(F202:F210)/9</f>
        <v>6.7659329592373565</v>
      </c>
      <c r="Q202" s="49">
        <f>RANK(P202,P$202:P$203,0)</f>
        <v>1</v>
      </c>
      <c r="R202" s="41"/>
    </row>
    <row r="203" spans="1:18" x14ac:dyDescent="0.25">
      <c r="A203" s="32" t="s">
        <v>87</v>
      </c>
      <c r="B203" s="65">
        <f>LN('Dry mt. new'!B203)</f>
        <v>6.8657450788250722</v>
      </c>
      <c r="C203" s="65">
        <f>LN('Dry mt. new'!C203)</f>
        <v>6.7975832063270882</v>
      </c>
      <c r="D203" s="65">
        <f>LN('Dry mt. new'!D203)</f>
        <v>6.735281077442516</v>
      </c>
      <c r="E203" s="31">
        <f t="shared" ref="E203:E219" si="52">SUM(B203:D203)</f>
        <v>20.398609362594676</v>
      </c>
      <c r="F203" s="31">
        <f t="shared" ref="F203:F216" si="53">E203/3</f>
        <v>6.7995364541982255</v>
      </c>
      <c r="G203" s="31"/>
      <c r="H203" s="30" t="s">
        <v>8</v>
      </c>
      <c r="I203" s="30" t="s">
        <v>9</v>
      </c>
      <c r="J203" s="30" t="s">
        <v>10</v>
      </c>
      <c r="K203" s="30" t="s">
        <v>11</v>
      </c>
      <c r="L203" s="30" t="s">
        <v>12</v>
      </c>
      <c r="M203" s="30" t="s">
        <v>112</v>
      </c>
      <c r="N203" s="50"/>
      <c r="O203" s="33">
        <v>2</v>
      </c>
      <c r="P203" s="42">
        <f>SUM(F211:F219)/9</f>
        <v>6.7139516571034612</v>
      </c>
      <c r="Q203" s="49">
        <f>RANK(P203,P$202:P$203,0)</f>
        <v>2</v>
      </c>
      <c r="R203" s="41"/>
    </row>
    <row r="204" spans="1:18" x14ac:dyDescent="0.25">
      <c r="A204" s="32" t="s">
        <v>88</v>
      </c>
      <c r="B204" s="65">
        <f>LN('Dry mt. new'!B204)</f>
        <v>6.8830321659266307</v>
      </c>
      <c r="C204" s="65">
        <f>LN('Dry mt. new'!C204)</f>
        <v>6.8567251078693578</v>
      </c>
      <c r="D204" s="65">
        <f>LN('Dry mt. new'!D204)</f>
        <v>6.8194485178901383</v>
      </c>
      <c r="E204" s="31">
        <f t="shared" si="52"/>
        <v>20.559205791686125</v>
      </c>
      <c r="F204" s="31">
        <f t="shared" si="53"/>
        <v>6.8530685972287086</v>
      </c>
      <c r="G204" s="31" t="s">
        <v>13</v>
      </c>
      <c r="H204" s="31">
        <f>B200-1</f>
        <v>2</v>
      </c>
      <c r="I204" s="31">
        <f>D223</f>
        <v>0.15741944151204734</v>
      </c>
      <c r="J204" s="31">
        <f>I204/H204</f>
        <v>7.8709720756023671E-2</v>
      </c>
      <c r="K204" s="31">
        <f>J204/$J$16</f>
        <v>16.563077676056338</v>
      </c>
      <c r="L204" s="31">
        <f>FINV(0.05,H204,$H$16)</f>
        <v>3.275897990672394</v>
      </c>
      <c r="M204" s="31" t="str">
        <f>IF(K204&gt;=L204, "S", "NS")</f>
        <v>S</v>
      </c>
      <c r="N204" s="39"/>
      <c r="O204" s="30" t="s">
        <v>14</v>
      </c>
      <c r="P204" s="42">
        <f>SQRT(J209/(3*9))</f>
        <v>1.749501245752751E-2</v>
      </c>
      <c r="R204" s="41"/>
    </row>
    <row r="205" spans="1:18" x14ac:dyDescent="0.25">
      <c r="A205" s="32" t="s">
        <v>89</v>
      </c>
      <c r="B205" s="65">
        <f>LN('Dry mt. new'!B205)</f>
        <v>6.6047429631987278</v>
      </c>
      <c r="C205" s="65">
        <f>LN('Dry mt. new'!C205)</f>
        <v>6.7159165774963396</v>
      </c>
      <c r="D205" s="65">
        <f>LN('Dry mt. new'!D205)</f>
        <v>6.8774506987172819</v>
      </c>
      <c r="E205" s="31">
        <f t="shared" si="52"/>
        <v>20.198110239412351</v>
      </c>
      <c r="F205" s="31">
        <f t="shared" si="53"/>
        <v>6.7327034131374504</v>
      </c>
      <c r="G205" s="31" t="s">
        <v>15</v>
      </c>
      <c r="H205" s="31">
        <f>D199-1</f>
        <v>17</v>
      </c>
      <c r="I205" s="31">
        <f>B224</f>
        <v>0.85848990438353212</v>
      </c>
      <c r="J205" s="31">
        <f t="shared" ref="J205:J209" si="54">I205/H205</f>
        <v>5.0499406140207773E-2</v>
      </c>
      <c r="K205" s="31">
        <f>J205/$J$16</f>
        <v>10.626712665995145</v>
      </c>
      <c r="L205" s="31">
        <f>FINV(0.05,H205,$H$16)</f>
        <v>1.9332068318040869</v>
      </c>
      <c r="M205" s="43" t="str">
        <f t="shared" ref="M205" si="55">IF(K205&gt;=L205, "S", "NS")</f>
        <v>S</v>
      </c>
      <c r="N205" s="30" t="s">
        <v>113</v>
      </c>
      <c r="O205" s="30" t="s">
        <v>16</v>
      </c>
      <c r="P205" s="42">
        <f>SQRT((2*J209)/(3*9))*L210</f>
        <v>5.028115123941309E-2</v>
      </c>
      <c r="R205" s="41"/>
    </row>
    <row r="206" spans="1:18" x14ac:dyDescent="0.25">
      <c r="A206" s="32" t="s">
        <v>90</v>
      </c>
      <c r="B206" s="65">
        <f>LN('Dry mt. new'!B206)</f>
        <v>6.7975832063270882</v>
      </c>
      <c r="C206" s="65">
        <f>LN('Dry mt. new'!C206)</f>
        <v>6.8460394370014832</v>
      </c>
      <c r="D206" s="65">
        <f>LN('Dry mt. new'!D206)</f>
        <v>6.8935245000684233</v>
      </c>
      <c r="E206" s="31">
        <f t="shared" si="52"/>
        <v>20.537147143396993</v>
      </c>
      <c r="F206" s="31">
        <f t="shared" si="53"/>
        <v>6.8457157144656646</v>
      </c>
      <c r="G206" s="31" t="s">
        <v>108</v>
      </c>
      <c r="H206" s="31">
        <f>B198-1</f>
        <v>1</v>
      </c>
      <c r="I206" s="31">
        <f>(SUM(E202:E210)^2+SUM(E211:E219)^2)/27-B222</f>
        <v>3.6477752916198369E-2</v>
      </c>
      <c r="J206" s="31">
        <f t="shared" si="54"/>
        <v>3.6477752916198369E-2</v>
      </c>
      <c r="K206" s="31">
        <f>J206/$J$16</f>
        <v>7.6761021281192372</v>
      </c>
      <c r="L206" s="31">
        <f>FINV(0.05,H206,$H$16)</f>
        <v>4.1300177456520188</v>
      </c>
      <c r="M206" s="31" t="str">
        <f>IF(K206&gt;=L206, "S", "NS")</f>
        <v>S</v>
      </c>
      <c r="N206" s="39"/>
      <c r="O206" s="33">
        <v>1</v>
      </c>
      <c r="P206" s="42">
        <f>(F202+F211)/2</f>
        <v>6.4241112419946287</v>
      </c>
      <c r="Q206" s="49">
        <f>RANK(P206,P$206:P$214,0)</f>
        <v>9</v>
      </c>
      <c r="R206" s="52">
        <v>9</v>
      </c>
    </row>
    <row r="207" spans="1:18" x14ac:dyDescent="0.25">
      <c r="A207" s="32" t="s">
        <v>91</v>
      </c>
      <c r="B207" s="65">
        <f>LN('Dry mt. new'!B207)</f>
        <v>6.8141915732038214</v>
      </c>
      <c r="C207" s="65">
        <f>LN('Dry mt. new'!C207)</f>
        <v>6.9023004282991733</v>
      </c>
      <c r="D207" s="65">
        <f>LN('Dry mt. new'!D207)</f>
        <v>6.9063342698266901</v>
      </c>
      <c r="E207" s="31">
        <f t="shared" si="52"/>
        <v>20.622826271329686</v>
      </c>
      <c r="F207" s="31">
        <f t="shared" si="53"/>
        <v>6.8742754237765622</v>
      </c>
      <c r="G207" s="31" t="s">
        <v>109</v>
      </c>
      <c r="H207" s="31">
        <f>B199-1</f>
        <v>8</v>
      </c>
      <c r="I207" s="31">
        <f>((E202+E211)^2+(E203+E212)^2+(E204+E213)^2+(E205+E214)^2+(E206+E215)^2+(E207+E216)^2+(E208+E217)^2+(E209+E218)^2+(E210+E219)^2/6)-B222</f>
        <v>10920.795698028729</v>
      </c>
      <c r="J207" s="31">
        <f t="shared" si="54"/>
        <v>1365.0994622535911</v>
      </c>
      <c r="K207" s="31">
        <f>J207/$J$16</f>
        <v>287261.19482667075</v>
      </c>
      <c r="L207" s="31">
        <f>FINV(0.05,H207,$H$16)</f>
        <v>2.2253399674380931</v>
      </c>
      <c r="M207" s="31" t="str">
        <f>IF(K207&gt;=L207, "S", "NS")</f>
        <v>S</v>
      </c>
      <c r="N207" s="39"/>
      <c r="O207" s="33">
        <v>2</v>
      </c>
      <c r="P207" s="42">
        <f t="shared" ref="P207:P214" si="56">(F203+F212)/2</f>
        <v>6.7648675124123017</v>
      </c>
      <c r="Q207" s="49">
        <f t="shared" ref="Q207:Q214" si="57">RANK(P207,P$206:P$214,0)</f>
        <v>5</v>
      </c>
      <c r="R207" s="53">
        <v>5</v>
      </c>
    </row>
    <row r="208" spans="1:18" x14ac:dyDescent="0.25">
      <c r="A208" s="32" t="s">
        <v>92</v>
      </c>
      <c r="B208" s="65">
        <f>LN('Dry mt. new'!B208)</f>
        <v>6.6575616509413473</v>
      </c>
      <c r="C208" s="65">
        <f>LN('Dry mt. new'!C208)</f>
        <v>6.7466941099644711</v>
      </c>
      <c r="D208" s="65">
        <f>LN('Dry mt. new'!D208)</f>
        <v>6.8758414057366064</v>
      </c>
      <c r="E208" s="31">
        <f t="shared" si="52"/>
        <v>20.280097166642427</v>
      </c>
      <c r="F208" s="31">
        <f t="shared" si="53"/>
        <v>6.7600323888808092</v>
      </c>
      <c r="G208" s="26" t="s">
        <v>110</v>
      </c>
      <c r="H208" s="31">
        <f>H206*H207</f>
        <v>8</v>
      </c>
      <c r="I208" s="31">
        <f>I205-(I206+I207)</f>
        <v>-10919.973685877261</v>
      </c>
      <c r="J208" s="31">
        <f t="shared" si="54"/>
        <v>-1364.9967107346577</v>
      </c>
      <c r="K208" s="44">
        <f>J208/$J$16</f>
        <v>-287239.57257502154</v>
      </c>
      <c r="L208" s="31">
        <f>FINV(0.05,H208,$H$16)</f>
        <v>2.2253399674380931</v>
      </c>
      <c r="M208" s="31" t="str">
        <f t="shared" ref="M208" si="58">IF(K208&gt;=L208, "S", "NS")</f>
        <v>NS</v>
      </c>
      <c r="N208" s="39"/>
      <c r="O208" s="33">
        <v>3</v>
      </c>
      <c r="P208" s="42">
        <f t="shared" si="56"/>
        <v>6.8330860146755983</v>
      </c>
      <c r="Q208" s="49">
        <f t="shared" si="57"/>
        <v>2</v>
      </c>
      <c r="R208" s="53">
        <v>2</v>
      </c>
    </row>
    <row r="209" spans="1:18" x14ac:dyDescent="0.25">
      <c r="A209" s="32" t="s">
        <v>93</v>
      </c>
      <c r="B209" s="65">
        <f>LN('Dry mt. new'!B209)</f>
        <v>6.8472087791141032</v>
      </c>
      <c r="C209" s="65">
        <f>LN('Dry mt. new'!C209)</f>
        <v>6.7873713639694415</v>
      </c>
      <c r="D209" s="65">
        <f>LN('Dry mt. new'!D209)</f>
        <v>6.8548923322820645</v>
      </c>
      <c r="E209" s="31">
        <f t="shared" si="52"/>
        <v>20.489472475365609</v>
      </c>
      <c r="F209" s="31">
        <f t="shared" si="53"/>
        <v>6.8298241584552031</v>
      </c>
      <c r="G209" s="45" t="s">
        <v>23</v>
      </c>
      <c r="H209" s="31">
        <f>((B200-1)*(B198*B199-1))</f>
        <v>34</v>
      </c>
      <c r="I209" s="31">
        <f>D224</f>
        <v>0.28097727309614129</v>
      </c>
      <c r="J209" s="31">
        <f t="shared" si="54"/>
        <v>8.2640374440041547E-3</v>
      </c>
      <c r="O209" s="33">
        <v>4</v>
      </c>
      <c r="P209" s="42">
        <f t="shared" si="56"/>
        <v>6.7099184389372102</v>
      </c>
      <c r="Q209" s="49">
        <f t="shared" si="57"/>
        <v>7</v>
      </c>
      <c r="R209" s="53">
        <v>7</v>
      </c>
    </row>
    <row r="210" spans="1:18" x14ac:dyDescent="0.25">
      <c r="A210" s="32" t="s">
        <v>94</v>
      </c>
      <c r="B210" s="65">
        <f>LN('Dry mt. new'!B210)</f>
        <v>6.6613175118648451</v>
      </c>
      <c r="C210" s="65">
        <f>LN('Dry mt. new'!C210)</f>
        <v>6.8249821805152031</v>
      </c>
      <c r="D210" s="65">
        <f>LN('Dry mt. new'!D210)</f>
        <v>6.6827850603265198</v>
      </c>
      <c r="E210" s="31">
        <f t="shared" si="52"/>
        <v>20.169084752706567</v>
      </c>
      <c r="F210" s="31">
        <f t="shared" si="53"/>
        <v>6.723028250902189</v>
      </c>
      <c r="G210" s="44" t="s">
        <v>4</v>
      </c>
      <c r="H210" s="31">
        <f>SUM(H204:H209)-H205</f>
        <v>53</v>
      </c>
      <c r="I210" s="31">
        <f>B223</f>
        <v>1.2968866189917208</v>
      </c>
      <c r="K210" s="31" t="s">
        <v>111</v>
      </c>
      <c r="L210" s="41">
        <f>TINV(0.05,34)</f>
        <v>2.0322445093177191</v>
      </c>
      <c r="O210" s="33">
        <v>5</v>
      </c>
      <c r="P210" s="42">
        <f t="shared" si="56"/>
        <v>6.824828029848252</v>
      </c>
      <c r="Q210" s="49">
        <f t="shared" si="57"/>
        <v>3</v>
      </c>
      <c r="R210" s="52">
        <v>3</v>
      </c>
    </row>
    <row r="211" spans="1:18" x14ac:dyDescent="0.25">
      <c r="A211" s="32" t="s">
        <v>95</v>
      </c>
      <c r="B211" s="65">
        <f>LN('Dry mt. new'!B211)</f>
        <v>6.2375235229929329</v>
      </c>
      <c r="C211" s="65">
        <f>LN('Dry mt. new'!C211)</f>
        <v>6.2262599511626391</v>
      </c>
      <c r="D211" s="65">
        <f>LN('Dry mt. new'!D211)</f>
        <v>6.6552472815380099</v>
      </c>
      <c r="E211" s="31">
        <f t="shared" si="52"/>
        <v>19.119030755693583</v>
      </c>
      <c r="F211" s="31">
        <f t="shared" si="53"/>
        <v>6.3730102518978606</v>
      </c>
      <c r="G211" s="34" t="s">
        <v>14</v>
      </c>
      <c r="H211" s="31">
        <f>SQRT(J209/3)</f>
        <v>5.2485037372582533E-2</v>
      </c>
      <c r="O211" s="33">
        <v>6</v>
      </c>
      <c r="P211" s="42">
        <f t="shared" si="56"/>
        <v>6.8507604275080567</v>
      </c>
      <c r="Q211" s="49">
        <f t="shared" si="57"/>
        <v>1</v>
      </c>
      <c r="R211" s="53">
        <v>1</v>
      </c>
    </row>
    <row r="212" spans="1:18" x14ac:dyDescent="0.25">
      <c r="A212" s="32" t="s">
        <v>96</v>
      </c>
      <c r="B212" s="65">
        <f>LN('Dry mt. new'!B212)</f>
        <v>6.6625450393186796</v>
      </c>
      <c r="C212" s="65">
        <f>LN('Dry mt. new'!C212)</f>
        <v>6.8414658926409153</v>
      </c>
      <c r="D212" s="65">
        <f>LN('Dry mt. new'!D212)</f>
        <v>6.6865847799195413</v>
      </c>
      <c r="E212" s="31">
        <f t="shared" si="52"/>
        <v>20.190595711879137</v>
      </c>
      <c r="F212" s="31">
        <f t="shared" si="53"/>
        <v>6.7301985706263787</v>
      </c>
      <c r="G212" s="34" t="s">
        <v>16</v>
      </c>
      <c r="H212" s="31">
        <f>(SQRT((2*J209)/3))*L210</f>
        <v>0.15084345371823929</v>
      </c>
      <c r="O212" s="33">
        <v>7</v>
      </c>
      <c r="P212" s="42">
        <f t="shared" si="56"/>
        <v>6.7318129310492552</v>
      </c>
      <c r="Q212" s="49">
        <f t="shared" si="57"/>
        <v>6</v>
      </c>
      <c r="R212" s="53">
        <v>6</v>
      </c>
    </row>
    <row r="213" spans="1:18" x14ac:dyDescent="0.25">
      <c r="A213" s="32" t="s">
        <v>97</v>
      </c>
      <c r="B213" s="65">
        <f>LN('Dry mt. new'!B213)</f>
        <v>6.8695756237399692</v>
      </c>
      <c r="C213" s="65">
        <f>LN('Dry mt. new'!C213)</f>
        <v>6.7284611349461887</v>
      </c>
      <c r="D213" s="65">
        <f>LN('Dry mt. new'!D213)</f>
        <v>6.8412735376813041</v>
      </c>
      <c r="E213" s="31">
        <f t="shared" si="52"/>
        <v>20.439310296367463</v>
      </c>
      <c r="F213" s="31">
        <f t="shared" si="53"/>
        <v>6.8131034321224879</v>
      </c>
      <c r="G213" s="34" t="s">
        <v>29</v>
      </c>
      <c r="H213" s="31">
        <f>((SQRT(J209))/F220)*100</f>
        <v>1.3487764020808266</v>
      </c>
      <c r="O213" s="33">
        <v>8</v>
      </c>
      <c r="P213" s="42">
        <f t="shared" si="56"/>
        <v>6.813523951215398</v>
      </c>
      <c r="Q213" s="49">
        <f t="shared" si="57"/>
        <v>4</v>
      </c>
      <c r="R213" s="52">
        <v>4</v>
      </c>
    </row>
    <row r="214" spans="1:18" x14ac:dyDescent="0.25">
      <c r="A214" s="32" t="s">
        <v>98</v>
      </c>
      <c r="B214" s="65">
        <f>LN('Dry mt. new'!B214)</f>
        <v>6.5914816696701202</v>
      </c>
      <c r="C214" s="65">
        <f>LN('Dry mt. new'!C214)</f>
        <v>6.6238792875393075</v>
      </c>
      <c r="D214" s="65">
        <f>LN('Dry mt. new'!D214)</f>
        <v>6.8460394370014832</v>
      </c>
      <c r="E214" s="31">
        <f t="shared" si="52"/>
        <v>20.06140039421091</v>
      </c>
      <c r="F214" s="31">
        <f t="shared" si="53"/>
        <v>6.68713346473697</v>
      </c>
      <c r="O214" s="33">
        <v>9</v>
      </c>
      <c r="P214" s="42">
        <f t="shared" si="56"/>
        <v>6.706572225892975</v>
      </c>
      <c r="Q214" s="49">
        <f t="shared" si="57"/>
        <v>8</v>
      </c>
      <c r="R214" s="53">
        <v>8</v>
      </c>
    </row>
    <row r="215" spans="1:18" x14ac:dyDescent="0.25">
      <c r="A215" s="32" t="s">
        <v>99</v>
      </c>
      <c r="B215" s="65">
        <f>LN('Dry mt. new'!B215)</f>
        <v>6.6917735206955475</v>
      </c>
      <c r="C215" s="65">
        <f>LN('Dry mt. new'!C215)</f>
        <v>6.8411239026835364</v>
      </c>
      <c r="D215" s="65">
        <f>LN('Dry mt. new'!D215)</f>
        <v>6.8789236123134341</v>
      </c>
      <c r="E215" s="31">
        <f t="shared" si="52"/>
        <v>20.411821035692519</v>
      </c>
      <c r="F215" s="31">
        <f t="shared" si="53"/>
        <v>6.8039403452308393</v>
      </c>
      <c r="O215" s="30" t="s">
        <v>14</v>
      </c>
      <c r="P215" s="42">
        <f>SQRT(J209/(3*2))</f>
        <v>3.7112525836982484E-2</v>
      </c>
      <c r="Q215" s="49"/>
    </row>
    <row r="216" spans="1:18" x14ac:dyDescent="0.25">
      <c r="A216" s="32" t="s">
        <v>100</v>
      </c>
      <c r="B216" s="65">
        <f>LN('Dry mt. new'!B216)</f>
        <v>6.7051248867902977</v>
      </c>
      <c r="C216" s="65">
        <f>LN('Dry mt. new'!C216)</f>
        <v>6.869596401881366</v>
      </c>
      <c r="D216" s="65">
        <f>LN('Dry mt. new'!D216)</f>
        <v>6.9070150050469872</v>
      </c>
      <c r="E216" s="31">
        <f t="shared" si="52"/>
        <v>20.481736293718651</v>
      </c>
      <c r="F216" s="31">
        <f t="shared" si="53"/>
        <v>6.8272454312395503</v>
      </c>
      <c r="N216" s="30" t="s">
        <v>109</v>
      </c>
      <c r="O216" s="30" t="s">
        <v>16</v>
      </c>
      <c r="P216" s="42">
        <f>SQRT((2*J209)/(3*2))*L210</f>
        <v>0.10666242902176613</v>
      </c>
      <c r="Q216" s="49"/>
    </row>
    <row r="217" spans="1:18" x14ac:dyDescent="0.25">
      <c r="A217" s="32" t="s">
        <v>101</v>
      </c>
      <c r="B217" s="65">
        <f>LN('Dry mt. new'!B217)</f>
        <v>6.6095513790707736</v>
      </c>
      <c r="C217" s="65">
        <f>LN('Dry mt. new'!C217)</f>
        <v>6.7148620383352151</v>
      </c>
      <c r="D217" s="65">
        <f>LN('Dry mt. new'!D217)</f>
        <v>6.7863670022471139</v>
      </c>
      <c r="E217" s="31">
        <f t="shared" si="52"/>
        <v>20.110780419653103</v>
      </c>
      <c r="F217" s="31">
        <f>E217/3</f>
        <v>6.7035934732177012</v>
      </c>
      <c r="Q217" s="49"/>
    </row>
    <row r="218" spans="1:18" x14ac:dyDescent="0.25">
      <c r="A218" s="32" t="s">
        <v>102</v>
      </c>
      <c r="B218" s="65">
        <f>LN('Dry mt. new'!B218)</f>
        <v>6.7486071325945867</v>
      </c>
      <c r="C218" s="65">
        <f>LN('Dry mt. new'!C218)</f>
        <v>6.8115637108692288</v>
      </c>
      <c r="D218" s="65">
        <f>LN('Dry mt. new'!D218)</f>
        <v>6.831500388462965</v>
      </c>
      <c r="E218" s="31">
        <f t="shared" si="52"/>
        <v>20.391671231926779</v>
      </c>
      <c r="F218" s="31">
        <f t="shared" ref="F218:F219" si="59">E218/3</f>
        <v>6.7972237439755929</v>
      </c>
    </row>
    <row r="219" spans="1:18" x14ac:dyDescent="0.25">
      <c r="A219" s="32" t="s">
        <v>103</v>
      </c>
      <c r="B219" s="65">
        <f>LN('Dry mt. new'!B219)</f>
        <v>6.6087830451716938</v>
      </c>
      <c r="C219" s="65">
        <f>LN('Dry mt. new'!C219)</f>
        <v>6.6663968392470219</v>
      </c>
      <c r="D219" s="65">
        <f>LN('Dry mt. new'!D219)</f>
        <v>6.7951687182325715</v>
      </c>
      <c r="E219" s="31">
        <f t="shared" si="52"/>
        <v>20.070348602651286</v>
      </c>
      <c r="F219" s="31">
        <f t="shared" si="59"/>
        <v>6.6901162008837618</v>
      </c>
    </row>
    <row r="220" spans="1:18" x14ac:dyDescent="0.25">
      <c r="A220" s="30" t="s">
        <v>4</v>
      </c>
      <c r="B220" s="31">
        <f>SUM(B202:B219)</f>
        <v>120.18401764015245</v>
      </c>
      <c r="C220" s="31">
        <f t="shared" ref="C220:D220" si="60">SUM(C202:C219)</f>
        <v>121.21509028002104</v>
      </c>
      <c r="D220" s="31">
        <f t="shared" si="60"/>
        <v>122.55777672102857</v>
      </c>
      <c r="E220" s="31">
        <f>SUM(E202:E219)</f>
        <v>363.95688464120201</v>
      </c>
      <c r="F220" s="31">
        <f>AVERAGE(B202:D219)</f>
        <v>6.7399423081704111</v>
      </c>
    </row>
    <row r="221" spans="1:18" x14ac:dyDescent="0.25">
      <c r="A221" s="30" t="s">
        <v>5</v>
      </c>
      <c r="B221" s="31">
        <f>B220/18</f>
        <v>6.6768898688973586</v>
      </c>
      <c r="C221" s="31">
        <f>C220/18</f>
        <v>6.7341716822233915</v>
      </c>
      <c r="D221" s="31">
        <f>D220/18</f>
        <v>6.8087653733904761</v>
      </c>
    </row>
    <row r="222" spans="1:18" x14ac:dyDescent="0.25">
      <c r="A222" s="30" t="s">
        <v>26</v>
      </c>
      <c r="B222" s="31">
        <f>(E220*E220)/54</f>
        <v>2453.0484051431336</v>
      </c>
      <c r="C222" s="31"/>
      <c r="D222" s="31"/>
    </row>
    <row r="223" spans="1:18" x14ac:dyDescent="0.25">
      <c r="A223" s="30" t="s">
        <v>27</v>
      </c>
      <c r="B223" s="31">
        <f>SUMSQ(B202:D219)-B222</f>
        <v>1.2968866189917208</v>
      </c>
      <c r="C223" s="30" t="s">
        <v>28</v>
      </c>
      <c r="D223" s="31">
        <f>(SUMSQ(B220:D220)/18)-B222</f>
        <v>0.15741944151204734</v>
      </c>
    </row>
    <row r="224" spans="1:18" x14ac:dyDescent="0.25">
      <c r="A224" s="30" t="s">
        <v>30</v>
      </c>
      <c r="B224" s="31">
        <f>(SUMSQ(E202:E219)/3)-B222</f>
        <v>0.85848990438353212</v>
      </c>
      <c r="C224" s="30" t="s">
        <v>31</v>
      </c>
      <c r="D224" s="31">
        <f>B223-B224-D223</f>
        <v>0.28097727309614129</v>
      </c>
    </row>
    <row r="228" spans="1:18" x14ac:dyDescent="0.25">
      <c r="C228" s="66" t="s">
        <v>117</v>
      </c>
    </row>
    <row r="230" spans="1:18" x14ac:dyDescent="0.25">
      <c r="A230" s="36" t="s">
        <v>104</v>
      </c>
      <c r="B230" s="38">
        <v>2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5"/>
      <c r="O230" s="39"/>
      <c r="P230" s="39"/>
    </row>
    <row r="231" spans="1:18" x14ac:dyDescent="0.25">
      <c r="A231" s="36" t="s">
        <v>105</v>
      </c>
      <c r="B231" s="38">
        <v>9</v>
      </c>
      <c r="C231" s="39" t="s">
        <v>107</v>
      </c>
      <c r="D231" s="39">
        <v>18</v>
      </c>
      <c r="E231" s="39"/>
      <c r="F231" s="39"/>
      <c r="G231" s="39"/>
      <c r="H231" s="39"/>
      <c r="I231" s="39"/>
      <c r="J231" s="39"/>
      <c r="K231" s="39"/>
      <c r="L231" s="39"/>
      <c r="M231" s="35"/>
      <c r="N231" s="35"/>
      <c r="O231" s="39"/>
      <c r="P231" s="39"/>
    </row>
    <row r="232" spans="1:18" x14ac:dyDescent="0.25">
      <c r="A232" s="37" t="s">
        <v>106</v>
      </c>
      <c r="B232" s="40">
        <v>3</v>
      </c>
    </row>
    <row r="233" spans="1:18" x14ac:dyDescent="0.25">
      <c r="A233" s="46" t="s">
        <v>0</v>
      </c>
      <c r="B233" s="30" t="s">
        <v>1</v>
      </c>
      <c r="C233" s="30" t="s">
        <v>2</v>
      </c>
      <c r="D233" s="30" t="s">
        <v>3</v>
      </c>
      <c r="E233" s="30" t="s">
        <v>4</v>
      </c>
      <c r="F233" s="30" t="s">
        <v>5</v>
      </c>
      <c r="O233" s="41" t="s">
        <v>7</v>
      </c>
      <c r="R233" s="41"/>
    </row>
    <row r="234" spans="1:18" x14ac:dyDescent="0.25">
      <c r="A234" s="32" t="s">
        <v>86</v>
      </c>
      <c r="B234" s="65">
        <f>LN('Dry mt. new'!B234)</f>
        <v>6.4139342540319699</v>
      </c>
      <c r="C234" s="65">
        <f>LN('Dry mt. new'!C234)</f>
        <v>6.5542894659843531</v>
      </c>
      <c r="D234" s="65">
        <f>LN('Dry mt. new'!D234)</f>
        <v>6.8137302729880567</v>
      </c>
      <c r="E234" s="31">
        <f>SUM(B234:D234)</f>
        <v>19.781953993004379</v>
      </c>
      <c r="F234" s="31">
        <f>E234/3</f>
        <v>6.5939846643347932</v>
      </c>
      <c r="H234" s="47"/>
      <c r="I234" s="47"/>
      <c r="J234" s="47" t="s">
        <v>6</v>
      </c>
      <c r="K234" s="47"/>
      <c r="L234" s="47"/>
      <c r="M234" s="47"/>
      <c r="N234" s="47"/>
      <c r="O234" s="33">
        <v>1</v>
      </c>
      <c r="P234" s="31">
        <f>SUM(F234:F242)/9</f>
        <v>6.9206693205070451</v>
      </c>
      <c r="Q234" s="49">
        <f>RANK(P234,P$234:P$235,0)</f>
        <v>1</v>
      </c>
      <c r="R234" s="41"/>
    </row>
    <row r="235" spans="1:18" x14ac:dyDescent="0.25">
      <c r="A235" s="32" t="s">
        <v>87</v>
      </c>
      <c r="B235" s="65">
        <f>LN('Dry mt. new'!B235)</f>
        <v>6.9778222400949135</v>
      </c>
      <c r="C235" s="65">
        <f>LN('Dry mt. new'!C235)</f>
        <v>6.9290861496839655</v>
      </c>
      <c r="D235" s="65">
        <f>LN('Dry mt. new'!D235)</f>
        <v>7.0269417737733004</v>
      </c>
      <c r="E235" s="31">
        <f t="shared" ref="E235:E242" si="61">SUM(B235:D235)</f>
        <v>20.933850163552179</v>
      </c>
      <c r="F235" s="31">
        <f t="shared" ref="F235:F248" si="62">E235/3</f>
        <v>6.9779500545173931</v>
      </c>
      <c r="G235" s="31"/>
      <c r="H235" s="30" t="s">
        <v>8</v>
      </c>
      <c r="I235" s="30" t="s">
        <v>9</v>
      </c>
      <c r="J235" s="30" t="s">
        <v>10</v>
      </c>
      <c r="K235" s="30" t="s">
        <v>11</v>
      </c>
      <c r="L235" s="30" t="s">
        <v>12</v>
      </c>
      <c r="M235" s="30" t="s">
        <v>112</v>
      </c>
      <c r="N235" s="50"/>
      <c r="O235" s="33">
        <v>2</v>
      </c>
      <c r="P235" s="31">
        <f>SUM(F243:F251)/9</f>
        <v>6.8658658452994645</v>
      </c>
      <c r="Q235" s="49">
        <f>RANK(P235,P$234:P$235,0)</f>
        <v>2</v>
      </c>
      <c r="R235" s="41"/>
    </row>
    <row r="236" spans="1:18" x14ac:dyDescent="0.25">
      <c r="A236" s="32" t="s">
        <v>88</v>
      </c>
      <c r="B236" s="65">
        <f>LN('Dry mt. new'!B236)</f>
        <v>6.9135981759653955</v>
      </c>
      <c r="C236" s="65">
        <f>LN('Dry mt. new'!C236)</f>
        <v>6.9662505765724232</v>
      </c>
      <c r="D236" s="65">
        <f>LN('Dry mt. new'!D236)</f>
        <v>7.1037989224945335</v>
      </c>
      <c r="E236" s="31">
        <f t="shared" si="61"/>
        <v>20.983647675032351</v>
      </c>
      <c r="F236" s="31">
        <f t="shared" si="62"/>
        <v>6.9945492250107835</v>
      </c>
      <c r="G236" s="31" t="s">
        <v>13</v>
      </c>
      <c r="H236" s="31">
        <f>B232-1</f>
        <v>2</v>
      </c>
      <c r="I236" s="31">
        <f>D255</f>
        <v>3.0380747837170929E-2</v>
      </c>
      <c r="J236" s="31">
        <f>I236/H236</f>
        <v>1.5190373918585465E-2</v>
      </c>
      <c r="K236" s="31">
        <f>J236/$J$16</f>
        <v>3.1965472717372889</v>
      </c>
      <c r="L236" s="31">
        <f>FINV(0.05,H236,$H$16)</f>
        <v>3.275897990672394</v>
      </c>
      <c r="M236" s="31" t="str">
        <f>IF(K236&gt;=L236, "S", "NS")</f>
        <v>NS</v>
      </c>
      <c r="N236" s="39"/>
      <c r="O236" s="30" t="s">
        <v>14</v>
      </c>
      <c r="P236" s="42">
        <f>SQRT(J241/(3*9))</f>
        <v>1.4232701856716505E-2</v>
      </c>
      <c r="R236" s="41"/>
    </row>
    <row r="237" spans="1:18" x14ac:dyDescent="0.25">
      <c r="A237" s="32" t="s">
        <v>89</v>
      </c>
      <c r="B237" s="65">
        <f>LN('Dry mt. new'!B237)</f>
        <v>6.915306695134972</v>
      </c>
      <c r="C237" s="65">
        <f>LN('Dry mt. new'!C237)</f>
        <v>6.8932303003655733</v>
      </c>
      <c r="D237" s="65">
        <f>LN('Dry mt. new'!D237)</f>
        <v>6.9113089571814346</v>
      </c>
      <c r="E237" s="31">
        <f t="shared" si="61"/>
        <v>20.719845952681979</v>
      </c>
      <c r="F237" s="31">
        <f t="shared" si="62"/>
        <v>6.9066153175606599</v>
      </c>
      <c r="G237" s="31" t="s">
        <v>15</v>
      </c>
      <c r="H237" s="31">
        <f>D231-1</f>
        <v>17</v>
      </c>
      <c r="I237" s="31">
        <f>B256</f>
        <v>0.84070725712081185</v>
      </c>
      <c r="J237" s="31">
        <f t="shared" ref="J237:J241" si="63">I237/H237</f>
        <v>4.9453368065930106E-2</v>
      </c>
      <c r="K237" s="31">
        <f>J237/$J$16</f>
        <v>10.406592333843573</v>
      </c>
      <c r="L237" s="31">
        <f>FINV(0.05,H237,$H$16)</f>
        <v>1.9332068318040869</v>
      </c>
      <c r="M237" s="43" t="str">
        <f t="shared" ref="M237" si="64">IF(K237&gt;=L237, "S", "NS")</f>
        <v>S</v>
      </c>
      <c r="N237" s="30" t="s">
        <v>113</v>
      </c>
      <c r="O237" s="30" t="s">
        <v>16</v>
      </c>
      <c r="P237" s="42">
        <f>SQRT((2*J241)/(3*9))*L242</f>
        <v>4.0905180052908399E-2</v>
      </c>
      <c r="R237" s="41"/>
    </row>
    <row r="238" spans="1:18" x14ac:dyDescent="0.25">
      <c r="A238" s="32" t="s">
        <v>90</v>
      </c>
      <c r="B238" s="65">
        <f>LN('Dry mt. new'!B238)</f>
        <v>7.0042011772503896</v>
      </c>
      <c r="C238" s="65">
        <f>LN('Dry mt. new'!C238)</f>
        <v>6.9861597223563185</v>
      </c>
      <c r="D238" s="65">
        <f>LN('Dry mt. new'!D238)</f>
        <v>6.9929692081966177</v>
      </c>
      <c r="E238" s="31">
        <f t="shared" si="61"/>
        <v>20.983330107803326</v>
      </c>
      <c r="F238" s="31">
        <f t="shared" si="62"/>
        <v>6.994443369267775</v>
      </c>
      <c r="G238" s="31" t="s">
        <v>108</v>
      </c>
      <c r="H238" s="31">
        <f>B230-1</f>
        <v>1</v>
      </c>
      <c r="I238" s="31">
        <f>(SUM(E234:E242)^2+SUM(E243:E251)^2)/27-B254</f>
        <v>4.0546182079651771E-2</v>
      </c>
      <c r="J238" s="31">
        <f t="shared" si="63"/>
        <v>4.0546182079651771E-2</v>
      </c>
      <c r="K238" s="31">
        <f>J238/$J$16</f>
        <v>8.5322315566899078</v>
      </c>
      <c r="L238" s="31">
        <f>FINV(0.05,H238,$H$16)</f>
        <v>4.1300177456520188</v>
      </c>
      <c r="M238" s="31" t="str">
        <f>IF(K238&gt;=L238, "S", "NS")</f>
        <v>S</v>
      </c>
      <c r="N238" s="39"/>
      <c r="O238" s="33">
        <v>1</v>
      </c>
      <c r="P238" s="31">
        <f>(F234+F243)/2</f>
        <v>6.5676852403593458</v>
      </c>
      <c r="Q238" s="49">
        <f>RANK(P238,P$238:P$246,0)</f>
        <v>9</v>
      </c>
      <c r="R238" s="52">
        <v>9</v>
      </c>
    </row>
    <row r="239" spans="1:18" x14ac:dyDescent="0.25">
      <c r="A239" s="32" t="s">
        <v>91</v>
      </c>
      <c r="B239" s="65">
        <f>LN('Dry mt. new'!B239)</f>
        <v>7.0286977627662468</v>
      </c>
      <c r="C239" s="65">
        <f>LN('Dry mt. new'!C239)</f>
        <v>7.0032927056912007</v>
      </c>
      <c r="D239" s="65">
        <f>LN('Dry mt. new'!D239)</f>
        <v>7.0198242426014161</v>
      </c>
      <c r="E239" s="31">
        <f t="shared" si="61"/>
        <v>21.051814711058864</v>
      </c>
      <c r="F239" s="31">
        <f t="shared" si="62"/>
        <v>7.0172715703529542</v>
      </c>
      <c r="G239" s="31" t="s">
        <v>109</v>
      </c>
      <c r="H239" s="31">
        <f>B231-1</f>
        <v>8</v>
      </c>
      <c r="I239" s="31">
        <f>((E234+E243)^2+(E235+E244)^2+(E236+E245)^2+(E237+E246)^2+(E238+E247)^2+(E239+E248)^2+(E240+E249)^2+(E241+E250)^2+(E242+E251)^2/6)-B254</f>
        <v>11419.338063544665</v>
      </c>
      <c r="J239" s="31">
        <f t="shared" si="63"/>
        <v>1427.4172579430831</v>
      </c>
      <c r="K239" s="31">
        <f>J239/$J$16</f>
        <v>300374.8799051008</v>
      </c>
      <c r="L239" s="31">
        <f>FINV(0.05,H239,$H$16)</f>
        <v>2.2253399674380931</v>
      </c>
      <c r="M239" s="31" t="str">
        <f>IF(K239&gt;=L239, "S", "NS")</f>
        <v>S</v>
      </c>
      <c r="N239" s="39"/>
      <c r="O239" s="33">
        <v>2</v>
      </c>
      <c r="P239" s="31">
        <f t="shared" ref="P239:P246" si="65">(F235+F244)/2</f>
        <v>6.9477842911015415</v>
      </c>
      <c r="Q239" s="49">
        <f t="shared" ref="Q239:Q246" si="66">RANK(P239,P$238:P$246,0)</f>
        <v>5</v>
      </c>
      <c r="R239" s="53">
        <v>5</v>
      </c>
    </row>
    <row r="240" spans="1:18" x14ac:dyDescent="0.25">
      <c r="A240" s="32" t="s">
        <v>92</v>
      </c>
      <c r="B240" s="65">
        <f>LN('Dry mt. new'!B240)</f>
        <v>6.915306695134972</v>
      </c>
      <c r="C240" s="65">
        <f>LN('Dry mt. new'!C240)</f>
        <v>6.9981260070281825</v>
      </c>
      <c r="D240" s="65">
        <f>LN('Dry mt. new'!D240)</f>
        <v>6.846145797350446</v>
      </c>
      <c r="E240" s="31">
        <f t="shared" si="61"/>
        <v>20.759578499513601</v>
      </c>
      <c r="F240" s="31">
        <f t="shared" si="62"/>
        <v>6.9198594998378669</v>
      </c>
      <c r="G240" s="26" t="s">
        <v>110</v>
      </c>
      <c r="H240" s="31">
        <f>H238*H239</f>
        <v>8</v>
      </c>
      <c r="I240" s="31">
        <f>I237-(I238+I239)</f>
        <v>-11418.537902469623</v>
      </c>
      <c r="J240" s="31">
        <f t="shared" si="63"/>
        <v>-1427.3172378087029</v>
      </c>
      <c r="K240" s="44">
        <f>J240/$J$16</f>
        <v>-300353.83242533595</v>
      </c>
      <c r="L240" s="31">
        <f>FINV(0.05,H240,$H$16)</f>
        <v>2.2253399674380931</v>
      </c>
      <c r="M240" s="31" t="str">
        <f t="shared" ref="M240" si="67">IF(K240&gt;=L240, "S", "NS")</f>
        <v>NS</v>
      </c>
      <c r="N240" s="39"/>
      <c r="O240" s="33">
        <v>3</v>
      </c>
      <c r="P240" s="31">
        <f t="shared" si="65"/>
        <v>6.9648326025980438</v>
      </c>
      <c r="Q240" s="49">
        <f t="shared" si="66"/>
        <v>2</v>
      </c>
      <c r="R240" s="53">
        <v>2</v>
      </c>
    </row>
    <row r="241" spans="1:18" x14ac:dyDescent="0.25">
      <c r="A241" s="32" t="s">
        <v>93</v>
      </c>
      <c r="B241" s="65">
        <f>LN('Dry mt. new'!B241)</f>
        <v>6.988901992401618</v>
      </c>
      <c r="C241" s="65">
        <f>LN('Dry mt. new'!C241)</f>
        <v>6.9731496837467999</v>
      </c>
      <c r="D241" s="65">
        <f>LN('Dry mt. new'!D241)</f>
        <v>6.9834006401760469</v>
      </c>
      <c r="E241" s="31">
        <f t="shared" si="61"/>
        <v>20.945452316324463</v>
      </c>
      <c r="F241" s="31">
        <f t="shared" si="62"/>
        <v>6.9818174387748213</v>
      </c>
      <c r="G241" s="45" t="s">
        <v>23</v>
      </c>
      <c r="H241" s="31">
        <f>((B232-1)*(B230*B231-1))</f>
        <v>34</v>
      </c>
      <c r="I241" s="31">
        <f>D256</f>
        <v>0.18595907836652259</v>
      </c>
      <c r="J241" s="31">
        <f t="shared" si="63"/>
        <v>5.4693846578388996E-3</v>
      </c>
      <c r="O241" s="33">
        <v>4</v>
      </c>
      <c r="P241" s="31">
        <f t="shared" si="65"/>
        <v>6.8847734739041346</v>
      </c>
      <c r="Q241" s="49">
        <f t="shared" si="66"/>
        <v>7</v>
      </c>
      <c r="R241" s="53">
        <v>7</v>
      </c>
    </row>
    <row r="242" spans="1:18" x14ac:dyDescent="0.25">
      <c r="A242" s="32" t="s">
        <v>94</v>
      </c>
      <c r="B242" s="65">
        <f>LN('Dry mt. new'!B242)</f>
        <v>6.907985252536192</v>
      </c>
      <c r="C242" s="65">
        <f>LN('Dry mt. new'!C242)</f>
        <v>6.8796129730358571</v>
      </c>
      <c r="D242" s="65">
        <f>LN('Dry mt. new'!D242)</f>
        <v>6.9110000091470258</v>
      </c>
      <c r="E242" s="31">
        <f t="shared" si="61"/>
        <v>20.698598234719075</v>
      </c>
      <c r="F242" s="31">
        <f t="shared" si="62"/>
        <v>6.8995327449063586</v>
      </c>
      <c r="G242" s="44" t="s">
        <v>4</v>
      </c>
      <c r="H242" s="31">
        <f>SUM(H236:H241)-H237</f>
        <v>53</v>
      </c>
      <c r="I242" s="31">
        <f>B255</f>
        <v>1.0570470833245054</v>
      </c>
      <c r="K242" s="31" t="s">
        <v>111</v>
      </c>
      <c r="L242" s="41">
        <f>TINV(0.05,34)</f>
        <v>2.0322445093177191</v>
      </c>
      <c r="O242" s="33">
        <v>5</v>
      </c>
      <c r="P242" s="31">
        <f t="shared" si="65"/>
        <v>6.9636051432058252</v>
      </c>
      <c r="Q242" s="49">
        <f t="shared" si="66"/>
        <v>3</v>
      </c>
      <c r="R242" s="52">
        <v>3</v>
      </c>
    </row>
    <row r="243" spans="1:18" x14ac:dyDescent="0.25">
      <c r="A243" s="32" t="s">
        <v>95</v>
      </c>
      <c r="B243" s="65">
        <f>LN('Dry mt. new'!B243)</f>
        <v>6.4264560944744682</v>
      </c>
      <c r="C243" s="65">
        <f>LN('Dry mt. new'!C243)</f>
        <v>6.503659233280211</v>
      </c>
      <c r="D243" s="65">
        <f>LN('Dry mt. new'!D243)</f>
        <v>6.6940421213970138</v>
      </c>
      <c r="E243" s="31">
        <f t="shared" ref="E243:E251" si="68">SUM(B243:D243)</f>
        <v>19.624157449151692</v>
      </c>
      <c r="F243" s="31">
        <f t="shared" si="62"/>
        <v>6.5413858163838974</v>
      </c>
      <c r="G243" s="34" t="s">
        <v>14</v>
      </c>
      <c r="H243" s="31">
        <f>SQRT(J241/3)</f>
        <v>4.2698105570149518E-2</v>
      </c>
      <c r="O243" s="33">
        <v>6</v>
      </c>
      <c r="P243" s="31">
        <f t="shared" si="65"/>
        <v>6.9885683708314819</v>
      </c>
      <c r="Q243" s="49">
        <f t="shared" si="66"/>
        <v>1</v>
      </c>
      <c r="R243" s="53">
        <v>1</v>
      </c>
    </row>
    <row r="244" spans="1:18" x14ac:dyDescent="0.25">
      <c r="A244" s="32" t="s">
        <v>96</v>
      </c>
      <c r="B244" s="65">
        <f>LN('Dry mt. new'!B244)</f>
        <v>6.8433020875372179</v>
      </c>
      <c r="C244" s="65">
        <f>LN('Dry mt. new'!C244)</f>
        <v>6.8799523343200484</v>
      </c>
      <c r="D244" s="65">
        <f>LN('Dry mt. new'!D244)</f>
        <v>7.0296011611997988</v>
      </c>
      <c r="E244" s="31">
        <f t="shared" si="68"/>
        <v>20.752855583057066</v>
      </c>
      <c r="F244" s="31">
        <f t="shared" si="62"/>
        <v>6.917618527685689</v>
      </c>
      <c r="G244" s="34" t="s">
        <v>16</v>
      </c>
      <c r="H244" s="31">
        <f>(SQRT((2*J241)/3))*L242</f>
        <v>0.12271554015872518</v>
      </c>
      <c r="O244" s="33">
        <v>7</v>
      </c>
      <c r="P244" s="31">
        <f t="shared" si="65"/>
        <v>6.8944451222703025</v>
      </c>
      <c r="Q244" s="49">
        <f t="shared" si="66"/>
        <v>6</v>
      </c>
      <c r="R244" s="53">
        <v>6</v>
      </c>
    </row>
    <row r="245" spans="1:18" x14ac:dyDescent="0.25">
      <c r="A245" s="32" t="s">
        <v>97</v>
      </c>
      <c r="B245" s="65">
        <f>LN('Dry mt. new'!B245)</f>
        <v>6.8908634113119192</v>
      </c>
      <c r="C245" s="65">
        <f>LN('Dry mt. new'!C245)</f>
        <v>6.9258407465285217</v>
      </c>
      <c r="D245" s="65">
        <f>LN('Dry mt. new'!D245)</f>
        <v>6.9886437827154753</v>
      </c>
      <c r="E245" s="31">
        <f t="shared" si="68"/>
        <v>20.805347940555915</v>
      </c>
      <c r="F245" s="31">
        <f t="shared" si="62"/>
        <v>6.9351159801853051</v>
      </c>
      <c r="G245" s="34" t="s">
        <v>29</v>
      </c>
      <c r="H245" s="31">
        <f>((SQRT(J241))/F252)*100</f>
        <v>1.0728625770724938</v>
      </c>
      <c r="O245" s="33">
        <v>8</v>
      </c>
      <c r="P245" s="31">
        <f t="shared" si="65"/>
        <v>6.9597053560765367</v>
      </c>
      <c r="Q245" s="49">
        <f t="shared" si="66"/>
        <v>4</v>
      </c>
      <c r="R245" s="52">
        <v>4</v>
      </c>
    </row>
    <row r="246" spans="1:18" x14ac:dyDescent="0.25">
      <c r="A246" s="32" t="s">
        <v>98</v>
      </c>
      <c r="B246" s="65">
        <f>LN('Dry mt. new'!B246)</f>
        <v>6.8386731177946931</v>
      </c>
      <c r="C246" s="65">
        <f>LN('Dry mt. new'!C246)</f>
        <v>6.9143137252793831</v>
      </c>
      <c r="D246" s="65">
        <f>LN('Dry mt. new'!D246)</f>
        <v>6.8358080476687491</v>
      </c>
      <c r="E246" s="31">
        <f t="shared" si="68"/>
        <v>20.588794890742825</v>
      </c>
      <c r="F246" s="31">
        <f t="shared" si="62"/>
        <v>6.8629316302476084</v>
      </c>
      <c r="O246" s="33">
        <v>9</v>
      </c>
      <c r="P246" s="31">
        <f t="shared" si="65"/>
        <v>6.8680086457820808</v>
      </c>
      <c r="Q246" s="49">
        <f t="shared" si="66"/>
        <v>8</v>
      </c>
      <c r="R246" s="53">
        <v>8</v>
      </c>
    </row>
    <row r="247" spans="1:18" x14ac:dyDescent="0.25">
      <c r="A247" s="32" t="s">
        <v>99</v>
      </c>
      <c r="B247" s="65">
        <f>LN('Dry mt. new'!B247)</f>
        <v>6.8999750916631744</v>
      </c>
      <c r="C247" s="65">
        <f>LN('Dry mt. new'!C247)</f>
        <v>6.9959950678315455</v>
      </c>
      <c r="D247" s="65">
        <f>LN('Dry mt. new'!D247)</f>
        <v>6.9023305919369102</v>
      </c>
      <c r="E247" s="31">
        <f t="shared" si="68"/>
        <v>20.798300751431629</v>
      </c>
      <c r="F247" s="31">
        <f t="shared" si="62"/>
        <v>6.9327669171438764</v>
      </c>
      <c r="O247" s="30" t="s">
        <v>14</v>
      </c>
      <c r="P247" s="42">
        <f>SQRT(J241/(3*2))</f>
        <v>3.019211999247182E-2</v>
      </c>
      <c r="Q247" s="49"/>
    </row>
    <row r="248" spans="1:18" x14ac:dyDescent="0.25">
      <c r="A248" s="32" t="s">
        <v>100</v>
      </c>
      <c r="B248" s="65">
        <f>LN('Dry mt. new'!B248)</f>
        <v>6.9935475798670215</v>
      </c>
      <c r="C248" s="65">
        <f>LN('Dry mt. new'!C248)</f>
        <v>6.8952575061521566</v>
      </c>
      <c r="D248" s="65">
        <f>LN('Dry mt. new'!D248)</f>
        <v>6.9907904279108495</v>
      </c>
      <c r="E248" s="31">
        <f t="shared" si="68"/>
        <v>20.879595513930028</v>
      </c>
      <c r="F248" s="31">
        <f t="shared" si="62"/>
        <v>6.9598651713100095</v>
      </c>
      <c r="N248" s="30" t="s">
        <v>109</v>
      </c>
      <c r="O248" s="30" t="s">
        <v>16</v>
      </c>
      <c r="P248" s="42">
        <f>SQRT((2*J241)/(3*2))*L242</f>
        <v>8.6772990603204675E-2</v>
      </c>
      <c r="Q248" s="49"/>
    </row>
    <row r="249" spans="1:18" x14ac:dyDescent="0.25">
      <c r="A249" s="32" t="s">
        <v>101</v>
      </c>
      <c r="B249" s="65">
        <f>LN('Dry mt. new'!B249)</f>
        <v>6.9152074425071763</v>
      </c>
      <c r="C249" s="65">
        <f>LN('Dry mt. new'!C249)</f>
        <v>6.8475593152786844</v>
      </c>
      <c r="D249" s="65">
        <f>LN('Dry mt. new'!D249)</f>
        <v>6.8443254763223544</v>
      </c>
      <c r="E249" s="31">
        <f t="shared" si="68"/>
        <v>20.607092234108215</v>
      </c>
      <c r="F249" s="31">
        <f>E249/3</f>
        <v>6.8690307447027381</v>
      </c>
      <c r="Q249" s="49"/>
    </row>
    <row r="250" spans="1:18" x14ac:dyDescent="0.25">
      <c r="A250" s="32" t="s">
        <v>102</v>
      </c>
      <c r="B250" s="65">
        <f>LN('Dry mt. new'!B250)</f>
        <v>7.0078268327063524</v>
      </c>
      <c r="C250" s="65">
        <f>LN('Dry mt. new'!C250)</f>
        <v>6.8443680948017338</v>
      </c>
      <c r="D250" s="65">
        <f>LN('Dry mt. new'!D250)</f>
        <v>6.9605848926266694</v>
      </c>
      <c r="E250" s="31">
        <f t="shared" si="68"/>
        <v>20.812779820134757</v>
      </c>
      <c r="F250" s="31">
        <f t="shared" ref="F250:F251" si="69">E250/3</f>
        <v>6.9375932733782522</v>
      </c>
    </row>
    <row r="251" spans="1:18" x14ac:dyDescent="0.25">
      <c r="A251" s="32" t="s">
        <v>103</v>
      </c>
      <c r="B251" s="65">
        <f>LN('Dry mt. new'!B251)</f>
        <v>6.8619730863270094</v>
      </c>
      <c r="C251" s="65">
        <f>LN('Dry mt. new'!C251)</f>
        <v>6.8213909653291385</v>
      </c>
      <c r="D251" s="65">
        <f>LN('Dry mt. new'!D251)</f>
        <v>6.8260895883172594</v>
      </c>
      <c r="E251" s="31">
        <f t="shared" si="68"/>
        <v>20.509453639973408</v>
      </c>
      <c r="F251" s="31">
        <f t="shared" si="69"/>
        <v>6.836484546657803</v>
      </c>
    </row>
    <row r="252" spans="1:18" x14ac:dyDescent="0.25">
      <c r="A252" s="30" t="s">
        <v>4</v>
      </c>
      <c r="B252" s="31">
        <f>SUM(B234:B251)</f>
        <v>123.74357898950574</v>
      </c>
      <c r="C252" s="31">
        <f>SUM(C234:C251)</f>
        <v>123.81153457326612</v>
      </c>
      <c r="D252" s="31">
        <f>SUM(D234:D251)</f>
        <v>124.68133591400395</v>
      </c>
      <c r="E252" s="31">
        <f>SUM(E234:E251)</f>
        <v>372.23644947677576</v>
      </c>
      <c r="F252" s="31">
        <f>AVERAGE(B234:D251)</f>
        <v>6.8932675829032535</v>
      </c>
    </row>
    <row r="253" spans="1:18" x14ac:dyDescent="0.25">
      <c r="A253" s="30" t="s">
        <v>5</v>
      </c>
      <c r="B253" s="31">
        <f>B252/18</f>
        <v>6.874643277194763</v>
      </c>
      <c r="C253" s="31">
        <f>C252/18</f>
        <v>6.8784185874036732</v>
      </c>
      <c r="D253" s="31">
        <f>D252/18</f>
        <v>6.9267408841113305</v>
      </c>
    </row>
    <row r="254" spans="1:18" x14ac:dyDescent="0.25">
      <c r="A254" s="30" t="s">
        <v>26</v>
      </c>
      <c r="B254" s="31">
        <f>(E252*E252)/54</f>
        <v>2565.9254503532634</v>
      </c>
      <c r="C254" s="31"/>
      <c r="D254" s="31"/>
    </row>
    <row r="255" spans="1:18" x14ac:dyDescent="0.25">
      <c r="A255" s="30" t="s">
        <v>27</v>
      </c>
      <c r="B255" s="31">
        <f>SUMSQ(B234:D251)-B254</f>
        <v>1.0570470833245054</v>
      </c>
      <c r="C255" s="30" t="s">
        <v>28</v>
      </c>
      <c r="D255" s="31">
        <f>(SUMSQ(B252:D252)/18)-B254</f>
        <v>3.0380747837170929E-2</v>
      </c>
    </row>
    <row r="256" spans="1:18" x14ac:dyDescent="0.25">
      <c r="A256" s="30" t="s">
        <v>30</v>
      </c>
      <c r="B256" s="31">
        <f>(SUMSQ(E234:E251)/3)-B254</f>
        <v>0.84070725712081185</v>
      </c>
      <c r="C256" s="30" t="s">
        <v>31</v>
      </c>
      <c r="D256" s="31">
        <f>B255-B256-D255</f>
        <v>0.18595907836652259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6"/>
  <sheetViews>
    <sheetView workbookViewId="0">
      <selection activeCell="J93" sqref="J93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54">
        <v>2020</v>
      </c>
    </row>
    <row r="3" spans="1:21" x14ac:dyDescent="0.25">
      <c r="C3" s="48" t="s">
        <v>119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5"/>
      <c r="T8" s="55"/>
      <c r="U8" s="55"/>
    </row>
    <row r="9" spans="1:21" x14ac:dyDescent="0.25">
      <c r="A9" s="32" t="s">
        <v>86</v>
      </c>
      <c r="B9" s="58">
        <v>1.78</v>
      </c>
      <c r="C9" s="58">
        <v>1.89</v>
      </c>
      <c r="D9" s="58">
        <v>1.83</v>
      </c>
      <c r="E9" s="31">
        <f t="shared" ref="E9:E26" si="0">SUM(B9:D9)</f>
        <v>5.5</v>
      </c>
      <c r="F9" s="31">
        <f>E9/3</f>
        <v>1.8333333333333333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42">
        <f>SUM(F9:F17)/9</f>
        <v>2.2792592592592595</v>
      </c>
      <c r="Q9" s="49">
        <f>RANK(P9,P$9:P$10,0)</f>
        <v>2</v>
      </c>
      <c r="S9" s="55"/>
      <c r="T9" s="55"/>
      <c r="U9" s="55"/>
    </row>
    <row r="10" spans="1:21" x14ac:dyDescent="0.25">
      <c r="A10" s="32" t="s">
        <v>87</v>
      </c>
      <c r="B10" s="58">
        <v>2.2200000000000002</v>
      </c>
      <c r="C10" s="58">
        <v>2.19</v>
      </c>
      <c r="D10" s="58">
        <v>2.2599999999999998</v>
      </c>
      <c r="E10" s="31">
        <f t="shared" si="0"/>
        <v>6.67</v>
      </c>
      <c r="F10" s="31">
        <f t="shared" ref="F10:F26" si="1">E10/3</f>
        <v>2.2233333333333332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42">
        <f>SUM(F18:F26)/9</f>
        <v>2.3085185185185182</v>
      </c>
      <c r="Q10" s="49">
        <f>RANK(P10,P$9:P$10,0)</f>
        <v>1</v>
      </c>
      <c r="S10" s="55"/>
      <c r="T10" s="55"/>
      <c r="U10" s="55"/>
    </row>
    <row r="11" spans="1:21" x14ac:dyDescent="0.25">
      <c r="A11" s="32" t="s">
        <v>88</v>
      </c>
      <c r="B11" s="58">
        <v>2.52</v>
      </c>
      <c r="C11" s="58">
        <v>2.68</v>
      </c>
      <c r="D11" s="58">
        <v>2.58</v>
      </c>
      <c r="E11" s="31">
        <f t="shared" si="0"/>
        <v>7.78</v>
      </c>
      <c r="F11" s="31">
        <f t="shared" si="1"/>
        <v>2.5933333333333333</v>
      </c>
      <c r="G11" s="31" t="s">
        <v>13</v>
      </c>
      <c r="H11" s="31">
        <f>B7-1</f>
        <v>2</v>
      </c>
      <c r="I11" s="31">
        <f>D30</f>
        <v>7.0333333333110204E-3</v>
      </c>
      <c r="J11" s="31">
        <f>I11/H11</f>
        <v>3.5166666666555102E-3</v>
      </c>
      <c r="K11" s="31">
        <f>J11/$J$16</f>
        <v>1.0263233190231564</v>
      </c>
      <c r="L11" s="31">
        <f>FINV(0.05,H11,$H$16)</f>
        <v>3.275897990672394</v>
      </c>
      <c r="M11" s="31" t="str">
        <f>IF(K11&gt;=L11, "S", "NS")</f>
        <v>NS</v>
      </c>
      <c r="N11" s="39"/>
      <c r="O11" s="30" t="s">
        <v>14</v>
      </c>
      <c r="P11" s="42">
        <f>SQRT(J16/(3*9))</f>
        <v>1.1265270439846696E-2</v>
      </c>
      <c r="S11" s="55"/>
      <c r="T11" s="55"/>
      <c r="U11" s="55"/>
    </row>
    <row r="12" spans="1:21" x14ac:dyDescent="0.25">
      <c r="A12" s="32" t="s">
        <v>89</v>
      </c>
      <c r="B12" s="58">
        <v>2.12</v>
      </c>
      <c r="C12" s="58">
        <v>2.16</v>
      </c>
      <c r="D12" s="58">
        <v>2.14</v>
      </c>
      <c r="E12" s="31">
        <f t="shared" si="0"/>
        <v>6.42</v>
      </c>
      <c r="F12" s="31">
        <f t="shared" si="1"/>
        <v>2.14</v>
      </c>
      <c r="G12" s="31" t="s">
        <v>15</v>
      </c>
      <c r="H12" s="31">
        <f>D6-1</f>
        <v>17</v>
      </c>
      <c r="I12" s="31">
        <f>B31</f>
        <v>3.115549999999871</v>
      </c>
      <c r="J12" s="31">
        <f t="shared" ref="J12:J16" si="2">I12/H12</f>
        <v>0.18326764705881593</v>
      </c>
      <c r="K12" s="31">
        <f>J12/$J$16</f>
        <v>53.48583690982894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3.2376699823103323E-2</v>
      </c>
      <c r="S12" s="55"/>
      <c r="T12" s="55"/>
      <c r="U12" s="55"/>
    </row>
    <row r="13" spans="1:21" x14ac:dyDescent="0.25">
      <c r="A13" s="32" t="s">
        <v>90</v>
      </c>
      <c r="B13" s="58">
        <v>2.48</v>
      </c>
      <c r="C13" s="58">
        <v>2.56</v>
      </c>
      <c r="D13" s="58">
        <v>2.48</v>
      </c>
      <c r="E13" s="31">
        <f t="shared" si="0"/>
        <v>7.52</v>
      </c>
      <c r="F13" s="31">
        <f t="shared" si="1"/>
        <v>2.5066666666666664</v>
      </c>
      <c r="G13" s="31" t="s">
        <v>108</v>
      </c>
      <c r="H13" s="31">
        <f>B5-1</f>
        <v>1</v>
      </c>
      <c r="I13" s="31">
        <f>(SUM(E9:E17)^2+SUM(E18:E26)^2)/27-B29</f>
        <v>1.1557407407337905E-2</v>
      </c>
      <c r="J13" s="31">
        <f t="shared" si="2"/>
        <v>1.1557407407337905E-2</v>
      </c>
      <c r="K13" s="31">
        <f>J13/$J$16</f>
        <v>3.3729772690917965</v>
      </c>
      <c r="L13" s="31">
        <f>FINV(0.05,H13,$H$16)</f>
        <v>4.1300177456520188</v>
      </c>
      <c r="M13" s="31" t="str">
        <f>IF(K13&gt;=L13, "S", "NS")</f>
        <v>NS</v>
      </c>
      <c r="N13" s="39"/>
      <c r="O13" s="33">
        <v>1</v>
      </c>
      <c r="P13" s="42">
        <f>(F9+F18)/2</f>
        <v>1.865</v>
      </c>
      <c r="Q13" s="49">
        <f>RANK(P13,P$13:P$21,0)</f>
        <v>9</v>
      </c>
      <c r="R13" s="52">
        <v>9</v>
      </c>
      <c r="S13" s="56"/>
      <c r="T13" s="56"/>
      <c r="U13" s="56"/>
    </row>
    <row r="14" spans="1:21" x14ac:dyDescent="0.25">
      <c r="A14" s="32" t="s">
        <v>91</v>
      </c>
      <c r="B14" s="58">
        <v>2.66</v>
      </c>
      <c r="C14" s="58">
        <v>2.57</v>
      </c>
      <c r="D14" s="58">
        <v>2.72</v>
      </c>
      <c r="E14" s="31">
        <f t="shared" si="0"/>
        <v>7.9500000000000011</v>
      </c>
      <c r="F14" s="31">
        <f t="shared" si="1"/>
        <v>2.6500000000000004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1303.7841333333331</v>
      </c>
      <c r="J14" s="31">
        <f t="shared" si="2"/>
        <v>162.97301666666664</v>
      </c>
      <c r="K14" s="31">
        <f>J14/$J$16</f>
        <v>47562.940486373504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42">
        <f t="shared" ref="P14:P21" si="4">(F10+F19)/2</f>
        <v>2.2516666666666665</v>
      </c>
      <c r="Q14" s="49">
        <f t="shared" ref="Q14:Q21" si="5">RANK(P14,P$13:P$21,0)</f>
        <v>5</v>
      </c>
      <c r="R14" s="53">
        <v>5</v>
      </c>
      <c r="S14" s="55"/>
      <c r="T14" s="55"/>
      <c r="U14" s="55"/>
    </row>
    <row r="15" spans="1:21" x14ac:dyDescent="0.25">
      <c r="A15" s="32" t="s">
        <v>92</v>
      </c>
      <c r="B15" s="58">
        <v>2.14</v>
      </c>
      <c r="C15" s="58">
        <v>2.1800000000000002</v>
      </c>
      <c r="D15" s="58">
        <v>2.16</v>
      </c>
      <c r="E15" s="31">
        <f t="shared" si="0"/>
        <v>6.48</v>
      </c>
      <c r="F15" s="31">
        <f t="shared" si="1"/>
        <v>2.16</v>
      </c>
      <c r="G15" s="26" t="s">
        <v>110</v>
      </c>
      <c r="H15" s="31">
        <f>H13*H14</f>
        <v>8</v>
      </c>
      <c r="I15" s="31">
        <f>I12-(I13+I14)</f>
        <v>-1300.6801407407406</v>
      </c>
      <c r="J15" s="31">
        <f t="shared" si="2"/>
        <v>-162.58501759259258</v>
      </c>
      <c r="K15" s="44">
        <f>J15/$J$16</f>
        <v>-47449.704705098753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42">
        <f t="shared" si="4"/>
        <v>2.5883333333333334</v>
      </c>
      <c r="Q15" s="49">
        <f t="shared" si="5"/>
        <v>2</v>
      </c>
      <c r="R15" s="53">
        <v>2</v>
      </c>
      <c r="S15" s="55"/>
      <c r="T15" s="55"/>
      <c r="U15" s="55"/>
    </row>
    <row r="16" spans="1:21" x14ac:dyDescent="0.25">
      <c r="A16" s="32" t="s">
        <v>93</v>
      </c>
      <c r="B16" s="58">
        <v>2.34</v>
      </c>
      <c r="C16" s="58">
        <v>2.2799999999999998</v>
      </c>
      <c r="D16" s="65">
        <v>2.2999999999999998</v>
      </c>
      <c r="E16" s="31">
        <f t="shared" si="0"/>
        <v>6.919999999999999</v>
      </c>
      <c r="F16" s="31">
        <f t="shared" si="1"/>
        <v>2.3066666666666662</v>
      </c>
      <c r="G16" s="45" t="s">
        <v>23</v>
      </c>
      <c r="H16" s="31">
        <f>((B7-1)*(B5*B6-1))</f>
        <v>34</v>
      </c>
      <c r="I16" s="31">
        <f>D31</f>
        <v>0.11650000000008731</v>
      </c>
      <c r="J16" s="31">
        <f t="shared" si="2"/>
        <v>3.4264705882378621E-3</v>
      </c>
      <c r="O16" s="33">
        <v>4</v>
      </c>
      <c r="P16" s="42">
        <f t="shared" si="4"/>
        <v>2.1583333333333332</v>
      </c>
      <c r="Q16" s="49">
        <f t="shared" si="5"/>
        <v>7</v>
      </c>
      <c r="R16" s="53">
        <v>7</v>
      </c>
      <c r="S16" s="55"/>
      <c r="T16" s="55"/>
      <c r="U16" s="55"/>
    </row>
    <row r="17" spans="1:21" x14ac:dyDescent="0.25">
      <c r="A17" s="32" t="s">
        <v>94</v>
      </c>
      <c r="B17" s="58">
        <v>2.12</v>
      </c>
      <c r="C17" s="58">
        <v>2.14</v>
      </c>
      <c r="D17" s="58">
        <v>2.04</v>
      </c>
      <c r="E17" s="31">
        <f t="shared" si="0"/>
        <v>6.3</v>
      </c>
      <c r="F17" s="31">
        <f t="shared" si="1"/>
        <v>2.1</v>
      </c>
      <c r="G17" s="44" t="s">
        <v>4</v>
      </c>
      <c r="H17" s="31">
        <f>SUM(H11:H16)-H12</f>
        <v>53</v>
      </c>
      <c r="I17" s="31">
        <f>B30</f>
        <v>3.2390833333332694</v>
      </c>
      <c r="K17" s="31" t="s">
        <v>111</v>
      </c>
      <c r="L17" s="41">
        <f>TINV(0.05,34)</f>
        <v>2.0322445093177191</v>
      </c>
      <c r="O17" s="33">
        <v>5</v>
      </c>
      <c r="P17" s="42">
        <f t="shared" si="4"/>
        <v>2.4833333333333334</v>
      </c>
      <c r="Q17" s="49">
        <f t="shared" si="5"/>
        <v>3</v>
      </c>
      <c r="R17" s="52">
        <v>3</v>
      </c>
      <c r="S17" s="57"/>
      <c r="T17" s="57"/>
      <c r="U17" s="57"/>
    </row>
    <row r="18" spans="1:21" x14ac:dyDescent="0.25">
      <c r="A18" s="32" t="s">
        <v>95</v>
      </c>
      <c r="B18" s="58">
        <v>1.89</v>
      </c>
      <c r="C18" s="58">
        <v>1.98</v>
      </c>
      <c r="D18" s="58">
        <v>1.82</v>
      </c>
      <c r="E18" s="31">
        <f t="shared" si="0"/>
        <v>5.69</v>
      </c>
      <c r="F18" s="31">
        <f t="shared" si="1"/>
        <v>1.8966666666666667</v>
      </c>
      <c r="G18" s="34" t="s">
        <v>14</v>
      </c>
      <c r="H18" s="31">
        <f>SQRT(J16/3)</f>
        <v>3.3795811319540091E-2</v>
      </c>
      <c r="O18" s="33">
        <v>6</v>
      </c>
      <c r="P18" s="42">
        <f t="shared" si="4"/>
        <v>2.6733333333333338</v>
      </c>
      <c r="Q18" s="49">
        <f t="shared" si="5"/>
        <v>1</v>
      </c>
      <c r="R18" s="53">
        <v>1</v>
      </c>
      <c r="S18" s="57"/>
      <c r="T18" s="57"/>
      <c r="U18" s="57"/>
    </row>
    <row r="19" spans="1:21" x14ac:dyDescent="0.25">
      <c r="A19" s="32" t="s">
        <v>96</v>
      </c>
      <c r="B19" s="58">
        <v>2.2599999999999998</v>
      </c>
      <c r="C19" s="58">
        <v>2.29</v>
      </c>
      <c r="D19" s="58">
        <v>2.29</v>
      </c>
      <c r="E19" s="31">
        <f t="shared" si="0"/>
        <v>6.84</v>
      </c>
      <c r="F19" s="31">
        <f t="shared" si="1"/>
        <v>2.2799999999999998</v>
      </c>
      <c r="G19" s="34" t="s">
        <v>16</v>
      </c>
      <c r="H19" s="31">
        <f>(SQRT((2*J16)/3))*L17</f>
        <v>9.7130099469309977E-2</v>
      </c>
      <c r="O19" s="33">
        <v>7</v>
      </c>
      <c r="P19" s="42">
        <f t="shared" si="4"/>
        <v>2.1733333333333338</v>
      </c>
      <c r="Q19" s="49">
        <f t="shared" si="5"/>
        <v>6</v>
      </c>
      <c r="R19" s="53">
        <v>6</v>
      </c>
      <c r="S19" s="57"/>
      <c r="T19" s="57"/>
      <c r="U19" s="57"/>
    </row>
    <row r="20" spans="1:21" x14ac:dyDescent="0.25">
      <c r="A20" s="32" t="s">
        <v>97</v>
      </c>
      <c r="B20" s="58">
        <v>2.68</v>
      </c>
      <c r="C20" s="58">
        <v>2.5099999999999998</v>
      </c>
      <c r="D20" s="58">
        <v>2.56</v>
      </c>
      <c r="E20" s="31">
        <f t="shared" si="0"/>
        <v>7.75</v>
      </c>
      <c r="F20" s="31">
        <f t="shared" si="1"/>
        <v>2.5833333333333335</v>
      </c>
      <c r="G20" s="34" t="s">
        <v>29</v>
      </c>
      <c r="H20" s="31">
        <f>((SQRT(J16))/F27)*100</f>
        <v>2.5518264015310885</v>
      </c>
      <c r="O20" s="33">
        <v>8</v>
      </c>
      <c r="P20" s="42">
        <f t="shared" si="4"/>
        <v>2.3266666666666662</v>
      </c>
      <c r="Q20" s="49">
        <f t="shared" si="5"/>
        <v>4</v>
      </c>
      <c r="R20" s="52">
        <v>4</v>
      </c>
      <c r="S20" s="57"/>
      <c r="T20" s="57"/>
      <c r="U20" s="57"/>
    </row>
    <row r="21" spans="1:21" x14ac:dyDescent="0.25">
      <c r="A21" s="32" t="s">
        <v>98</v>
      </c>
      <c r="B21" s="58">
        <v>2.11</v>
      </c>
      <c r="C21" s="58">
        <v>2.16</v>
      </c>
      <c r="D21" s="58">
        <v>2.2599999999999998</v>
      </c>
      <c r="E21" s="31">
        <f t="shared" si="0"/>
        <v>6.5299999999999994</v>
      </c>
      <c r="F21" s="31">
        <f t="shared" si="1"/>
        <v>2.1766666666666663</v>
      </c>
      <c r="O21" s="33">
        <v>9</v>
      </c>
      <c r="P21" s="42">
        <f t="shared" si="4"/>
        <v>2.125</v>
      </c>
      <c r="Q21" s="49">
        <f t="shared" si="5"/>
        <v>8</v>
      </c>
      <c r="R21" s="53">
        <v>8</v>
      </c>
      <c r="S21" s="57"/>
      <c r="T21" s="57"/>
      <c r="U21" s="57"/>
    </row>
    <row r="22" spans="1:21" x14ac:dyDescent="0.25">
      <c r="A22" s="32" t="s">
        <v>99</v>
      </c>
      <c r="B22" s="58">
        <v>2.52</v>
      </c>
      <c r="C22" s="58">
        <v>2.48</v>
      </c>
      <c r="D22" s="58">
        <v>2.38</v>
      </c>
      <c r="E22" s="31">
        <f t="shared" si="0"/>
        <v>7.38</v>
      </c>
      <c r="F22" s="31">
        <f t="shared" si="1"/>
        <v>2.46</v>
      </c>
      <c r="O22" s="30" t="s">
        <v>14</v>
      </c>
      <c r="P22" s="42">
        <f>SQRT(J16/(3*2))</f>
        <v>2.3897247359747881E-2</v>
      </c>
      <c r="Q22" s="49"/>
      <c r="S22" s="57"/>
      <c r="T22" s="57"/>
      <c r="U22" s="57"/>
    </row>
    <row r="23" spans="1:21" x14ac:dyDescent="0.25">
      <c r="A23" s="32" t="s">
        <v>100</v>
      </c>
      <c r="B23" s="58">
        <v>2.62</v>
      </c>
      <c r="C23" s="58">
        <v>2.75</v>
      </c>
      <c r="D23" s="58">
        <v>2.72</v>
      </c>
      <c r="E23" s="31">
        <f t="shared" si="0"/>
        <v>8.09</v>
      </c>
      <c r="F23" s="31">
        <f t="shared" si="1"/>
        <v>2.6966666666666668</v>
      </c>
      <c r="N23" s="30" t="s">
        <v>109</v>
      </c>
      <c r="O23" s="30" t="s">
        <v>16</v>
      </c>
      <c r="P23" s="42">
        <f>SQRT((2*J16)/(3*2))*L17</f>
        <v>6.8681351992072967E-2</v>
      </c>
      <c r="Q23" s="49"/>
      <c r="S23" s="57"/>
      <c r="T23" s="57"/>
      <c r="U23" s="57"/>
    </row>
    <row r="24" spans="1:21" x14ac:dyDescent="0.25">
      <c r="A24" s="32" t="s">
        <v>101</v>
      </c>
      <c r="B24" s="58">
        <v>2.1800000000000002</v>
      </c>
      <c r="C24" s="58">
        <v>2.16</v>
      </c>
      <c r="D24" s="58">
        <v>2.2200000000000002</v>
      </c>
      <c r="E24" s="31">
        <f t="shared" si="0"/>
        <v>6.5600000000000005</v>
      </c>
      <c r="F24" s="31">
        <f>E24/3</f>
        <v>2.186666666666667</v>
      </c>
      <c r="Q24" s="49"/>
      <c r="S24" s="57"/>
      <c r="T24" s="57"/>
      <c r="U24" s="57"/>
    </row>
    <row r="25" spans="1:21" x14ac:dyDescent="0.25">
      <c r="A25" s="32" t="s">
        <v>102</v>
      </c>
      <c r="B25" s="58">
        <v>2.38</v>
      </c>
      <c r="C25" s="58">
        <v>2.38</v>
      </c>
      <c r="D25" s="58">
        <v>2.2799999999999998</v>
      </c>
      <c r="E25" s="31">
        <f t="shared" si="0"/>
        <v>7.0399999999999991</v>
      </c>
      <c r="F25" s="31">
        <f t="shared" si="1"/>
        <v>2.3466666666666662</v>
      </c>
      <c r="S25" s="57"/>
      <c r="T25" s="57"/>
      <c r="U25" s="57"/>
    </row>
    <row r="26" spans="1:21" x14ac:dyDescent="0.25">
      <c r="A26" s="32" t="s">
        <v>103</v>
      </c>
      <c r="B26" s="58">
        <v>2.14</v>
      </c>
      <c r="C26" s="58">
        <v>2.2200000000000002</v>
      </c>
      <c r="D26" s="58">
        <v>2.09</v>
      </c>
      <c r="E26" s="31">
        <f t="shared" si="0"/>
        <v>6.45</v>
      </c>
      <c r="F26" s="31">
        <f t="shared" si="1"/>
        <v>2.15</v>
      </c>
    </row>
    <row r="27" spans="1:21" x14ac:dyDescent="0.25">
      <c r="A27" s="30" t="s">
        <v>4</v>
      </c>
      <c r="B27" s="31">
        <f>SUM(B9:B26)</f>
        <v>41.160000000000004</v>
      </c>
      <c r="C27" s="31">
        <f>SUM(C9:C26)</f>
        <v>41.580000000000005</v>
      </c>
      <c r="D27" s="31">
        <f>SUM(D9:D26)</f>
        <v>41.129999999999995</v>
      </c>
      <c r="E27" s="31">
        <f>SUM(E9:E26)</f>
        <v>123.87000000000002</v>
      </c>
      <c r="F27" s="31">
        <f>AVERAGE(B9:D26)</f>
        <v>2.2938888888888891</v>
      </c>
    </row>
    <row r="28" spans="1:21" x14ac:dyDescent="0.25">
      <c r="A28" s="30" t="s">
        <v>5</v>
      </c>
      <c r="B28" s="31">
        <f>B27/18</f>
        <v>2.2866666666666671</v>
      </c>
      <c r="C28" s="31">
        <f>C27/18</f>
        <v>2.3100000000000005</v>
      </c>
      <c r="D28" s="31">
        <f>D27/18</f>
        <v>2.2849999999999997</v>
      </c>
    </row>
    <row r="29" spans="1:21" x14ac:dyDescent="0.25">
      <c r="A29" s="30" t="s">
        <v>26</v>
      </c>
      <c r="B29" s="31">
        <f>(E27*E27)/54</f>
        <v>284.14401666666674</v>
      </c>
      <c r="C29" s="31"/>
      <c r="D29" s="31"/>
    </row>
    <row r="30" spans="1:21" x14ac:dyDescent="0.25">
      <c r="A30" s="30" t="s">
        <v>27</v>
      </c>
      <c r="B30" s="31">
        <f>SUMSQ(B9:D26)-B29</f>
        <v>3.2390833333332694</v>
      </c>
      <c r="C30" s="30" t="s">
        <v>28</v>
      </c>
      <c r="D30" s="31">
        <f>(SUMSQ(B27:D27)/18)-B29</f>
        <v>7.0333333333110204E-3</v>
      </c>
    </row>
    <row r="31" spans="1:21" x14ac:dyDescent="0.25">
      <c r="A31" s="30" t="s">
        <v>30</v>
      </c>
      <c r="B31" s="31">
        <f>(SUMSQ(E9:E26)/3)-B29</f>
        <v>3.115549999999871</v>
      </c>
      <c r="C31" s="30" t="s">
        <v>31</v>
      </c>
      <c r="D31" s="31">
        <f>B30-B31-D30</f>
        <v>0.11650000000008731</v>
      </c>
    </row>
    <row r="35" spans="1:18" x14ac:dyDescent="0.25">
      <c r="C35" s="48" t="s">
        <v>114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58">
        <v>3.18</v>
      </c>
      <c r="C41" s="58">
        <v>3.22</v>
      </c>
      <c r="D41" s="58">
        <v>3.14</v>
      </c>
      <c r="E41" s="31">
        <f>SUM(B41:D41)</f>
        <v>9.5400000000000009</v>
      </c>
      <c r="F41" s="31">
        <f>E41/3</f>
        <v>3.18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42">
        <f>SUM(F41:F49)/9</f>
        <v>3.5374074074074073</v>
      </c>
      <c r="Q41" s="49">
        <f>RANK(P41,P$41:P$42,0)</f>
        <v>2</v>
      </c>
    </row>
    <row r="42" spans="1:18" s="41" customFormat="1" x14ac:dyDescent="0.25">
      <c r="A42" s="32" t="s">
        <v>87</v>
      </c>
      <c r="B42" s="58">
        <v>3.51</v>
      </c>
      <c r="C42" s="58">
        <v>3.58</v>
      </c>
      <c r="D42" s="58">
        <v>3.48</v>
      </c>
      <c r="E42" s="31">
        <f t="shared" ref="E42:E58" si="6">SUM(B42:D42)</f>
        <v>10.57</v>
      </c>
      <c r="F42" s="31">
        <f t="shared" ref="F42:F55" si="7">E42/3</f>
        <v>3.5233333333333334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42">
        <f>SUM(F50:F58)/9</f>
        <v>3.5874074074074067</v>
      </c>
      <c r="Q42" s="49">
        <f>RANK(P42,P$41:P$42,0)</f>
        <v>1</v>
      </c>
    </row>
    <row r="43" spans="1:18" s="41" customFormat="1" x14ac:dyDescent="0.25">
      <c r="A43" s="32" t="s">
        <v>88</v>
      </c>
      <c r="B43" s="58">
        <v>3.78</v>
      </c>
      <c r="C43" s="58">
        <v>3.79</v>
      </c>
      <c r="D43" s="58">
        <v>3.84</v>
      </c>
      <c r="E43" s="31">
        <f t="shared" si="6"/>
        <v>11.41</v>
      </c>
      <c r="F43" s="31">
        <f t="shared" si="7"/>
        <v>3.8033333333333332</v>
      </c>
      <c r="G43" s="31" t="s">
        <v>13</v>
      </c>
      <c r="H43" s="31">
        <f>B39-1</f>
        <v>2</v>
      </c>
      <c r="I43" s="31">
        <f>D62</f>
        <v>5.5148148150010456E-3</v>
      </c>
      <c r="J43" s="31">
        <f>I43/H43</f>
        <v>2.7574074075005228E-3</v>
      </c>
      <c r="K43" s="31">
        <f>J43/$J$16</f>
        <v>0.80473692579354084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8.645683404064592E-3</v>
      </c>
      <c r="Q43" s="37"/>
    </row>
    <row r="44" spans="1:18" s="41" customFormat="1" x14ac:dyDescent="0.25">
      <c r="A44" s="32" t="s">
        <v>89</v>
      </c>
      <c r="B44" s="58">
        <v>3.38</v>
      </c>
      <c r="C44" s="58">
        <v>3.42</v>
      </c>
      <c r="D44" s="58">
        <v>3.36</v>
      </c>
      <c r="E44" s="31">
        <f t="shared" si="6"/>
        <v>10.16</v>
      </c>
      <c r="F44" s="31">
        <f t="shared" si="7"/>
        <v>3.3866666666666667</v>
      </c>
      <c r="G44" s="31" t="s">
        <v>15</v>
      </c>
      <c r="H44" s="31">
        <f>D38-1</f>
        <v>17</v>
      </c>
      <c r="I44" s="31">
        <f>B63</f>
        <v>2.6042537037038755</v>
      </c>
      <c r="J44" s="31">
        <f t="shared" ref="J44:J48" si="8">I44/H44</f>
        <v>0.15319139433552209</v>
      </c>
      <c r="K44" s="31">
        <f>J44/$J$16</f>
        <v>44.708218089303415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2.4847933996229449E-2</v>
      </c>
      <c r="Q44" s="37"/>
    </row>
    <row r="45" spans="1:18" s="41" customFormat="1" x14ac:dyDescent="0.25">
      <c r="A45" s="32" t="s">
        <v>90</v>
      </c>
      <c r="B45" s="58">
        <v>3.74</v>
      </c>
      <c r="C45" s="58">
        <v>3.66</v>
      </c>
      <c r="D45" s="58">
        <v>3.76</v>
      </c>
      <c r="E45" s="31">
        <f t="shared" si="6"/>
        <v>11.16</v>
      </c>
      <c r="F45" s="31">
        <f t="shared" si="7"/>
        <v>3.72</v>
      </c>
      <c r="G45" s="31" t="s">
        <v>108</v>
      </c>
      <c r="H45" s="31">
        <f>B37-1</f>
        <v>1</v>
      </c>
      <c r="I45" s="31">
        <f>(SUM(E41:E49)^2+SUM(E50:E58)^2)/27-B61</f>
        <v>3.3750000000168257E-2</v>
      </c>
      <c r="J45" s="31">
        <f t="shared" si="8"/>
        <v>3.3750000000168257E-2</v>
      </c>
      <c r="K45" s="31">
        <f>J45/$J$16</f>
        <v>9.8497854077670457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42">
        <f>(F41+F50)/2</f>
        <v>3.1950000000000003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91</v>
      </c>
      <c r="B46" s="58">
        <v>3.86</v>
      </c>
      <c r="C46" s="58">
        <v>3.81</v>
      </c>
      <c r="D46" s="58">
        <v>3.84</v>
      </c>
      <c r="E46" s="31">
        <f t="shared" si="6"/>
        <v>11.51</v>
      </c>
      <c r="F46" s="31">
        <f t="shared" si="7"/>
        <v>3.8366666666666664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3098.4750537037044</v>
      </c>
      <c r="J46" s="31">
        <f t="shared" si="8"/>
        <v>387.30938171296305</v>
      </c>
      <c r="K46" s="31">
        <f>J46/$J$16</f>
        <v>113034.4976672178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42">
        <f t="shared" ref="P46:P53" si="10">(F42+F51)/2</f>
        <v>3.5516666666666667</v>
      </c>
      <c r="Q46" s="49">
        <f t="shared" ref="Q46:Q53" si="11">RANK(P46,P$45:P$53,0)</f>
        <v>5</v>
      </c>
      <c r="R46" s="53">
        <v>5</v>
      </c>
    </row>
    <row r="47" spans="1:18" s="41" customFormat="1" x14ac:dyDescent="0.25">
      <c r="A47" s="32" t="s">
        <v>92</v>
      </c>
      <c r="B47" s="58">
        <v>3.41</v>
      </c>
      <c r="C47" s="58">
        <v>3.36</v>
      </c>
      <c r="D47" s="58">
        <v>3.46</v>
      </c>
      <c r="E47" s="31">
        <f t="shared" si="6"/>
        <v>10.23</v>
      </c>
      <c r="F47" s="31">
        <f t="shared" si="7"/>
        <v>3.41</v>
      </c>
      <c r="G47" s="26" t="s">
        <v>110</v>
      </c>
      <c r="H47" s="31">
        <f>H45*H46</f>
        <v>8</v>
      </c>
      <c r="I47" s="31">
        <f>I44-(I45+I46)</f>
        <v>-3095.9045500000007</v>
      </c>
      <c r="J47" s="31">
        <f t="shared" si="8"/>
        <v>-386.98806875000008</v>
      </c>
      <c r="K47" s="44">
        <f>J47/$J$16</f>
        <v>-112940.723926954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42">
        <f t="shared" si="10"/>
        <v>3.8249999999999997</v>
      </c>
      <c r="Q47" s="49">
        <f t="shared" si="11"/>
        <v>2</v>
      </c>
      <c r="R47" s="53">
        <v>2</v>
      </c>
    </row>
    <row r="48" spans="1:18" s="41" customFormat="1" x14ac:dyDescent="0.25">
      <c r="A48" s="32" t="s">
        <v>93</v>
      </c>
      <c r="B48" s="58">
        <v>3.64</v>
      </c>
      <c r="C48" s="58">
        <v>3.52</v>
      </c>
      <c r="D48" s="58">
        <v>3.67</v>
      </c>
      <c r="E48" s="31">
        <f t="shared" si="6"/>
        <v>10.83</v>
      </c>
      <c r="F48" s="31">
        <f t="shared" si="7"/>
        <v>3.61</v>
      </c>
      <c r="G48" s="45" t="s">
        <v>23</v>
      </c>
      <c r="H48" s="31">
        <f>((B39-1)*(B37*B38-1))</f>
        <v>34</v>
      </c>
      <c r="I48" s="31">
        <f>D63</f>
        <v>6.8618518518405835E-2</v>
      </c>
      <c r="J48" s="31">
        <f t="shared" si="8"/>
        <v>2.0181917211295835E-3</v>
      </c>
      <c r="O48" s="33">
        <v>4</v>
      </c>
      <c r="P48" s="42">
        <f t="shared" si="10"/>
        <v>3.4016666666666664</v>
      </c>
      <c r="Q48" s="49">
        <f t="shared" si="11"/>
        <v>7</v>
      </c>
      <c r="R48" s="53">
        <v>7</v>
      </c>
    </row>
    <row r="49" spans="1:18" x14ac:dyDescent="0.25">
      <c r="A49" s="32" t="s">
        <v>94</v>
      </c>
      <c r="B49" s="58">
        <v>3.38</v>
      </c>
      <c r="C49" s="58">
        <v>3.34</v>
      </c>
      <c r="D49" s="58">
        <v>3.38</v>
      </c>
      <c r="E49" s="31">
        <f t="shared" si="6"/>
        <v>10.1</v>
      </c>
      <c r="F49" s="31">
        <f t="shared" si="7"/>
        <v>3.3666666666666667</v>
      </c>
      <c r="G49" s="44" t="s">
        <v>4</v>
      </c>
      <c r="H49" s="31">
        <f>SUM(H43:H48)-H44</f>
        <v>53</v>
      </c>
      <c r="I49" s="31">
        <f>B62</f>
        <v>2.6783870370372824</v>
      </c>
      <c r="K49" s="31" t="s">
        <v>111</v>
      </c>
      <c r="L49" s="41">
        <f>TINV(0.05,34)</f>
        <v>2.0322445093177191</v>
      </c>
      <c r="O49" s="33">
        <v>5</v>
      </c>
      <c r="P49" s="42">
        <f t="shared" si="10"/>
        <v>3.75</v>
      </c>
      <c r="Q49" s="49">
        <f t="shared" si="11"/>
        <v>3</v>
      </c>
      <c r="R49" s="52">
        <v>3</v>
      </c>
    </row>
    <row r="50" spans="1:18" x14ac:dyDescent="0.25">
      <c r="A50" s="32" t="s">
        <v>95</v>
      </c>
      <c r="B50" s="58">
        <v>3.2</v>
      </c>
      <c r="C50" s="58">
        <v>3.25</v>
      </c>
      <c r="D50" s="58">
        <v>3.18</v>
      </c>
      <c r="E50" s="31">
        <f t="shared" si="6"/>
        <v>9.6300000000000008</v>
      </c>
      <c r="F50" s="31">
        <f t="shared" si="7"/>
        <v>3.2100000000000004</v>
      </c>
      <c r="G50" s="34" t="s">
        <v>14</v>
      </c>
      <c r="H50" s="31">
        <f>SQRT(J48/3)</f>
        <v>2.5937050212193776E-2</v>
      </c>
      <c r="O50" s="33">
        <v>6</v>
      </c>
      <c r="P50" s="42">
        <f t="shared" si="10"/>
        <v>3.8899999999999997</v>
      </c>
      <c r="Q50" s="49">
        <f t="shared" si="11"/>
        <v>1</v>
      </c>
      <c r="R50" s="53">
        <v>1</v>
      </c>
    </row>
    <row r="51" spans="1:18" x14ac:dyDescent="0.25">
      <c r="A51" s="32" t="s">
        <v>96</v>
      </c>
      <c r="B51" s="58">
        <v>3.56</v>
      </c>
      <c r="C51" s="58">
        <v>3.58</v>
      </c>
      <c r="D51" s="58">
        <v>3.6</v>
      </c>
      <c r="E51" s="31">
        <f t="shared" si="6"/>
        <v>10.74</v>
      </c>
      <c r="F51" s="31">
        <f t="shared" si="7"/>
        <v>3.58</v>
      </c>
      <c r="G51" s="34" t="s">
        <v>16</v>
      </c>
      <c r="H51" s="31">
        <f>(SQRT((2*J48)/3))*L49</f>
        <v>7.454380198868836E-2</v>
      </c>
      <c r="O51" s="33">
        <v>7</v>
      </c>
      <c r="P51" s="42">
        <f t="shared" si="10"/>
        <v>3.4299999999999997</v>
      </c>
      <c r="Q51" s="49">
        <f t="shared" si="11"/>
        <v>6</v>
      </c>
      <c r="R51" s="53">
        <v>6</v>
      </c>
    </row>
    <row r="52" spans="1:18" x14ac:dyDescent="0.25">
      <c r="A52" s="32" t="s">
        <v>97</v>
      </c>
      <c r="B52" s="58">
        <v>3.86</v>
      </c>
      <c r="C52" s="58">
        <v>3.8</v>
      </c>
      <c r="D52" s="58">
        <v>3.88</v>
      </c>
      <c r="E52" s="31">
        <f t="shared" si="6"/>
        <v>11.54</v>
      </c>
      <c r="F52" s="31">
        <f t="shared" si="7"/>
        <v>3.8466666666666662</v>
      </c>
      <c r="G52" s="34" t="s">
        <v>29</v>
      </c>
      <c r="H52" s="31">
        <f>((SQRT(J48))/F59)*100</f>
        <v>1.2610654433452075</v>
      </c>
      <c r="O52" s="33">
        <v>8</v>
      </c>
      <c r="P52" s="42">
        <f t="shared" si="10"/>
        <v>3.6349999999999998</v>
      </c>
      <c r="Q52" s="49">
        <f t="shared" si="11"/>
        <v>4</v>
      </c>
      <c r="R52" s="52">
        <v>4</v>
      </c>
    </row>
    <row r="53" spans="1:18" x14ac:dyDescent="0.25">
      <c r="A53" s="32" t="s">
        <v>98</v>
      </c>
      <c r="B53" s="58">
        <v>3.38</v>
      </c>
      <c r="C53" s="58">
        <v>3.41</v>
      </c>
      <c r="D53" s="58">
        <v>3.46</v>
      </c>
      <c r="E53" s="31">
        <f t="shared" si="6"/>
        <v>10.25</v>
      </c>
      <c r="F53" s="31">
        <f t="shared" si="7"/>
        <v>3.4166666666666665</v>
      </c>
      <c r="O53" s="33">
        <v>9</v>
      </c>
      <c r="P53" s="42">
        <f t="shared" si="10"/>
        <v>3.3833333333333333</v>
      </c>
      <c r="Q53" s="49">
        <f t="shared" si="11"/>
        <v>8</v>
      </c>
      <c r="R53" s="53">
        <v>8</v>
      </c>
    </row>
    <row r="54" spans="1:18" x14ac:dyDescent="0.25">
      <c r="A54" s="32" t="s">
        <v>99</v>
      </c>
      <c r="B54" s="58">
        <v>3.74</v>
      </c>
      <c r="C54" s="58">
        <v>3.78</v>
      </c>
      <c r="D54" s="58">
        <v>3.82</v>
      </c>
      <c r="E54" s="31">
        <f t="shared" si="6"/>
        <v>11.34</v>
      </c>
      <c r="F54" s="31">
        <f t="shared" si="7"/>
        <v>3.78</v>
      </c>
      <c r="O54" s="30" t="s">
        <v>14</v>
      </c>
      <c r="P54" s="42">
        <f>SQRT(J48/(3*2))</f>
        <v>1.8340264089018201E-2</v>
      </c>
      <c r="Q54" s="49"/>
    </row>
    <row r="55" spans="1:18" x14ac:dyDescent="0.25">
      <c r="A55" s="32" t="s">
        <v>100</v>
      </c>
      <c r="B55" s="58">
        <v>3.95</v>
      </c>
      <c r="C55" s="58">
        <v>3.99</v>
      </c>
      <c r="D55" s="58">
        <v>3.89</v>
      </c>
      <c r="E55" s="31">
        <f t="shared" si="6"/>
        <v>11.83</v>
      </c>
      <c r="F55" s="31">
        <f t="shared" si="7"/>
        <v>3.9433333333333334</v>
      </c>
      <c r="N55" s="30" t="s">
        <v>109</v>
      </c>
      <c r="O55" s="30" t="s">
        <v>16</v>
      </c>
      <c r="P55" s="42">
        <f>SQRT((2*J48)/(3*2))*L49</f>
        <v>5.2710427881628781E-2</v>
      </c>
      <c r="Q55" s="49"/>
    </row>
    <row r="56" spans="1:18" x14ac:dyDescent="0.25">
      <c r="A56" s="32" t="s">
        <v>101</v>
      </c>
      <c r="B56" s="58">
        <v>3.36</v>
      </c>
      <c r="C56" s="58">
        <v>3.49</v>
      </c>
      <c r="D56" s="58">
        <v>3.5</v>
      </c>
      <c r="E56" s="31">
        <f t="shared" si="6"/>
        <v>10.35</v>
      </c>
      <c r="F56" s="31">
        <f>E56/3</f>
        <v>3.4499999999999997</v>
      </c>
      <c r="Q56" s="49"/>
    </row>
    <row r="57" spans="1:18" x14ac:dyDescent="0.25">
      <c r="A57" s="32" t="s">
        <v>102</v>
      </c>
      <c r="B57" s="58">
        <v>3.68</v>
      </c>
      <c r="C57" s="58">
        <v>3.62</v>
      </c>
      <c r="D57" s="58">
        <v>3.68</v>
      </c>
      <c r="E57" s="31">
        <f t="shared" si="6"/>
        <v>10.98</v>
      </c>
      <c r="F57" s="31">
        <f t="shared" ref="F57:F58" si="13">E57/3</f>
        <v>3.66</v>
      </c>
    </row>
    <row r="58" spans="1:18" x14ac:dyDescent="0.25">
      <c r="A58" s="32" t="s">
        <v>103</v>
      </c>
      <c r="B58" s="58">
        <v>3.4</v>
      </c>
      <c r="C58" s="58">
        <v>3.36</v>
      </c>
      <c r="D58" s="58">
        <v>3.44</v>
      </c>
      <c r="E58" s="31">
        <f t="shared" si="6"/>
        <v>10.199999999999999</v>
      </c>
      <c r="F58" s="31">
        <f t="shared" si="13"/>
        <v>3.4</v>
      </c>
    </row>
    <row r="59" spans="1:18" x14ac:dyDescent="0.25">
      <c r="A59" s="30" t="s">
        <v>4</v>
      </c>
      <c r="B59" s="31">
        <f>SUM(B41:B58)</f>
        <v>64.010000000000005</v>
      </c>
      <c r="C59" s="31">
        <f t="shared" ref="C59:D59" si="14">SUM(C41:C58)</f>
        <v>63.98</v>
      </c>
      <c r="D59" s="31">
        <f t="shared" si="14"/>
        <v>64.38000000000001</v>
      </c>
      <c r="E59" s="31">
        <f>SUM(E41:E58)</f>
        <v>192.36999999999998</v>
      </c>
      <c r="F59" s="31">
        <f>AVERAGE(B41:D58)</f>
        <v>3.5624074074074081</v>
      </c>
    </row>
    <row r="60" spans="1:18" x14ac:dyDescent="0.25">
      <c r="A60" s="30" t="s">
        <v>5</v>
      </c>
      <c r="B60" s="31">
        <f>B59/18</f>
        <v>3.5561111111111114</v>
      </c>
      <c r="C60" s="31">
        <f>C59/18</f>
        <v>3.5544444444444441</v>
      </c>
      <c r="D60" s="31">
        <f>D59/18</f>
        <v>3.5766666666666671</v>
      </c>
    </row>
    <row r="61" spans="1:18" x14ac:dyDescent="0.25">
      <c r="A61" s="30" t="s">
        <v>26</v>
      </c>
      <c r="B61" s="31">
        <f>(E59*E59)/54</f>
        <v>685.30031296296283</v>
      </c>
      <c r="C61" s="31"/>
      <c r="D61" s="31"/>
    </row>
    <row r="62" spans="1:18" x14ac:dyDescent="0.25">
      <c r="A62" s="30" t="s">
        <v>27</v>
      </c>
      <c r="B62" s="31">
        <f>SUMSQ(B41:D58)-B61</f>
        <v>2.6783870370372824</v>
      </c>
      <c r="C62" s="30" t="s">
        <v>28</v>
      </c>
      <c r="D62" s="31">
        <f>(SUMSQ(B59:D59)/18)-B61</f>
        <v>5.5148148150010456E-3</v>
      </c>
    </row>
    <row r="63" spans="1:18" x14ac:dyDescent="0.25">
      <c r="A63" s="30" t="s">
        <v>30</v>
      </c>
      <c r="B63" s="31">
        <f>(SUMSQ(E41:E58)/3)-B61</f>
        <v>2.6042537037038755</v>
      </c>
      <c r="C63" s="30" t="s">
        <v>31</v>
      </c>
      <c r="D63" s="31">
        <f>B62-B63-D62</f>
        <v>6.8618518518405835E-2</v>
      </c>
    </row>
    <row r="67" spans="1:19" x14ac:dyDescent="0.25">
      <c r="C67" s="48" t="s">
        <v>115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86</v>
      </c>
      <c r="B73" s="58">
        <v>3.09</v>
      </c>
      <c r="C73" s="58">
        <v>2.94</v>
      </c>
      <c r="D73" s="58">
        <v>3.14</v>
      </c>
      <c r="E73" s="31">
        <f>SUM(B73:D73)</f>
        <v>9.17</v>
      </c>
      <c r="F73" s="31">
        <f>E73/3</f>
        <v>3.0566666666666666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42">
        <f>SUM(F73:F81)/9</f>
        <v>3.4466666666666672</v>
      </c>
      <c r="Q73" s="49">
        <f>RANK(P73,P$73:P$74,0)</f>
        <v>2</v>
      </c>
      <c r="R73" s="41"/>
      <c r="S73" s="41"/>
    </row>
    <row r="74" spans="1:19" x14ac:dyDescent="0.25">
      <c r="A74" s="32" t="s">
        <v>87</v>
      </c>
      <c r="B74" s="58">
        <v>3.38</v>
      </c>
      <c r="C74" s="58">
        <v>3.45</v>
      </c>
      <c r="D74" s="58">
        <v>3.46</v>
      </c>
      <c r="E74" s="31">
        <f t="shared" ref="E74:E90" si="15">SUM(B74:D74)</f>
        <v>10.29</v>
      </c>
      <c r="F74" s="31">
        <f t="shared" ref="F74:F87" si="16">E74/3</f>
        <v>3.4299999999999997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42">
        <f>SUM(F82:F90)/9</f>
        <v>3.5022222222222221</v>
      </c>
      <c r="Q74" s="49">
        <f>RANK(P74,P$73:P$74,0)</f>
        <v>1</v>
      </c>
      <c r="R74" s="41"/>
      <c r="S74" s="41"/>
    </row>
    <row r="75" spans="1:19" x14ac:dyDescent="0.25">
      <c r="A75" s="32" t="s">
        <v>88</v>
      </c>
      <c r="B75" s="58">
        <v>3.72</v>
      </c>
      <c r="C75" s="58">
        <v>3.68</v>
      </c>
      <c r="D75" s="58">
        <v>3.69</v>
      </c>
      <c r="E75" s="31">
        <f t="shared" si="15"/>
        <v>11.09</v>
      </c>
      <c r="F75" s="31">
        <f t="shared" si="16"/>
        <v>3.6966666666666668</v>
      </c>
      <c r="G75" s="31" t="s">
        <v>13</v>
      </c>
      <c r="H75" s="31">
        <f>B71-1</f>
        <v>2</v>
      </c>
      <c r="I75" s="31">
        <f>D94</f>
        <v>8.8444444443211978E-3</v>
      </c>
      <c r="J75" s="31">
        <f>I75/H75</f>
        <v>4.4222222221605989E-3</v>
      </c>
      <c r="K75" s="31">
        <f>J75/$J$16</f>
        <v>1.290605627067362</v>
      </c>
      <c r="L75" s="31">
        <f>FINV(0.05,H75,$H$16)</f>
        <v>3.275897990672394</v>
      </c>
      <c r="M75" s="31" t="str">
        <f>IF(K75&gt;=L75, "S", "NS")</f>
        <v>NS</v>
      </c>
      <c r="N75" s="39"/>
      <c r="O75" s="30" t="s">
        <v>14</v>
      </c>
      <c r="P75" s="42">
        <f>SQRT(J80/(3*9))</f>
        <v>1.0055522454503047E-2</v>
      </c>
      <c r="R75" s="41"/>
      <c r="S75" s="41"/>
    </row>
    <row r="76" spans="1:19" x14ac:dyDescent="0.25">
      <c r="A76" s="32" t="s">
        <v>89</v>
      </c>
      <c r="B76" s="58">
        <v>3.35</v>
      </c>
      <c r="C76" s="58">
        <v>3.24</v>
      </c>
      <c r="D76" s="58">
        <v>3.26</v>
      </c>
      <c r="E76" s="31">
        <f t="shared" si="15"/>
        <v>9.85</v>
      </c>
      <c r="F76" s="31">
        <f t="shared" si="16"/>
        <v>3.2833333333333332</v>
      </c>
      <c r="G76" s="31" t="s">
        <v>15</v>
      </c>
      <c r="H76" s="31">
        <f>D70-1</f>
        <v>17</v>
      </c>
      <c r="I76" s="31">
        <f>B95</f>
        <v>2.9298666666663848</v>
      </c>
      <c r="J76" s="31">
        <f t="shared" ref="J76:J80" si="17">I76/H76</f>
        <v>0.17234509803919912</v>
      </c>
      <c r="K76" s="31">
        <f>J76/$J$16</f>
        <v>50.298140200243594</v>
      </c>
      <c r="L76" s="31">
        <f>FINV(0.05,H76,$H$16)</f>
        <v>1.9332068318040869</v>
      </c>
      <c r="M76" s="43" t="str">
        <f t="shared" ref="M76" si="18">IF(K76&gt;=L76, "S", "NS")</f>
        <v>S</v>
      </c>
      <c r="N76" s="30" t="s">
        <v>113</v>
      </c>
      <c r="O76" s="30" t="s">
        <v>16</v>
      </c>
      <c r="P76" s="42">
        <f>SQRT((2*J80)/(3*9))*L81</f>
        <v>2.8899850546184554E-2</v>
      </c>
      <c r="R76" s="41"/>
      <c r="S76" s="41"/>
    </row>
    <row r="77" spans="1:19" x14ac:dyDescent="0.25">
      <c r="A77" s="32" t="s">
        <v>90</v>
      </c>
      <c r="B77" s="58">
        <v>3.68</v>
      </c>
      <c r="C77" s="58">
        <v>3.58</v>
      </c>
      <c r="D77" s="58">
        <v>3.69</v>
      </c>
      <c r="E77" s="31">
        <f t="shared" si="15"/>
        <v>10.95</v>
      </c>
      <c r="F77" s="31">
        <f t="shared" si="16"/>
        <v>3.65</v>
      </c>
      <c r="G77" s="31" t="s">
        <v>108</v>
      </c>
      <c r="H77" s="31">
        <f>B69-1</f>
        <v>1</v>
      </c>
      <c r="I77" s="31">
        <f>(SUM(E73:E81)^2+SUM(E82:E90)^2)/27-B93</f>
        <v>4.1666666666401397E-2</v>
      </c>
      <c r="J77" s="31">
        <f t="shared" si="17"/>
        <v>4.1666666666401397E-2</v>
      </c>
      <c r="K77" s="31">
        <f>J77/$J$16</f>
        <v>12.160228898339792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42">
        <f>(F73+F82)/2</f>
        <v>3.081666666666667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91</v>
      </c>
      <c r="B78" s="58">
        <v>3.81</v>
      </c>
      <c r="C78" s="58">
        <v>3.72</v>
      </c>
      <c r="D78" s="58">
        <v>3.78</v>
      </c>
      <c r="E78" s="31">
        <f t="shared" si="15"/>
        <v>11.31</v>
      </c>
      <c r="F78" s="31">
        <f t="shared" si="16"/>
        <v>3.77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2956.1958499999992</v>
      </c>
      <c r="J78" s="31">
        <f t="shared" si="17"/>
        <v>369.52448124999989</v>
      </c>
      <c r="K78" s="31">
        <f>J78/$J$16</f>
        <v>107844.05461365305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42">
        <f t="shared" ref="P78:P85" si="19">(F74+F83)/2</f>
        <v>3.4733333333333336</v>
      </c>
      <c r="Q78" s="49">
        <f t="shared" ref="Q78:Q84" si="20">RANK(P78,P$77:P$85,0)</f>
        <v>5</v>
      </c>
      <c r="R78" s="53">
        <v>5</v>
      </c>
      <c r="S78" s="41"/>
    </row>
    <row r="79" spans="1:19" x14ac:dyDescent="0.25">
      <c r="A79" s="32" t="s">
        <v>92</v>
      </c>
      <c r="B79" s="58">
        <v>3.36</v>
      </c>
      <c r="C79" s="58">
        <v>3.31</v>
      </c>
      <c r="D79" s="58">
        <v>3.32</v>
      </c>
      <c r="E79" s="31">
        <f t="shared" si="15"/>
        <v>9.99</v>
      </c>
      <c r="F79" s="31">
        <f t="shared" si="16"/>
        <v>3.33</v>
      </c>
      <c r="G79" s="26" t="s">
        <v>110</v>
      </c>
      <c r="H79" s="31">
        <f>H77*H78</f>
        <v>8</v>
      </c>
      <c r="I79" s="31">
        <f>I76-(I77+I78)</f>
        <v>-2953.3076499999993</v>
      </c>
      <c r="J79" s="31">
        <f t="shared" si="17"/>
        <v>-369.16345624999991</v>
      </c>
      <c r="K79" s="44">
        <f>J79/$J$16</f>
        <v>-107738.69109433983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42">
        <f t="shared" si="19"/>
        <v>3.7383333333333333</v>
      </c>
      <c r="Q79" s="49">
        <f t="shared" si="20"/>
        <v>2</v>
      </c>
      <c r="R79" s="53">
        <v>2</v>
      </c>
      <c r="S79" s="41"/>
    </row>
    <row r="80" spans="1:19" x14ac:dyDescent="0.25">
      <c r="A80" s="32" t="s">
        <v>93</v>
      </c>
      <c r="B80" s="58">
        <v>3.53</v>
      </c>
      <c r="C80" s="58">
        <v>3.51</v>
      </c>
      <c r="D80" s="58">
        <v>3.59</v>
      </c>
      <c r="E80" s="31">
        <f t="shared" si="15"/>
        <v>10.629999999999999</v>
      </c>
      <c r="F80" s="31">
        <f t="shared" si="16"/>
        <v>3.543333333333333</v>
      </c>
      <c r="G80" s="45" t="s">
        <v>23</v>
      </c>
      <c r="H80" s="31">
        <f>((B71-1)*(B69*B70-1))</f>
        <v>34</v>
      </c>
      <c r="I80" s="31">
        <f>D95</f>
        <v>9.2822222222707751E-2</v>
      </c>
      <c r="J80" s="31">
        <f t="shared" si="17"/>
        <v>2.7300653594914044E-3</v>
      </c>
      <c r="O80" s="33">
        <v>4</v>
      </c>
      <c r="P80" s="42">
        <f t="shared" si="19"/>
        <v>3.3016666666666667</v>
      </c>
      <c r="Q80" s="49">
        <f t="shared" si="20"/>
        <v>7</v>
      </c>
      <c r="R80" s="53">
        <v>7</v>
      </c>
      <c r="S80" s="41"/>
    </row>
    <row r="81" spans="1:18" x14ac:dyDescent="0.25">
      <c r="A81" s="32" t="s">
        <v>94</v>
      </c>
      <c r="B81" s="58">
        <v>3.26</v>
      </c>
      <c r="C81" s="58">
        <v>3.28</v>
      </c>
      <c r="D81" s="58">
        <v>3.24</v>
      </c>
      <c r="E81" s="31">
        <f t="shared" si="15"/>
        <v>9.7799999999999994</v>
      </c>
      <c r="F81" s="31">
        <f t="shared" si="16"/>
        <v>3.26</v>
      </c>
      <c r="G81" s="44" t="s">
        <v>4</v>
      </c>
      <c r="H81" s="31">
        <f>SUM(H75:H80)-H76</f>
        <v>53</v>
      </c>
      <c r="I81" s="31">
        <f>B94</f>
        <v>3.0315333333334138</v>
      </c>
      <c r="K81" s="31" t="s">
        <v>111</v>
      </c>
      <c r="L81" s="41">
        <f>TINV(0.05,34)</f>
        <v>2.0322445093177191</v>
      </c>
      <c r="O81" s="33">
        <v>5</v>
      </c>
      <c r="P81" s="42">
        <f t="shared" si="19"/>
        <v>3.6816666666666666</v>
      </c>
      <c r="Q81" s="49">
        <f t="shared" si="20"/>
        <v>3</v>
      </c>
      <c r="R81" s="52">
        <v>3</v>
      </c>
    </row>
    <row r="82" spans="1:18" x14ac:dyDescent="0.25">
      <c r="A82" s="32" t="s">
        <v>95</v>
      </c>
      <c r="B82" s="58">
        <v>3.16</v>
      </c>
      <c r="C82" s="58">
        <v>3.18</v>
      </c>
      <c r="D82" s="58">
        <v>2.98</v>
      </c>
      <c r="E82" s="31">
        <f t="shared" si="15"/>
        <v>9.32</v>
      </c>
      <c r="F82" s="31">
        <f t="shared" si="16"/>
        <v>3.1066666666666669</v>
      </c>
      <c r="G82" s="34" t="s">
        <v>14</v>
      </c>
      <c r="H82" s="31">
        <f>SQRT(J80/3)</f>
        <v>3.0166567363509141E-2</v>
      </c>
      <c r="O82" s="33">
        <v>6</v>
      </c>
      <c r="P82" s="42">
        <f t="shared" si="19"/>
        <v>3.8116666666666665</v>
      </c>
      <c r="Q82" s="49">
        <f t="shared" si="20"/>
        <v>1</v>
      </c>
      <c r="R82" s="53">
        <v>1</v>
      </c>
    </row>
    <row r="83" spans="1:18" x14ac:dyDescent="0.25">
      <c r="A83" s="32" t="s">
        <v>96</v>
      </c>
      <c r="B83" s="58">
        <v>3.5</v>
      </c>
      <c r="C83" s="58">
        <v>3.49</v>
      </c>
      <c r="D83" s="58">
        <v>3.56</v>
      </c>
      <c r="E83" s="31">
        <f t="shared" si="15"/>
        <v>10.55</v>
      </c>
      <c r="F83" s="31">
        <f t="shared" si="16"/>
        <v>3.5166666666666671</v>
      </c>
      <c r="G83" s="34" t="s">
        <v>16</v>
      </c>
      <c r="H83" s="31">
        <f>(SQRT((2*J80)/3))*L81</f>
        <v>8.6699551638553682E-2</v>
      </c>
      <c r="O83" s="33">
        <v>7</v>
      </c>
      <c r="P83" s="42">
        <f t="shared" si="19"/>
        <v>3.3416666666666668</v>
      </c>
      <c r="Q83" s="49">
        <f t="shared" si="20"/>
        <v>6</v>
      </c>
      <c r="R83" s="53">
        <v>6</v>
      </c>
    </row>
    <row r="84" spans="1:18" x14ac:dyDescent="0.25">
      <c r="A84" s="32" t="s">
        <v>97</v>
      </c>
      <c r="B84" s="58">
        <v>3.78</v>
      </c>
      <c r="C84" s="58">
        <v>3.8</v>
      </c>
      <c r="D84" s="58">
        <v>3.76</v>
      </c>
      <c r="E84" s="31">
        <f t="shared" si="15"/>
        <v>11.34</v>
      </c>
      <c r="F84" s="31">
        <f t="shared" si="16"/>
        <v>3.78</v>
      </c>
      <c r="G84" s="34" t="s">
        <v>29</v>
      </c>
      <c r="H84" s="31">
        <f>((SQRT(J80))/F91)*100</f>
        <v>1.5038383315379678</v>
      </c>
      <c r="O84" s="33">
        <v>8</v>
      </c>
      <c r="P84" s="42">
        <f t="shared" si="19"/>
        <v>3.5716666666666663</v>
      </c>
      <c r="Q84" s="49">
        <f t="shared" si="20"/>
        <v>4</v>
      </c>
      <c r="R84" s="52">
        <v>4</v>
      </c>
    </row>
    <row r="85" spans="1:18" x14ac:dyDescent="0.25">
      <c r="A85" s="32" t="s">
        <v>98</v>
      </c>
      <c r="B85" s="58">
        <v>3.36</v>
      </c>
      <c r="C85" s="58">
        <v>3.28</v>
      </c>
      <c r="D85" s="58">
        <v>3.32</v>
      </c>
      <c r="E85" s="31">
        <f t="shared" si="15"/>
        <v>9.9599999999999991</v>
      </c>
      <c r="F85" s="31">
        <f t="shared" si="16"/>
        <v>3.32</v>
      </c>
      <c r="O85" s="33">
        <v>9</v>
      </c>
      <c r="P85" s="42">
        <f t="shared" si="19"/>
        <v>3.2683333333333335</v>
      </c>
      <c r="Q85" s="49">
        <f>RANK(P85,P$77:P$85,0)</f>
        <v>8</v>
      </c>
      <c r="R85" s="53">
        <v>8</v>
      </c>
    </row>
    <row r="86" spans="1:18" x14ac:dyDescent="0.25">
      <c r="A86" s="32" t="s">
        <v>99</v>
      </c>
      <c r="B86" s="58">
        <v>3.7</v>
      </c>
      <c r="C86" s="58">
        <v>3.68</v>
      </c>
      <c r="D86" s="58">
        <v>3.76</v>
      </c>
      <c r="E86" s="31">
        <f t="shared" si="15"/>
        <v>11.14</v>
      </c>
      <c r="F86" s="31">
        <f t="shared" si="16"/>
        <v>3.7133333333333334</v>
      </c>
      <c r="O86" s="30" t="s">
        <v>14</v>
      </c>
      <c r="P86" s="42">
        <f>SQRT(J80/(3*2))</f>
        <v>2.1330984347858104E-2</v>
      </c>
      <c r="Q86" s="49"/>
    </row>
    <row r="87" spans="1:18" x14ac:dyDescent="0.25">
      <c r="A87" s="32" t="s">
        <v>100</v>
      </c>
      <c r="B87" s="58">
        <v>3.84</v>
      </c>
      <c r="C87" s="58">
        <v>3.92</v>
      </c>
      <c r="D87" s="58">
        <v>3.8</v>
      </c>
      <c r="E87" s="31">
        <f t="shared" si="15"/>
        <v>11.559999999999999</v>
      </c>
      <c r="F87" s="31">
        <f t="shared" si="16"/>
        <v>3.8533333333333331</v>
      </c>
      <c r="N87" s="30" t="s">
        <v>109</v>
      </c>
      <c r="O87" s="30" t="s">
        <v>16</v>
      </c>
      <c r="P87" s="42">
        <f>SQRT((2*J80)/(3*2))*L81</f>
        <v>6.1305840889454552E-2</v>
      </c>
      <c r="Q87" s="49"/>
    </row>
    <row r="88" spans="1:18" x14ac:dyDescent="0.25">
      <c r="A88" s="32" t="s">
        <v>101</v>
      </c>
      <c r="B88" s="58">
        <v>3.41</v>
      </c>
      <c r="C88" s="58">
        <v>3.31</v>
      </c>
      <c r="D88" s="58">
        <v>3.34</v>
      </c>
      <c r="E88" s="31">
        <f t="shared" si="15"/>
        <v>10.06</v>
      </c>
      <c r="F88" s="31">
        <f>E88/3</f>
        <v>3.3533333333333335</v>
      </c>
      <c r="Q88" s="49"/>
    </row>
    <row r="89" spans="1:18" x14ac:dyDescent="0.25">
      <c r="A89" s="32" t="s">
        <v>102</v>
      </c>
      <c r="B89" s="58">
        <v>3.63</v>
      </c>
      <c r="C89" s="58">
        <v>3.59</v>
      </c>
      <c r="D89" s="58">
        <v>3.58</v>
      </c>
      <c r="E89" s="31">
        <f t="shared" si="15"/>
        <v>10.8</v>
      </c>
      <c r="F89" s="31">
        <f t="shared" ref="F89:F90" si="22">E89/3</f>
        <v>3.6</v>
      </c>
    </row>
    <row r="90" spans="1:18" x14ac:dyDescent="0.25">
      <c r="A90" s="32" t="s">
        <v>103</v>
      </c>
      <c r="B90" s="58">
        <v>3.24</v>
      </c>
      <c r="C90" s="58">
        <v>3.28</v>
      </c>
      <c r="D90" s="58">
        <v>3.31</v>
      </c>
      <c r="E90" s="31">
        <f t="shared" si="15"/>
        <v>9.83</v>
      </c>
      <c r="F90" s="31">
        <f t="shared" si="22"/>
        <v>3.2766666666666668</v>
      </c>
    </row>
    <row r="91" spans="1:18" x14ac:dyDescent="0.25">
      <c r="A91" s="30" t="s">
        <v>4</v>
      </c>
      <c r="B91" s="31">
        <f>SUM(B73:B90)</f>
        <v>62.800000000000011</v>
      </c>
      <c r="C91" s="31">
        <f t="shared" ref="C91:D91" si="23">SUM(C73:C90)</f>
        <v>62.240000000000009</v>
      </c>
      <c r="D91" s="31">
        <f t="shared" si="23"/>
        <v>62.58</v>
      </c>
      <c r="E91" s="31">
        <f>SUM(E73:E90)</f>
        <v>187.62000000000003</v>
      </c>
      <c r="F91" s="31">
        <f>AVERAGE(B73:D90)</f>
        <v>3.4744444444444444</v>
      </c>
    </row>
    <row r="92" spans="1:18" x14ac:dyDescent="0.25">
      <c r="A92" s="30" t="s">
        <v>5</v>
      </c>
      <c r="B92" s="31">
        <f>B91/18</f>
        <v>3.4888888888888894</v>
      </c>
      <c r="C92" s="31">
        <f>C91/18</f>
        <v>3.4577777777777783</v>
      </c>
      <c r="D92" s="31">
        <f>D91/18</f>
        <v>3.4766666666666666</v>
      </c>
    </row>
    <row r="93" spans="1:18" x14ac:dyDescent="0.25">
      <c r="A93" s="30" t="s">
        <v>26</v>
      </c>
      <c r="B93" s="31">
        <f>(E91*E91)/54</f>
        <v>651.8752666666669</v>
      </c>
      <c r="C93" s="31"/>
      <c r="D93" s="31"/>
    </row>
    <row r="94" spans="1:18" x14ac:dyDescent="0.25">
      <c r="A94" s="30" t="s">
        <v>27</v>
      </c>
      <c r="B94" s="31">
        <f>SUMSQ(B73:D90)-B93</f>
        <v>3.0315333333334138</v>
      </c>
      <c r="C94" s="30" t="s">
        <v>28</v>
      </c>
      <c r="D94" s="31">
        <f>(SUMSQ(B91:D91)/18)-B93</f>
        <v>8.8444444443211978E-3</v>
      </c>
    </row>
    <row r="95" spans="1:18" x14ac:dyDescent="0.25">
      <c r="A95" s="30" t="s">
        <v>30</v>
      </c>
      <c r="B95" s="31">
        <f>(SUMSQ(E73:E90)/3)-B93</f>
        <v>2.9298666666663848</v>
      </c>
      <c r="C95" s="30" t="s">
        <v>31</v>
      </c>
      <c r="D95" s="31">
        <f>B94-B95-D94</f>
        <v>9.2822222222707751E-2</v>
      </c>
    </row>
    <row r="99" spans="1:18" x14ac:dyDescent="0.25">
      <c r="C99" s="54">
        <v>2019</v>
      </c>
    </row>
    <row r="100" spans="1:18" x14ac:dyDescent="0.25">
      <c r="C100" s="48" t="s">
        <v>119</v>
      </c>
    </row>
    <row r="102" spans="1:18" x14ac:dyDescent="0.25">
      <c r="A102" s="36" t="s">
        <v>104</v>
      </c>
      <c r="B102" s="38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6" t="s">
        <v>105</v>
      </c>
      <c r="B103" s="38">
        <v>9</v>
      </c>
      <c r="C103" s="39" t="s">
        <v>107</v>
      </c>
      <c r="D103" s="39">
        <v>18</v>
      </c>
      <c r="E103" s="39"/>
      <c r="F103" s="39"/>
      <c r="G103" s="39"/>
      <c r="H103" s="39"/>
      <c r="I103" s="39"/>
      <c r="J103" s="39"/>
      <c r="K103" s="39"/>
      <c r="L103" s="39"/>
      <c r="M103" s="35"/>
      <c r="N103" s="35"/>
      <c r="O103" s="39"/>
      <c r="P103" s="39"/>
    </row>
    <row r="104" spans="1:18" x14ac:dyDescent="0.25">
      <c r="A104" s="37" t="s">
        <v>106</v>
      </c>
      <c r="B104" s="40">
        <v>3</v>
      </c>
    </row>
    <row r="105" spans="1:18" x14ac:dyDescent="0.25">
      <c r="A105" s="46" t="s">
        <v>0</v>
      </c>
      <c r="B105" s="30" t="s">
        <v>1</v>
      </c>
      <c r="C105" s="30" t="s">
        <v>2</v>
      </c>
      <c r="D105" s="30" t="s">
        <v>3</v>
      </c>
      <c r="E105" s="30" t="s">
        <v>4</v>
      </c>
      <c r="F105" s="30" t="s">
        <v>5</v>
      </c>
      <c r="O105" s="41" t="s">
        <v>7</v>
      </c>
    </row>
    <row r="106" spans="1:18" x14ac:dyDescent="0.25">
      <c r="A106" s="32" t="s">
        <v>86</v>
      </c>
      <c r="B106" s="65">
        <v>1.74</v>
      </c>
      <c r="C106" s="65">
        <v>1.88</v>
      </c>
      <c r="D106" s="65">
        <v>1.8</v>
      </c>
      <c r="E106" s="31">
        <f t="shared" ref="E106:E123" si="24">SUM(B106:D106)</f>
        <v>5.42</v>
      </c>
      <c r="F106" s="31">
        <f>E106/3</f>
        <v>1.8066666666666666</v>
      </c>
      <c r="H106" s="47"/>
      <c r="I106" s="47"/>
      <c r="J106" s="47" t="s">
        <v>6</v>
      </c>
      <c r="K106" s="47"/>
      <c r="L106" s="47"/>
      <c r="M106" s="47"/>
      <c r="N106" s="47"/>
      <c r="O106" s="33">
        <v>1</v>
      </c>
      <c r="P106" s="42">
        <f>SUM(F106:F114)/9</f>
        <v>2.2518518518518515</v>
      </c>
      <c r="Q106" s="49">
        <f>RANK(P106,P$106:P$107,0)</f>
        <v>2</v>
      </c>
      <c r="R106" s="54">
        <v>1</v>
      </c>
    </row>
    <row r="107" spans="1:18" x14ac:dyDescent="0.25">
      <c r="A107" s="32" t="s">
        <v>87</v>
      </c>
      <c r="B107" s="65">
        <v>2.1</v>
      </c>
      <c r="C107" s="65">
        <v>2.17</v>
      </c>
      <c r="D107" s="65">
        <v>2.25</v>
      </c>
      <c r="E107" s="31">
        <f t="shared" si="24"/>
        <v>6.52</v>
      </c>
      <c r="F107" s="31">
        <f t="shared" ref="F107:F120" si="25">E107/3</f>
        <v>2.1733333333333333</v>
      </c>
      <c r="G107" s="31"/>
      <c r="H107" s="30" t="s">
        <v>8</v>
      </c>
      <c r="I107" s="30" t="s">
        <v>9</v>
      </c>
      <c r="J107" s="30" t="s">
        <v>10</v>
      </c>
      <c r="K107" s="30" t="s">
        <v>11</v>
      </c>
      <c r="L107" s="30" t="s">
        <v>12</v>
      </c>
      <c r="M107" s="30" t="s">
        <v>112</v>
      </c>
      <c r="N107" s="50"/>
      <c r="O107" s="33">
        <v>2</v>
      </c>
      <c r="P107" s="42">
        <f>SUM(F115:F123)/9</f>
        <v>2.2907407407407407</v>
      </c>
      <c r="Q107" s="49">
        <f>RANK(P107,P$106:P$107,0)</f>
        <v>1</v>
      </c>
      <c r="R107" s="54">
        <v>2</v>
      </c>
    </row>
    <row r="108" spans="1:18" x14ac:dyDescent="0.25">
      <c r="A108" s="32" t="s">
        <v>88</v>
      </c>
      <c r="B108" s="65">
        <v>2.44</v>
      </c>
      <c r="C108" s="65">
        <v>2.64</v>
      </c>
      <c r="D108" s="65">
        <v>2.52</v>
      </c>
      <c r="E108" s="31">
        <f t="shared" si="24"/>
        <v>7.6</v>
      </c>
      <c r="F108" s="31">
        <f t="shared" si="25"/>
        <v>2.5333333333333332</v>
      </c>
      <c r="G108" s="31" t="s">
        <v>13</v>
      </c>
      <c r="H108" s="31">
        <f>B104-1</f>
        <v>2</v>
      </c>
      <c r="I108" s="31">
        <f>D127</f>
        <v>4.5814814816367289E-3</v>
      </c>
      <c r="J108" s="31">
        <f>I108/H108</f>
        <v>2.2907407408183644E-3</v>
      </c>
      <c r="K108" s="31">
        <f>J108/$J$16</f>
        <v>0.66854236212674689</v>
      </c>
      <c r="L108" s="31">
        <f>FINV(0.05,H108,$H$16)</f>
        <v>3.275897990672394</v>
      </c>
      <c r="M108" s="31" t="str">
        <f>IF(K108&gt;=L108, "S", "NS")</f>
        <v>NS</v>
      </c>
      <c r="N108" s="39"/>
      <c r="O108" s="30" t="s">
        <v>14</v>
      </c>
      <c r="P108" s="42">
        <f>SQRT(J113/(3*9))</f>
        <v>9.6235526325004588E-3</v>
      </c>
    </row>
    <row r="109" spans="1:18" x14ac:dyDescent="0.25">
      <c r="A109" s="32" t="s">
        <v>89</v>
      </c>
      <c r="B109" s="65">
        <v>2.09</v>
      </c>
      <c r="C109" s="65">
        <v>2.15</v>
      </c>
      <c r="D109" s="65">
        <v>2.1</v>
      </c>
      <c r="E109" s="31">
        <f t="shared" si="24"/>
        <v>6.34</v>
      </c>
      <c r="F109" s="31">
        <f t="shared" si="25"/>
        <v>2.1133333333333333</v>
      </c>
      <c r="G109" s="31" t="s">
        <v>15</v>
      </c>
      <c r="H109" s="31">
        <f>D103-1</f>
        <v>17</v>
      </c>
      <c r="I109" s="31">
        <f>B128</f>
        <v>3.121009259259381</v>
      </c>
      <c r="J109" s="31">
        <f t="shared" ref="J109:J113" si="26">I109/H109</f>
        <v>0.18358877995643419</v>
      </c>
      <c r="K109" s="31">
        <f>J109/$J$16</f>
        <v>53.579558098833338</v>
      </c>
      <c r="L109" s="31">
        <f>FINV(0.05,H109,$H$16)</f>
        <v>1.9332068318040869</v>
      </c>
      <c r="M109" s="43" t="str">
        <f t="shared" ref="M109" si="27">IF(K109&gt;=L109, "S", "NS")</f>
        <v>S</v>
      </c>
      <c r="N109" s="30" t="s">
        <v>113</v>
      </c>
      <c r="O109" s="30" t="s">
        <v>16</v>
      </c>
      <c r="P109" s="42">
        <f>SQRT((2*J113)/(3*9))*L114</f>
        <v>2.7658357291823994E-2</v>
      </c>
    </row>
    <row r="110" spans="1:18" x14ac:dyDescent="0.25">
      <c r="A110" s="32" t="s">
        <v>90</v>
      </c>
      <c r="B110" s="65">
        <v>2.4500000000000002</v>
      </c>
      <c r="C110" s="65">
        <v>2.54</v>
      </c>
      <c r="D110" s="65">
        <v>2.46</v>
      </c>
      <c r="E110" s="31">
        <f t="shared" si="24"/>
        <v>7.45</v>
      </c>
      <c r="F110" s="31">
        <f t="shared" si="25"/>
        <v>2.4833333333333334</v>
      </c>
      <c r="G110" s="31" t="s">
        <v>108</v>
      </c>
      <c r="H110" s="31">
        <f>B102-1</f>
        <v>1</v>
      </c>
      <c r="I110" s="31">
        <f>(SUM(E106:E114)^2+SUM(E115:E123)^2)/27-B126</f>
        <v>2.0416666666733363E-2</v>
      </c>
      <c r="J110" s="31">
        <f t="shared" si="26"/>
        <v>2.0416666666733363E-2</v>
      </c>
      <c r="K110" s="31">
        <f>J110/$J$16</f>
        <v>5.958512160243898</v>
      </c>
      <c r="L110" s="31">
        <f>FINV(0.05,H110,$H$16)</f>
        <v>4.1300177456520188</v>
      </c>
      <c r="M110" s="31" t="str">
        <f>IF(K110&gt;=L110, "S", "NS")</f>
        <v>S</v>
      </c>
      <c r="N110" s="39"/>
      <c r="O110" s="33">
        <v>1</v>
      </c>
      <c r="P110" s="42">
        <f>(F106+F115)/2</f>
        <v>1.8333333333333335</v>
      </c>
      <c r="Q110" s="49">
        <f>RANK(P110,P$110:P$118,0)</f>
        <v>9</v>
      </c>
      <c r="R110" s="52">
        <v>9</v>
      </c>
    </row>
    <row r="111" spans="1:18" x14ac:dyDescent="0.25">
      <c r="A111" s="32" t="s">
        <v>91</v>
      </c>
      <c r="B111" s="65">
        <v>2.64</v>
      </c>
      <c r="C111" s="65">
        <v>2.5499999999999998</v>
      </c>
      <c r="D111" s="65">
        <v>2.69</v>
      </c>
      <c r="E111" s="31">
        <f t="shared" si="24"/>
        <v>7.879999999999999</v>
      </c>
      <c r="F111" s="31">
        <f t="shared" si="25"/>
        <v>2.6266666666666665</v>
      </c>
      <c r="G111" s="31" t="s">
        <v>109</v>
      </c>
      <c r="H111" s="31">
        <f>B103-1</f>
        <v>8</v>
      </c>
      <c r="I111" s="31">
        <f>((E106+E115)^2+(E107+E116)^2+(E108+E117)^2+(E109+E118)^2+(E110+E119)^2+(E111+E120)^2+(E112+E121)^2+(E113+E122)^2+(E114+E123)^2/6)-B126</f>
        <v>1276.9988759259259</v>
      </c>
      <c r="J111" s="31">
        <f t="shared" si="26"/>
        <v>159.62485949074073</v>
      </c>
      <c r="K111" s="31">
        <f>J111/$J$16</f>
        <v>46585.795902842212</v>
      </c>
      <c r="L111" s="31">
        <f>FINV(0.05,H111,$H$16)</f>
        <v>2.2253399674380931</v>
      </c>
      <c r="M111" s="31" t="str">
        <f>IF(K111&gt;=L111, "S", "NS")</f>
        <v>S</v>
      </c>
      <c r="N111" s="39"/>
      <c r="O111" s="33">
        <v>2</v>
      </c>
      <c r="P111" s="42">
        <f t="shared" ref="P111:P118" si="28">(F107+F116)/2</f>
        <v>2.2133333333333334</v>
      </c>
      <c r="Q111" s="49">
        <f t="shared" ref="Q111:Q118" si="29">RANK(P111,P$110:P$118,0)</f>
        <v>5</v>
      </c>
      <c r="R111" s="53">
        <v>5</v>
      </c>
    </row>
    <row r="112" spans="1:18" x14ac:dyDescent="0.25">
      <c r="A112" s="32" t="s">
        <v>92</v>
      </c>
      <c r="B112" s="65">
        <v>2.1</v>
      </c>
      <c r="C112" s="65">
        <v>2.16</v>
      </c>
      <c r="D112" s="65">
        <v>2.15</v>
      </c>
      <c r="E112" s="31">
        <f t="shared" si="24"/>
        <v>6.41</v>
      </c>
      <c r="F112" s="31">
        <f t="shared" si="25"/>
        <v>2.1366666666666667</v>
      </c>
      <c r="G112" s="26" t="s">
        <v>110</v>
      </c>
      <c r="H112" s="31">
        <f>H110*H111</f>
        <v>8</v>
      </c>
      <c r="I112" s="31">
        <f>I109-(I110+I111)</f>
        <v>-1273.8982833333332</v>
      </c>
      <c r="J112" s="31">
        <f t="shared" si="26"/>
        <v>-159.23728541666665</v>
      </c>
      <c r="K112" s="44">
        <f>J112/$J$16</f>
        <v>-46472.684155902221</v>
      </c>
      <c r="L112" s="31">
        <f>FINV(0.05,H112,$H$16)</f>
        <v>2.2253399674380931</v>
      </c>
      <c r="M112" s="31" t="str">
        <f t="shared" ref="M112" si="30">IF(K112&gt;=L112, "S", "NS")</f>
        <v>NS</v>
      </c>
      <c r="N112" s="39"/>
      <c r="O112" s="33">
        <v>3</v>
      </c>
      <c r="P112" s="42">
        <f t="shared" si="28"/>
        <v>2.5466666666666669</v>
      </c>
      <c r="Q112" s="49">
        <f t="shared" si="29"/>
        <v>2</v>
      </c>
      <c r="R112" s="53">
        <v>2</v>
      </c>
    </row>
    <row r="113" spans="1:18" x14ac:dyDescent="0.25">
      <c r="A113" s="32" t="s">
        <v>93</v>
      </c>
      <c r="B113" s="65">
        <v>2.2999999999999998</v>
      </c>
      <c r="C113" s="65">
        <v>2.31</v>
      </c>
      <c r="D113" s="65">
        <v>2.29</v>
      </c>
      <c r="E113" s="31">
        <f t="shared" si="24"/>
        <v>6.8999999999999995</v>
      </c>
      <c r="F113" s="31">
        <f t="shared" si="25"/>
        <v>2.2999999999999998</v>
      </c>
      <c r="G113" s="45" t="s">
        <v>23</v>
      </c>
      <c r="H113" s="31">
        <f>((B104-1)*(B102*B103-1))</f>
        <v>34</v>
      </c>
      <c r="I113" s="31">
        <f>D128</f>
        <v>8.5018518518324981E-2</v>
      </c>
      <c r="J113" s="31">
        <f t="shared" si="26"/>
        <v>2.5005446623036758E-3</v>
      </c>
      <c r="O113" s="33">
        <v>4</v>
      </c>
      <c r="P113" s="42">
        <f t="shared" si="28"/>
        <v>2.1333333333333333</v>
      </c>
      <c r="Q113" s="49">
        <f t="shared" si="29"/>
        <v>7</v>
      </c>
      <c r="R113" s="53">
        <v>7</v>
      </c>
    </row>
    <row r="114" spans="1:18" x14ac:dyDescent="0.25">
      <c r="A114" s="32" t="s">
        <v>94</v>
      </c>
      <c r="B114" s="65">
        <v>2.08</v>
      </c>
      <c r="C114" s="65">
        <v>2.11</v>
      </c>
      <c r="D114" s="65">
        <v>2.09</v>
      </c>
      <c r="E114" s="31">
        <f t="shared" si="24"/>
        <v>6.2799999999999994</v>
      </c>
      <c r="F114" s="31">
        <f t="shared" si="25"/>
        <v>2.0933333333333333</v>
      </c>
      <c r="G114" s="44" t="s">
        <v>4</v>
      </c>
      <c r="H114" s="31">
        <f>SUM(H108:H113)-H109</f>
        <v>53</v>
      </c>
      <c r="I114" s="31">
        <f>B127</f>
        <v>3.2106092592593427</v>
      </c>
      <c r="K114" s="31" t="s">
        <v>111</v>
      </c>
      <c r="L114" s="41">
        <f>TINV(0.05,34)</f>
        <v>2.0322445093177191</v>
      </c>
      <c r="O114" s="33">
        <v>5</v>
      </c>
      <c r="P114" s="42">
        <f t="shared" si="28"/>
        <v>2.4666666666666668</v>
      </c>
      <c r="Q114" s="49">
        <f t="shared" si="29"/>
        <v>3</v>
      </c>
      <c r="R114" s="52">
        <v>3</v>
      </c>
    </row>
    <row r="115" spans="1:18" x14ac:dyDescent="0.25">
      <c r="A115" s="32" t="s">
        <v>95</v>
      </c>
      <c r="B115" s="65">
        <v>1.91</v>
      </c>
      <c r="C115" s="65">
        <v>1.82</v>
      </c>
      <c r="D115" s="65">
        <v>1.85</v>
      </c>
      <c r="E115" s="31">
        <f t="shared" si="24"/>
        <v>5.58</v>
      </c>
      <c r="F115" s="31">
        <f t="shared" si="25"/>
        <v>1.86</v>
      </c>
      <c r="G115" s="34" t="s">
        <v>14</v>
      </c>
      <c r="H115" s="31">
        <f>SQRT(J113/3)</f>
        <v>2.8870657897501376E-2</v>
      </c>
      <c r="O115" s="33">
        <v>6</v>
      </c>
      <c r="P115" s="42">
        <f t="shared" si="28"/>
        <v>2.6550000000000002</v>
      </c>
      <c r="Q115" s="49">
        <f t="shared" si="29"/>
        <v>1</v>
      </c>
      <c r="R115" s="53">
        <v>1</v>
      </c>
    </row>
    <row r="116" spans="1:18" x14ac:dyDescent="0.25">
      <c r="A116" s="32" t="s">
        <v>96</v>
      </c>
      <c r="B116" s="65">
        <v>2.2799999999999998</v>
      </c>
      <c r="C116" s="65">
        <v>2.2599999999999998</v>
      </c>
      <c r="D116" s="65">
        <v>2.2200000000000002</v>
      </c>
      <c r="E116" s="31">
        <f t="shared" si="24"/>
        <v>6.76</v>
      </c>
      <c r="F116" s="31">
        <f t="shared" si="25"/>
        <v>2.2533333333333334</v>
      </c>
      <c r="G116" s="34" t="s">
        <v>16</v>
      </c>
      <c r="H116" s="31">
        <f>(SQRT((2*J113)/3))*L114</f>
        <v>8.2975071875471984E-2</v>
      </c>
      <c r="O116" s="33">
        <v>7</v>
      </c>
      <c r="P116" s="42">
        <f t="shared" si="28"/>
        <v>2.1566666666666672</v>
      </c>
      <c r="Q116" s="49">
        <f t="shared" si="29"/>
        <v>6</v>
      </c>
      <c r="R116" s="53">
        <v>6</v>
      </c>
    </row>
    <row r="117" spans="1:18" x14ac:dyDescent="0.25">
      <c r="A117" s="32" t="s">
        <v>97</v>
      </c>
      <c r="B117" s="65">
        <v>2.61</v>
      </c>
      <c r="C117" s="65">
        <v>2.48</v>
      </c>
      <c r="D117" s="65">
        <v>2.59</v>
      </c>
      <c r="E117" s="31">
        <f t="shared" si="24"/>
        <v>7.68</v>
      </c>
      <c r="F117" s="31">
        <f t="shared" si="25"/>
        <v>2.56</v>
      </c>
      <c r="G117" s="34" t="s">
        <v>29</v>
      </c>
      <c r="H117" s="31">
        <f>((SQRT(J113))/F124)*100</f>
        <v>2.2016258472289043</v>
      </c>
      <c r="O117" s="33">
        <v>8</v>
      </c>
      <c r="P117" s="42">
        <f t="shared" si="28"/>
        <v>2.3199999999999998</v>
      </c>
      <c r="Q117" s="49">
        <f t="shared" si="29"/>
        <v>4</v>
      </c>
      <c r="R117" s="52">
        <v>4</v>
      </c>
    </row>
    <row r="118" spans="1:18" x14ac:dyDescent="0.25">
      <c r="A118" s="32" t="s">
        <v>98</v>
      </c>
      <c r="B118" s="65">
        <v>2.15</v>
      </c>
      <c r="C118" s="65">
        <v>2.1800000000000002</v>
      </c>
      <c r="D118" s="65">
        <v>2.13</v>
      </c>
      <c r="E118" s="31">
        <f t="shared" si="24"/>
        <v>6.46</v>
      </c>
      <c r="F118" s="31">
        <f t="shared" si="25"/>
        <v>2.1533333333333333</v>
      </c>
      <c r="O118" s="33">
        <v>9</v>
      </c>
      <c r="P118" s="42">
        <f t="shared" si="28"/>
        <v>2.1166666666666667</v>
      </c>
      <c r="Q118" s="49">
        <f t="shared" si="29"/>
        <v>8</v>
      </c>
      <c r="R118" s="53">
        <v>8</v>
      </c>
    </row>
    <row r="119" spans="1:18" x14ac:dyDescent="0.25">
      <c r="A119" s="32" t="s">
        <v>99</v>
      </c>
      <c r="B119" s="65">
        <v>2.44</v>
      </c>
      <c r="C119" s="65">
        <v>2.4500000000000002</v>
      </c>
      <c r="D119" s="65">
        <v>2.46</v>
      </c>
      <c r="E119" s="31">
        <f t="shared" si="24"/>
        <v>7.3500000000000005</v>
      </c>
      <c r="F119" s="31">
        <f t="shared" si="25"/>
        <v>2.4500000000000002</v>
      </c>
      <c r="O119" s="30" t="s">
        <v>14</v>
      </c>
      <c r="P119" s="42">
        <f>SQRT(J113/(3*2))</f>
        <v>2.0414637976640178E-2</v>
      </c>
      <c r="Q119" s="49"/>
    </row>
    <row r="120" spans="1:18" x14ac:dyDescent="0.25">
      <c r="A120" s="32" t="s">
        <v>100</v>
      </c>
      <c r="B120" s="65">
        <v>2.71</v>
      </c>
      <c r="C120" s="65">
        <v>2.66</v>
      </c>
      <c r="D120" s="65">
        <v>2.68</v>
      </c>
      <c r="E120" s="31">
        <f t="shared" si="24"/>
        <v>8.0500000000000007</v>
      </c>
      <c r="F120" s="31">
        <f t="shared" si="25"/>
        <v>2.6833333333333336</v>
      </c>
      <c r="N120" s="30" t="s">
        <v>109</v>
      </c>
      <c r="O120" s="30" t="s">
        <v>16</v>
      </c>
      <c r="P120" s="42">
        <f>SQRT((2*J113)/(3*2))*L114</f>
        <v>5.8672235992587418E-2</v>
      </c>
      <c r="Q120" s="49"/>
    </row>
    <row r="121" spans="1:18" x14ac:dyDescent="0.25">
      <c r="A121" s="32" t="s">
        <v>101</v>
      </c>
      <c r="B121" s="65">
        <v>2.16</v>
      </c>
      <c r="C121" s="65">
        <v>2.15</v>
      </c>
      <c r="D121" s="65">
        <v>2.2200000000000002</v>
      </c>
      <c r="E121" s="31">
        <f t="shared" si="24"/>
        <v>6.5300000000000011</v>
      </c>
      <c r="F121" s="31">
        <f>E121/3</f>
        <v>2.1766666666666672</v>
      </c>
      <c r="Q121" s="49"/>
    </row>
    <row r="122" spans="1:18" x14ac:dyDescent="0.25">
      <c r="A122" s="32" t="s">
        <v>102</v>
      </c>
      <c r="B122" s="65">
        <v>2.2999999999999998</v>
      </c>
      <c r="C122" s="65">
        <v>2.4</v>
      </c>
      <c r="D122" s="65">
        <v>2.3199999999999998</v>
      </c>
      <c r="E122" s="31">
        <f t="shared" si="24"/>
        <v>7.02</v>
      </c>
      <c r="F122" s="31">
        <f t="shared" ref="F122:F123" si="31">E122/3</f>
        <v>2.34</v>
      </c>
    </row>
    <row r="123" spans="1:18" x14ac:dyDescent="0.25">
      <c r="A123" s="32" t="s">
        <v>103</v>
      </c>
      <c r="B123" s="65">
        <v>2.15</v>
      </c>
      <c r="C123" s="65">
        <v>2.11</v>
      </c>
      <c r="D123" s="65">
        <v>2.16</v>
      </c>
      <c r="E123" s="31">
        <f t="shared" si="24"/>
        <v>6.42</v>
      </c>
      <c r="F123" s="31">
        <f t="shared" si="31"/>
        <v>2.14</v>
      </c>
    </row>
    <row r="124" spans="1:18" x14ac:dyDescent="0.25">
      <c r="A124" s="30" t="s">
        <v>4</v>
      </c>
      <c r="B124" s="31">
        <f>SUM(B106:B123)</f>
        <v>40.65</v>
      </c>
      <c r="C124" s="31">
        <f>SUM(C106:C123)</f>
        <v>41.019999999999996</v>
      </c>
      <c r="D124" s="31">
        <f>SUM(D106:D123)</f>
        <v>40.980000000000004</v>
      </c>
      <c r="E124" s="31">
        <f>SUM(E106:E123)</f>
        <v>122.64999999999998</v>
      </c>
      <c r="F124" s="31">
        <f>AVERAGE(B106:D123)</f>
        <v>2.2712962962962959</v>
      </c>
    </row>
    <row r="125" spans="1:18" x14ac:dyDescent="0.25">
      <c r="A125" s="30" t="s">
        <v>5</v>
      </c>
      <c r="B125" s="31">
        <f>B124/18</f>
        <v>2.2583333333333333</v>
      </c>
      <c r="C125" s="31">
        <f>C124/18</f>
        <v>2.2788888888888885</v>
      </c>
      <c r="D125" s="31">
        <f>D124/18</f>
        <v>2.2766666666666668</v>
      </c>
    </row>
    <row r="126" spans="1:18" x14ac:dyDescent="0.25">
      <c r="A126" s="30" t="s">
        <v>26</v>
      </c>
      <c r="B126" s="31">
        <f>(E124*E124)/54</f>
        <v>278.5744907407406</v>
      </c>
      <c r="C126" s="31"/>
      <c r="D126" s="31"/>
    </row>
    <row r="127" spans="1:18" x14ac:dyDescent="0.25">
      <c r="A127" s="30" t="s">
        <v>27</v>
      </c>
      <c r="B127" s="31">
        <f>SUMSQ(B106:D123)-B126</f>
        <v>3.2106092592593427</v>
      </c>
      <c r="C127" s="30" t="s">
        <v>28</v>
      </c>
      <c r="D127" s="31">
        <f>(SUMSQ(B124:D124)/18)-B126</f>
        <v>4.5814814816367289E-3</v>
      </c>
    </row>
    <row r="128" spans="1:18" x14ac:dyDescent="0.25">
      <c r="A128" s="30" t="s">
        <v>30</v>
      </c>
      <c r="B128" s="31">
        <f>(SUMSQ(E106:E123)/3)-B126</f>
        <v>3.121009259259381</v>
      </c>
      <c r="C128" s="30" t="s">
        <v>31</v>
      </c>
      <c r="D128" s="31">
        <f>B127-B128-D127</f>
        <v>8.5018518518324981E-2</v>
      </c>
    </row>
    <row r="132" spans="1:18" x14ac:dyDescent="0.25">
      <c r="C132" s="48" t="s">
        <v>114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  <c r="R137" s="41"/>
    </row>
    <row r="138" spans="1:18" x14ac:dyDescent="0.25">
      <c r="A138" s="32" t="s">
        <v>86</v>
      </c>
      <c r="B138" s="65">
        <v>3.14</v>
      </c>
      <c r="C138" s="65">
        <v>3.19</v>
      </c>
      <c r="D138" s="65">
        <v>3.16</v>
      </c>
      <c r="E138" s="31">
        <f>SUM(B138:D138)</f>
        <v>9.49</v>
      </c>
      <c r="F138" s="31">
        <f>E138/3</f>
        <v>3.1633333333333336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42">
        <f>SUM(F138:F146)/9</f>
        <v>3.5196296296296294</v>
      </c>
      <c r="Q138" s="49">
        <f>RANK(P138,P$138:P$139,0)</f>
        <v>2</v>
      </c>
      <c r="R138" s="54">
        <v>1</v>
      </c>
    </row>
    <row r="139" spans="1:18" x14ac:dyDescent="0.25">
      <c r="A139" s="32" t="s">
        <v>87</v>
      </c>
      <c r="B139" s="65">
        <v>3.48</v>
      </c>
      <c r="C139" s="65">
        <v>3.57</v>
      </c>
      <c r="D139" s="65">
        <v>3.46</v>
      </c>
      <c r="E139" s="31">
        <f t="shared" ref="E139:E155" si="32">SUM(B139:D139)</f>
        <v>10.51</v>
      </c>
      <c r="F139" s="31">
        <f t="shared" ref="F139:F152" si="33">E139/3</f>
        <v>3.5033333333333334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42">
        <f>SUM(F147:F155)/9</f>
        <v>3.5762962962962965</v>
      </c>
      <c r="Q139" s="49">
        <f>RANK(P139,P$138:P$139,0)</f>
        <v>1</v>
      </c>
      <c r="R139" s="54">
        <v>2</v>
      </c>
    </row>
    <row r="140" spans="1:18" x14ac:dyDescent="0.25">
      <c r="A140" s="32" t="s">
        <v>88</v>
      </c>
      <c r="B140" s="65">
        <v>3.76</v>
      </c>
      <c r="C140" s="65">
        <v>3.77</v>
      </c>
      <c r="D140" s="65">
        <v>3.83</v>
      </c>
      <c r="E140" s="31">
        <f t="shared" si="32"/>
        <v>11.36</v>
      </c>
      <c r="F140" s="31">
        <f t="shared" si="33"/>
        <v>3.7866666666666666</v>
      </c>
      <c r="G140" s="31" t="s">
        <v>13</v>
      </c>
      <c r="H140" s="31">
        <f>B136-1</f>
        <v>2</v>
      </c>
      <c r="I140" s="31">
        <f>D159</f>
        <v>3.8037037036247057E-3</v>
      </c>
      <c r="J140" s="31">
        <f>I140/H140</f>
        <v>1.9018518518123528E-3</v>
      </c>
      <c r="K140" s="31">
        <f>J140/$J$16</f>
        <v>0.55504689237400462</v>
      </c>
      <c r="L140" s="31">
        <f>FINV(0.05,H140,$H$16)</f>
        <v>3.275897990672394</v>
      </c>
      <c r="M140" s="31" t="str">
        <f>IF(K140&gt;=L140, "S", "NS")</f>
        <v>NS</v>
      </c>
      <c r="N140" s="39"/>
      <c r="O140" s="30" t="s">
        <v>14</v>
      </c>
      <c r="P140" s="42">
        <f>SQRT(J145/(3*9))</f>
        <v>7.7868501916691724E-3</v>
      </c>
      <c r="R140" s="41"/>
    </row>
    <row r="141" spans="1:18" x14ac:dyDescent="0.25">
      <c r="A141" s="32" t="s">
        <v>89</v>
      </c>
      <c r="B141" s="65">
        <v>3.38</v>
      </c>
      <c r="C141" s="65">
        <v>3.39</v>
      </c>
      <c r="D141" s="65">
        <v>3.35</v>
      </c>
      <c r="E141" s="31">
        <f t="shared" si="32"/>
        <v>10.119999999999999</v>
      </c>
      <c r="F141" s="31">
        <f t="shared" si="33"/>
        <v>3.3733333333333331</v>
      </c>
      <c r="G141" s="31" t="s">
        <v>15</v>
      </c>
      <c r="H141" s="31">
        <f>D135-1</f>
        <v>17</v>
      </c>
      <c r="I141" s="31">
        <f>B160</f>
        <v>2.5926092592593477</v>
      </c>
      <c r="J141" s="31">
        <f t="shared" ref="J141:J145" si="34">I141/H141</f>
        <v>0.15250642701525574</v>
      </c>
      <c r="K141" s="31">
        <f>J141/$J$16</f>
        <v>44.508313463646431</v>
      </c>
      <c r="L141" s="31">
        <f>FINV(0.05,H141,$H$16)</f>
        <v>1.9332068318040869</v>
      </c>
      <c r="M141" s="43" t="str">
        <f t="shared" ref="M141" si="35">IF(K141&gt;=L141, "S", "NS")</f>
        <v>S</v>
      </c>
      <c r="N141" s="30" t="s">
        <v>113</v>
      </c>
      <c r="O141" s="30" t="s">
        <v>16</v>
      </c>
      <c r="P141" s="42">
        <f>SQRT((2*J145)/(3*9))*L146</f>
        <v>2.2379623513643605E-2</v>
      </c>
      <c r="R141" s="41"/>
    </row>
    <row r="142" spans="1:18" x14ac:dyDescent="0.25">
      <c r="A142" s="32" t="s">
        <v>90</v>
      </c>
      <c r="B142" s="65">
        <v>3.71</v>
      </c>
      <c r="C142" s="65">
        <v>3.64</v>
      </c>
      <c r="D142" s="65">
        <v>3.75</v>
      </c>
      <c r="E142" s="31">
        <f t="shared" si="32"/>
        <v>11.1</v>
      </c>
      <c r="F142" s="31">
        <f t="shared" si="33"/>
        <v>3.6999999999999997</v>
      </c>
      <c r="G142" s="31" t="s">
        <v>108</v>
      </c>
      <c r="H142" s="31">
        <f>B134-1</f>
        <v>1</v>
      </c>
      <c r="I142" s="31">
        <f>(SUM(E138:E146)^2+SUM(E147:E155)^2)/27-B158</f>
        <v>4.3349999999804822E-2</v>
      </c>
      <c r="J142" s="31">
        <f t="shared" si="34"/>
        <v>4.3349999999804822E-2</v>
      </c>
      <c r="K142" s="31">
        <f>J142/$J$16</f>
        <v>12.651502145856304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42">
        <f>(F138+F147)/2</f>
        <v>3.1833333333333336</v>
      </c>
      <c r="Q142" s="49">
        <f>RANK(P142,P$142:P$150,0)</f>
        <v>9</v>
      </c>
      <c r="R142" s="52">
        <v>9</v>
      </c>
    </row>
    <row r="143" spans="1:18" x14ac:dyDescent="0.25">
      <c r="A143" s="32" t="s">
        <v>91</v>
      </c>
      <c r="B143" s="65">
        <v>3.85</v>
      </c>
      <c r="C143" s="65">
        <v>3.79</v>
      </c>
      <c r="D143" s="65">
        <v>3.82</v>
      </c>
      <c r="E143" s="31">
        <f t="shared" si="32"/>
        <v>11.46</v>
      </c>
      <c r="F143" s="31">
        <f t="shared" si="33"/>
        <v>3.8200000000000003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3073.3146759259257</v>
      </c>
      <c r="J143" s="31">
        <f t="shared" si="34"/>
        <v>384.16433449074071</v>
      </c>
      <c r="K143" s="31">
        <f>J143/$J$16</f>
        <v>112116.6298083725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42">
        <f t="shared" ref="P143:P150" si="36">(F139+F148)/2</f>
        <v>3.5350000000000001</v>
      </c>
      <c r="Q143" s="49">
        <f t="shared" ref="Q143:Q150" si="37">RANK(P143,P$142:P$150,0)</f>
        <v>5</v>
      </c>
      <c r="R143" s="53">
        <v>5</v>
      </c>
    </row>
    <row r="144" spans="1:18" x14ac:dyDescent="0.25">
      <c r="A144" s="32" t="s">
        <v>92</v>
      </c>
      <c r="B144" s="65">
        <v>3.38</v>
      </c>
      <c r="C144" s="65">
        <v>3.37</v>
      </c>
      <c r="D144" s="65">
        <v>3.44</v>
      </c>
      <c r="E144" s="31">
        <f t="shared" si="32"/>
        <v>10.19</v>
      </c>
      <c r="F144" s="31">
        <f t="shared" si="33"/>
        <v>3.3966666666666665</v>
      </c>
      <c r="G144" s="26" t="s">
        <v>110</v>
      </c>
      <c r="H144" s="31">
        <f>H142*H143</f>
        <v>8</v>
      </c>
      <c r="I144" s="31">
        <f>I141-(I142+I143)</f>
        <v>-3070.7654166666662</v>
      </c>
      <c r="J144" s="31">
        <f t="shared" si="34"/>
        <v>-383.84567708333327</v>
      </c>
      <c r="K144" s="44">
        <f>J144/$J$16</f>
        <v>-112023.63108003048</v>
      </c>
      <c r="L144" s="31">
        <f>FINV(0.05,H144,$H$16)</f>
        <v>2.2253399674380931</v>
      </c>
      <c r="M144" s="31" t="str">
        <f t="shared" ref="M144" si="38">IF(K144&gt;=L144, "S", "NS")</f>
        <v>NS</v>
      </c>
      <c r="N144" s="39"/>
      <c r="O144" s="33">
        <v>3</v>
      </c>
      <c r="P144" s="42">
        <f t="shared" si="36"/>
        <v>3.8116666666666665</v>
      </c>
      <c r="Q144" s="49">
        <f t="shared" si="37"/>
        <v>2</v>
      </c>
      <c r="R144" s="53">
        <v>2</v>
      </c>
    </row>
    <row r="145" spans="1:18" x14ac:dyDescent="0.25">
      <c r="A145" s="32" t="s">
        <v>93</v>
      </c>
      <c r="B145" s="65">
        <v>3.62</v>
      </c>
      <c r="C145" s="65">
        <v>3.49</v>
      </c>
      <c r="D145" s="65">
        <v>3.64</v>
      </c>
      <c r="E145" s="31">
        <f t="shared" si="32"/>
        <v>10.75</v>
      </c>
      <c r="F145" s="31">
        <f t="shared" si="33"/>
        <v>3.5833333333333335</v>
      </c>
      <c r="G145" s="45" t="s">
        <v>23</v>
      </c>
      <c r="H145" s="31">
        <f>((B136-1)*(B134*B135-1))</f>
        <v>34</v>
      </c>
      <c r="I145" s="31">
        <f>D160</f>
        <v>5.5662962963083373E-2</v>
      </c>
      <c r="J145" s="31">
        <f t="shared" si="34"/>
        <v>1.6371459695024521E-3</v>
      </c>
      <c r="O145" s="33">
        <v>4</v>
      </c>
      <c r="P145" s="42">
        <f t="shared" si="36"/>
        <v>3.3866666666666667</v>
      </c>
      <c r="Q145" s="49">
        <f t="shared" si="37"/>
        <v>7</v>
      </c>
      <c r="R145" s="53">
        <v>7</v>
      </c>
    </row>
    <row r="146" spans="1:18" x14ac:dyDescent="0.25">
      <c r="A146" s="32" t="s">
        <v>94</v>
      </c>
      <c r="B146" s="65">
        <v>3.36</v>
      </c>
      <c r="C146" s="65">
        <v>3.32</v>
      </c>
      <c r="D146" s="65">
        <v>3.37</v>
      </c>
      <c r="E146" s="31">
        <f t="shared" si="32"/>
        <v>10.050000000000001</v>
      </c>
      <c r="F146" s="31">
        <f t="shared" si="33"/>
        <v>3.35</v>
      </c>
      <c r="G146" s="44" t="s">
        <v>4</v>
      </c>
      <c r="H146" s="31">
        <f>SUM(H140:H145)-H141</f>
        <v>53</v>
      </c>
      <c r="I146" s="31">
        <f>B159</f>
        <v>2.6520759259260558</v>
      </c>
      <c r="K146" s="31" t="s">
        <v>111</v>
      </c>
      <c r="L146" s="41">
        <f>TINV(0.05,34)</f>
        <v>2.0322445093177191</v>
      </c>
      <c r="O146" s="33">
        <v>5</v>
      </c>
      <c r="P146" s="42">
        <f t="shared" si="36"/>
        <v>3.7333333333333334</v>
      </c>
      <c r="Q146" s="49">
        <f t="shared" si="37"/>
        <v>3</v>
      </c>
      <c r="R146" s="52">
        <v>3</v>
      </c>
    </row>
    <row r="147" spans="1:18" x14ac:dyDescent="0.25">
      <c r="A147" s="32" t="s">
        <v>95</v>
      </c>
      <c r="B147" s="65">
        <v>3.24</v>
      </c>
      <c r="C147" s="65">
        <v>3.22</v>
      </c>
      <c r="D147" s="65">
        <v>3.15</v>
      </c>
      <c r="E147" s="31">
        <f t="shared" si="32"/>
        <v>9.6100000000000012</v>
      </c>
      <c r="F147" s="31">
        <f t="shared" si="33"/>
        <v>3.2033333333333336</v>
      </c>
      <c r="G147" s="34" t="s">
        <v>14</v>
      </c>
      <c r="H147" s="31">
        <f>SQRT(J145/3)</f>
        <v>2.3360550575007515E-2</v>
      </c>
      <c r="O147" s="33">
        <v>6</v>
      </c>
      <c r="P147" s="42">
        <f t="shared" si="36"/>
        <v>3.8766666666666669</v>
      </c>
      <c r="Q147" s="49">
        <f t="shared" si="37"/>
        <v>1</v>
      </c>
      <c r="R147" s="53">
        <v>1</v>
      </c>
    </row>
    <row r="148" spans="1:18" x14ac:dyDescent="0.25">
      <c r="A148" s="32" t="s">
        <v>96</v>
      </c>
      <c r="B148" s="65">
        <v>3.54</v>
      </c>
      <c r="C148" s="65">
        <v>3.59</v>
      </c>
      <c r="D148" s="65">
        <v>3.57</v>
      </c>
      <c r="E148" s="31">
        <f t="shared" si="32"/>
        <v>10.7</v>
      </c>
      <c r="F148" s="31">
        <f t="shared" si="33"/>
        <v>3.5666666666666664</v>
      </c>
      <c r="G148" s="34" t="s">
        <v>16</v>
      </c>
      <c r="H148" s="31">
        <f>(SQRT((2*J145)/3))*L146</f>
        <v>6.7138870540930817E-2</v>
      </c>
      <c r="O148" s="33">
        <v>7</v>
      </c>
      <c r="P148" s="42">
        <f t="shared" si="36"/>
        <v>3.42</v>
      </c>
      <c r="Q148" s="49">
        <f t="shared" si="37"/>
        <v>6</v>
      </c>
      <c r="R148" s="53">
        <v>6</v>
      </c>
    </row>
    <row r="149" spans="1:18" x14ac:dyDescent="0.25">
      <c r="A149" s="32" t="s">
        <v>97</v>
      </c>
      <c r="B149" s="65">
        <v>3.84</v>
      </c>
      <c r="C149" s="65">
        <v>3.79</v>
      </c>
      <c r="D149" s="65">
        <v>3.88</v>
      </c>
      <c r="E149" s="31">
        <f t="shared" si="32"/>
        <v>11.51</v>
      </c>
      <c r="F149" s="31">
        <f t="shared" si="33"/>
        <v>3.8366666666666664</v>
      </c>
      <c r="G149" s="34" t="s">
        <v>29</v>
      </c>
      <c r="H149" s="31">
        <f>((SQRT(J145))/F156)*100</f>
        <v>1.1404194719920406</v>
      </c>
      <c r="O149" s="33">
        <v>8</v>
      </c>
      <c r="P149" s="42">
        <f t="shared" si="36"/>
        <v>3.6150000000000002</v>
      </c>
      <c r="Q149" s="49">
        <f t="shared" si="37"/>
        <v>4</v>
      </c>
      <c r="R149" s="52">
        <v>4</v>
      </c>
    </row>
    <row r="150" spans="1:18" x14ac:dyDescent="0.25">
      <c r="A150" s="32" t="s">
        <v>98</v>
      </c>
      <c r="B150" s="65">
        <v>3.41</v>
      </c>
      <c r="C150" s="65">
        <v>3.38</v>
      </c>
      <c r="D150" s="65">
        <v>3.41</v>
      </c>
      <c r="E150" s="31">
        <f t="shared" si="32"/>
        <v>10.199999999999999</v>
      </c>
      <c r="F150" s="31">
        <f t="shared" si="33"/>
        <v>3.4</v>
      </c>
      <c r="O150" s="33">
        <v>9</v>
      </c>
      <c r="P150" s="42">
        <f t="shared" si="36"/>
        <v>3.37</v>
      </c>
      <c r="Q150" s="49">
        <f t="shared" si="37"/>
        <v>8</v>
      </c>
      <c r="R150" s="53">
        <v>8</v>
      </c>
    </row>
    <row r="151" spans="1:18" x14ac:dyDescent="0.25">
      <c r="A151" s="32" t="s">
        <v>99</v>
      </c>
      <c r="B151" s="65">
        <v>3.76</v>
      </c>
      <c r="C151" s="65">
        <v>3.75</v>
      </c>
      <c r="D151" s="65">
        <v>3.79</v>
      </c>
      <c r="E151" s="31">
        <f t="shared" si="32"/>
        <v>11.3</v>
      </c>
      <c r="F151" s="31">
        <f t="shared" si="33"/>
        <v>3.7666666666666671</v>
      </c>
      <c r="O151" s="30" t="s">
        <v>14</v>
      </c>
      <c r="P151" s="42">
        <f>SQRT(J145/(3*2))</f>
        <v>1.6518403723839118E-2</v>
      </c>
      <c r="Q151" s="49"/>
    </row>
    <row r="152" spans="1:18" x14ac:dyDescent="0.25">
      <c r="A152" s="32" t="s">
        <v>100</v>
      </c>
      <c r="B152" s="65">
        <v>3.94</v>
      </c>
      <c r="C152" s="65">
        <v>3.97</v>
      </c>
      <c r="D152" s="65">
        <v>3.89</v>
      </c>
      <c r="E152" s="31">
        <f t="shared" si="32"/>
        <v>11.8</v>
      </c>
      <c r="F152" s="31">
        <f t="shared" si="33"/>
        <v>3.9333333333333336</v>
      </c>
      <c r="N152" s="30" t="s">
        <v>109</v>
      </c>
      <c r="O152" s="30" t="s">
        <v>16</v>
      </c>
      <c r="P152" s="42">
        <f>SQRT((2*J145)/(3*2))*L146</f>
        <v>4.7474350640697903E-2</v>
      </c>
      <c r="Q152" s="49"/>
    </row>
    <row r="153" spans="1:18" x14ac:dyDescent="0.25">
      <c r="A153" s="32" t="s">
        <v>101</v>
      </c>
      <c r="B153" s="65">
        <v>3.39</v>
      </c>
      <c r="C153" s="65">
        <v>3.46</v>
      </c>
      <c r="D153" s="65">
        <v>3.48</v>
      </c>
      <c r="E153" s="31">
        <f t="shared" si="32"/>
        <v>10.33</v>
      </c>
      <c r="F153" s="31">
        <f>E153/3</f>
        <v>3.4433333333333334</v>
      </c>
      <c r="Q153" s="49"/>
    </row>
    <row r="154" spans="1:18" x14ac:dyDescent="0.25">
      <c r="A154" s="32" t="s">
        <v>102</v>
      </c>
      <c r="B154" s="65">
        <v>3.68</v>
      </c>
      <c r="C154" s="65">
        <v>3.61</v>
      </c>
      <c r="D154" s="65">
        <v>3.65</v>
      </c>
      <c r="E154" s="31">
        <f t="shared" si="32"/>
        <v>10.94</v>
      </c>
      <c r="F154" s="31">
        <f t="shared" ref="F154:F155" si="39">E154/3</f>
        <v>3.6466666666666665</v>
      </c>
    </row>
    <row r="155" spans="1:18" x14ac:dyDescent="0.25">
      <c r="A155" s="32" t="s">
        <v>103</v>
      </c>
      <c r="B155" s="65">
        <v>3.38</v>
      </c>
      <c r="C155" s="65">
        <v>3.38</v>
      </c>
      <c r="D155" s="65">
        <v>3.41</v>
      </c>
      <c r="E155" s="31">
        <f t="shared" si="32"/>
        <v>10.17</v>
      </c>
      <c r="F155" s="31">
        <f t="shared" si="39"/>
        <v>3.39</v>
      </c>
    </row>
    <row r="156" spans="1:18" x14ac:dyDescent="0.25">
      <c r="A156" s="30" t="s">
        <v>4</v>
      </c>
      <c r="B156" s="31">
        <f>SUM(B138:B155)</f>
        <v>63.859999999999992</v>
      </c>
      <c r="C156" s="31">
        <f t="shared" ref="C156:D156" si="40">SUM(C138:C155)</f>
        <v>63.680000000000007</v>
      </c>
      <c r="D156" s="31">
        <f t="shared" si="40"/>
        <v>64.05</v>
      </c>
      <c r="E156" s="31">
        <f>SUM(E138:E155)</f>
        <v>191.59</v>
      </c>
      <c r="F156" s="31">
        <f>AVERAGE(B138:D155)</f>
        <v>3.5479629629629623</v>
      </c>
    </row>
    <row r="157" spans="1:18" x14ac:dyDescent="0.25">
      <c r="A157" s="30" t="s">
        <v>5</v>
      </c>
      <c r="B157" s="31">
        <f>B156/18</f>
        <v>3.5477777777777773</v>
      </c>
      <c r="C157" s="31">
        <f>C156/18</f>
        <v>3.5377777777777784</v>
      </c>
      <c r="D157" s="31">
        <f>D156/18</f>
        <v>3.5583333333333331</v>
      </c>
    </row>
    <row r="158" spans="1:18" x14ac:dyDescent="0.25">
      <c r="A158" s="30" t="s">
        <v>26</v>
      </c>
      <c r="B158" s="31">
        <f>(E156*E156)/54</f>
        <v>679.75422407407405</v>
      </c>
      <c r="C158" s="31"/>
      <c r="D158" s="31"/>
    </row>
    <row r="159" spans="1:18" x14ac:dyDescent="0.25">
      <c r="A159" s="30" t="s">
        <v>27</v>
      </c>
      <c r="B159" s="31">
        <f>SUMSQ(B138:D155)-B158</f>
        <v>2.6520759259260558</v>
      </c>
      <c r="C159" s="30" t="s">
        <v>28</v>
      </c>
      <c r="D159" s="31">
        <f>(SUMSQ(B156:D156)/18)-B158</f>
        <v>3.8037037036247057E-3</v>
      </c>
    </row>
    <row r="160" spans="1:18" x14ac:dyDescent="0.25">
      <c r="A160" s="30" t="s">
        <v>30</v>
      </c>
      <c r="B160" s="31">
        <f>(SUMSQ(E138:E155)/3)-B158</f>
        <v>2.5926092592593477</v>
      </c>
      <c r="C160" s="30" t="s">
        <v>31</v>
      </c>
      <c r="D160" s="31">
        <f>B159-B160-D159</f>
        <v>5.5662962963083373E-2</v>
      </c>
    </row>
    <row r="164" spans="1:18" x14ac:dyDescent="0.25">
      <c r="C164" s="48" t="s">
        <v>115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J167" s="39"/>
      <c r="K167" s="39"/>
      <c r="L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58">
        <v>3.07</v>
      </c>
      <c r="C170" s="58">
        <v>2.94</v>
      </c>
      <c r="D170" s="58">
        <v>3.11</v>
      </c>
      <c r="E170" s="31">
        <f>SUM(B170:D170)</f>
        <v>9.1199999999999992</v>
      </c>
      <c r="F170" s="31">
        <f>E170/3</f>
        <v>3.0399999999999996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42">
        <f>SUM(F170:F178)/9</f>
        <v>3.4162962962962959</v>
      </c>
      <c r="Q170" s="49">
        <f>RANK(P170,P$170:P$171,0)</f>
        <v>2</v>
      </c>
      <c r="R170" s="41"/>
    </row>
    <row r="171" spans="1:18" x14ac:dyDescent="0.25">
      <c r="A171" s="32" t="s">
        <v>87</v>
      </c>
      <c r="B171" s="58">
        <v>3.32</v>
      </c>
      <c r="C171" s="58">
        <v>3.41</v>
      </c>
      <c r="D171" s="58">
        <v>3.42</v>
      </c>
      <c r="E171" s="31">
        <f t="shared" ref="E171:E187" si="41">SUM(B171:D171)</f>
        <v>10.15</v>
      </c>
      <c r="F171" s="31">
        <f t="shared" ref="F171:F184" si="42">E171/3</f>
        <v>3.3833333333333333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42">
        <f>SUM(F179:F187)/9</f>
        <v>3.4881481481481473</v>
      </c>
      <c r="Q171" s="49">
        <f>RANK(P171,P$170:P$171,0)</f>
        <v>1</v>
      </c>
      <c r="R171" s="41"/>
    </row>
    <row r="172" spans="1:18" x14ac:dyDescent="0.25">
      <c r="A172" s="32" t="s">
        <v>88</v>
      </c>
      <c r="B172" s="58">
        <v>3.69</v>
      </c>
      <c r="C172" s="58">
        <v>3.65</v>
      </c>
      <c r="D172" s="58">
        <v>3.66</v>
      </c>
      <c r="E172" s="31">
        <f t="shared" si="41"/>
        <v>11</v>
      </c>
      <c r="F172" s="31">
        <f t="shared" si="42"/>
        <v>3.6666666666666665</v>
      </c>
      <c r="G172" s="31" t="s">
        <v>13</v>
      </c>
      <c r="H172" s="31">
        <f>B168-1</f>
        <v>2</v>
      </c>
      <c r="I172" s="31">
        <f>D191</f>
        <v>1.6899999999736792E-2</v>
      </c>
      <c r="J172" s="31">
        <f>I172/H172</f>
        <v>8.4499999998683961E-3</v>
      </c>
      <c r="K172" s="31">
        <f>J172/$J$16</f>
        <v>2.4660944205606024</v>
      </c>
      <c r="L172" s="31">
        <f>FINV(0.05,H172,$H$16)</f>
        <v>3.275897990672394</v>
      </c>
      <c r="M172" s="31" t="str">
        <f>IF(K172&gt;=L172, "S", "NS")</f>
        <v>NS</v>
      </c>
      <c r="N172" s="39"/>
      <c r="O172" s="30" t="s">
        <v>14</v>
      </c>
      <c r="P172" s="42">
        <f>SQRT(J177/(3*9))</f>
        <v>1.1274936053330867E-2</v>
      </c>
      <c r="R172" s="41"/>
    </row>
    <row r="173" spans="1:18" x14ac:dyDescent="0.25">
      <c r="A173" s="32" t="s">
        <v>89</v>
      </c>
      <c r="B173" s="58">
        <v>3.31</v>
      </c>
      <c r="C173" s="58">
        <v>3.22</v>
      </c>
      <c r="D173" s="58">
        <v>3.19</v>
      </c>
      <c r="E173" s="31">
        <f t="shared" si="41"/>
        <v>9.7200000000000006</v>
      </c>
      <c r="F173" s="31">
        <f t="shared" si="42"/>
        <v>3.24</v>
      </c>
      <c r="G173" s="31" t="s">
        <v>15</v>
      </c>
      <c r="H173" s="31">
        <f>D167-1</f>
        <v>17</v>
      </c>
      <c r="I173" s="31">
        <f>B192</f>
        <v>2.9173333333330902</v>
      </c>
      <c r="J173" s="31">
        <f t="shared" ref="J173:J177" si="43">I173/H173</f>
        <v>0.17160784313724059</v>
      </c>
      <c r="K173" s="31">
        <f>J173/$J$16</f>
        <v>50.082975679500493</v>
      </c>
      <c r="L173" s="31">
        <f>FINV(0.05,H173,$H$16)</f>
        <v>1.9332068318040869</v>
      </c>
      <c r="M173" s="43" t="str">
        <f t="shared" ref="M173" si="44">IF(K173&gt;=L173, "S", "NS")</f>
        <v>S</v>
      </c>
      <c r="N173" s="30" t="s">
        <v>113</v>
      </c>
      <c r="O173" s="30" t="s">
        <v>16</v>
      </c>
      <c r="P173" s="42">
        <f>SQRT((2*J177)/(3*9))*L178</f>
        <v>3.2404479064449911E-2</v>
      </c>
      <c r="R173" s="41"/>
    </row>
    <row r="174" spans="1:18" x14ac:dyDescent="0.25">
      <c r="A174" s="32" t="s">
        <v>90</v>
      </c>
      <c r="B174" s="58">
        <v>3.65</v>
      </c>
      <c r="C174" s="58">
        <v>3.54</v>
      </c>
      <c r="D174" s="58">
        <v>3.66</v>
      </c>
      <c r="E174" s="31">
        <f t="shared" si="41"/>
        <v>10.85</v>
      </c>
      <c r="F174" s="31">
        <f t="shared" si="42"/>
        <v>3.6166666666666667</v>
      </c>
      <c r="G174" s="31" t="s">
        <v>108</v>
      </c>
      <c r="H174" s="31">
        <f>B166-1</f>
        <v>1</v>
      </c>
      <c r="I174" s="31">
        <f>(SUM(E170:E178)^2+SUM(E179:E187)^2)/27-B190</f>
        <v>6.9696296296228866E-2</v>
      </c>
      <c r="J174" s="31">
        <f t="shared" si="43"/>
        <v>6.9696296296228866E-2</v>
      </c>
      <c r="K174" s="31">
        <f>J174/$J$16</f>
        <v>20.340549992017213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42">
        <f>(F170+F179)/2</f>
        <v>3.0699999999999994</v>
      </c>
      <c r="Q174" s="49">
        <f>RANK(P174,P$174:P$182,0)</f>
        <v>9</v>
      </c>
      <c r="R174" s="52">
        <v>9</v>
      </c>
    </row>
    <row r="175" spans="1:18" x14ac:dyDescent="0.25">
      <c r="A175" s="32" t="s">
        <v>91</v>
      </c>
      <c r="B175" s="58">
        <v>3.79</v>
      </c>
      <c r="C175" s="58">
        <v>3.69</v>
      </c>
      <c r="D175" s="58">
        <v>3.75</v>
      </c>
      <c r="E175" s="31">
        <f t="shared" si="41"/>
        <v>11.23</v>
      </c>
      <c r="F175" s="31">
        <f t="shared" si="42"/>
        <v>3.7433333333333336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2918.9323833333342</v>
      </c>
      <c r="J175" s="31">
        <f t="shared" si="43"/>
        <v>364.86654791666678</v>
      </c>
      <c r="K175" s="31">
        <f>J175/$J$16</f>
        <v>106484.65776100749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42">
        <f t="shared" ref="P175:P182" si="45">(F171+F180)/2</f>
        <v>3.4433333333333334</v>
      </c>
      <c r="Q175" s="49">
        <f t="shared" ref="Q175:Q182" si="46">RANK(P175,P$174:P$182,0)</f>
        <v>5</v>
      </c>
      <c r="R175" s="53">
        <v>5</v>
      </c>
    </row>
    <row r="176" spans="1:18" x14ac:dyDescent="0.25">
      <c r="A176" s="32" t="s">
        <v>92</v>
      </c>
      <c r="B176" s="58">
        <v>3.35</v>
      </c>
      <c r="C176" s="58">
        <v>3.29</v>
      </c>
      <c r="D176" s="58">
        <v>3.31</v>
      </c>
      <c r="E176" s="31">
        <f t="shared" si="41"/>
        <v>9.9500000000000011</v>
      </c>
      <c r="F176" s="31">
        <f t="shared" si="42"/>
        <v>3.3166666666666669</v>
      </c>
      <c r="G176" s="26" t="s">
        <v>110</v>
      </c>
      <c r="H176" s="31">
        <f>H174*H175</f>
        <v>8</v>
      </c>
      <c r="I176" s="31">
        <f>I173-(I174+I175)</f>
        <v>-2916.0847462962975</v>
      </c>
      <c r="J176" s="31">
        <f t="shared" si="43"/>
        <v>-364.51059328703718</v>
      </c>
      <c r="K176" s="44">
        <f>J176/$J$16</f>
        <v>-106380.77400643757</v>
      </c>
      <c r="L176" s="31">
        <f>FINV(0.05,H176,$H$16)</f>
        <v>2.2253399674380931</v>
      </c>
      <c r="M176" s="31" t="str">
        <f t="shared" ref="M176" si="47">IF(K176&gt;=L176, "S", "NS")</f>
        <v>NS</v>
      </c>
      <c r="N176" s="39"/>
      <c r="O176" s="33">
        <v>3</v>
      </c>
      <c r="P176" s="42">
        <f t="shared" si="45"/>
        <v>3.7183333333333333</v>
      </c>
      <c r="Q176" s="49">
        <f t="shared" si="46"/>
        <v>2</v>
      </c>
      <c r="R176" s="53">
        <v>2</v>
      </c>
    </row>
    <row r="177" spans="1:18" x14ac:dyDescent="0.25">
      <c r="A177" s="32" t="s">
        <v>93</v>
      </c>
      <c r="B177" s="58">
        <v>3.51</v>
      </c>
      <c r="C177" s="58">
        <v>3.49</v>
      </c>
      <c r="D177" s="58">
        <v>3.54</v>
      </c>
      <c r="E177" s="31">
        <f t="shared" si="41"/>
        <v>10.54</v>
      </c>
      <c r="F177" s="31">
        <f t="shared" si="42"/>
        <v>3.5133333333333332</v>
      </c>
      <c r="G177" s="45" t="s">
        <v>23</v>
      </c>
      <c r="H177" s="31">
        <f>((B168-1)*(B166*B167-1))</f>
        <v>34</v>
      </c>
      <c r="I177" s="31">
        <f>D192</f>
        <v>0.11670000000015079</v>
      </c>
      <c r="J177" s="31">
        <f t="shared" si="43"/>
        <v>3.4323529411809058E-3</v>
      </c>
      <c r="O177" s="33">
        <v>4</v>
      </c>
      <c r="P177" s="42">
        <f t="shared" si="45"/>
        <v>3.2716666666666665</v>
      </c>
      <c r="Q177" s="49">
        <f t="shared" si="46"/>
        <v>7</v>
      </c>
      <c r="R177" s="53">
        <v>7</v>
      </c>
    </row>
    <row r="178" spans="1:18" x14ac:dyDescent="0.25">
      <c r="A178" s="32" t="s">
        <v>94</v>
      </c>
      <c r="B178" s="58">
        <v>3.21</v>
      </c>
      <c r="C178" s="58">
        <v>3.25</v>
      </c>
      <c r="D178" s="58">
        <v>3.22</v>
      </c>
      <c r="E178" s="31">
        <f t="shared" si="41"/>
        <v>9.68</v>
      </c>
      <c r="F178" s="31">
        <f t="shared" si="42"/>
        <v>3.2266666666666666</v>
      </c>
      <c r="G178" s="44" t="s">
        <v>4</v>
      </c>
      <c r="H178" s="31">
        <f>SUM(H172:H177)-H173</f>
        <v>53</v>
      </c>
      <c r="I178" s="31">
        <f>B191</f>
        <v>3.0509333333329778</v>
      </c>
      <c r="K178" s="31" t="s">
        <v>111</v>
      </c>
      <c r="L178" s="41">
        <f>TINV(0.05,34)</f>
        <v>2.0322445093177191</v>
      </c>
      <c r="O178" s="33">
        <v>5</v>
      </c>
      <c r="P178" s="42">
        <f t="shared" si="45"/>
        <v>3.6566666666666667</v>
      </c>
      <c r="Q178" s="49">
        <f t="shared" si="46"/>
        <v>3</v>
      </c>
      <c r="R178" s="52">
        <v>3</v>
      </c>
    </row>
    <row r="179" spans="1:18" x14ac:dyDescent="0.25">
      <c r="A179" s="32" t="s">
        <v>95</v>
      </c>
      <c r="B179" s="58">
        <v>3.19</v>
      </c>
      <c r="C179" s="58">
        <v>3.17</v>
      </c>
      <c r="D179" s="58">
        <v>2.94</v>
      </c>
      <c r="E179" s="31">
        <f t="shared" si="41"/>
        <v>9.2999999999999989</v>
      </c>
      <c r="F179" s="31">
        <f t="shared" si="42"/>
        <v>3.0999999999999996</v>
      </c>
      <c r="G179" s="34" t="s">
        <v>14</v>
      </c>
      <c r="H179" s="31">
        <f>SQRT(J177/3)</f>
        <v>3.38248081599926E-2</v>
      </c>
      <c r="O179" s="33">
        <v>6</v>
      </c>
      <c r="P179" s="42">
        <f t="shared" si="45"/>
        <v>3.79</v>
      </c>
      <c r="Q179" s="49">
        <f t="shared" si="46"/>
        <v>1</v>
      </c>
      <c r="R179" s="53">
        <v>1</v>
      </c>
    </row>
    <row r="180" spans="1:18" x14ac:dyDescent="0.25">
      <c r="A180" s="32" t="s">
        <v>96</v>
      </c>
      <c r="B180" s="58">
        <v>3.51</v>
      </c>
      <c r="C180" s="58">
        <v>3.42</v>
      </c>
      <c r="D180" s="58">
        <v>3.58</v>
      </c>
      <c r="E180" s="31">
        <f t="shared" si="41"/>
        <v>10.51</v>
      </c>
      <c r="F180" s="31">
        <f t="shared" si="42"/>
        <v>3.5033333333333334</v>
      </c>
      <c r="G180" s="34" t="s">
        <v>16</v>
      </c>
      <c r="H180" s="31">
        <f>(SQRT((2*J177)/3))*L178</f>
        <v>9.7213437193349739E-2</v>
      </c>
      <c r="O180" s="33">
        <v>7</v>
      </c>
      <c r="P180" s="42">
        <f t="shared" si="45"/>
        <v>3.3283333333333331</v>
      </c>
      <c r="Q180" s="49">
        <f t="shared" si="46"/>
        <v>6</v>
      </c>
      <c r="R180" s="53">
        <v>6</v>
      </c>
    </row>
    <row r="181" spans="1:18" x14ac:dyDescent="0.25">
      <c r="A181" s="32" t="s">
        <v>97</v>
      </c>
      <c r="B181" s="58">
        <v>3.78</v>
      </c>
      <c r="C181" s="58">
        <v>3.81</v>
      </c>
      <c r="D181" s="58">
        <v>3.72</v>
      </c>
      <c r="E181" s="31">
        <f t="shared" si="41"/>
        <v>11.31</v>
      </c>
      <c r="F181" s="31">
        <f t="shared" si="42"/>
        <v>3.77</v>
      </c>
      <c r="G181" s="34" t="s">
        <v>29</v>
      </c>
      <c r="H181" s="31">
        <f>((SQRT(J177))/F188)*100</f>
        <v>1.6970601113755961</v>
      </c>
      <c r="O181" s="33">
        <v>8</v>
      </c>
      <c r="P181" s="42">
        <f t="shared" si="45"/>
        <v>3.5466666666666669</v>
      </c>
      <c r="Q181" s="49">
        <f t="shared" si="46"/>
        <v>4</v>
      </c>
      <c r="R181" s="52">
        <v>4</v>
      </c>
    </row>
    <row r="182" spans="1:18" x14ac:dyDescent="0.25">
      <c r="A182" s="32" t="s">
        <v>98</v>
      </c>
      <c r="B182" s="58">
        <v>3.35</v>
      </c>
      <c r="C182" s="58">
        <v>3.26</v>
      </c>
      <c r="D182" s="58">
        <v>3.3</v>
      </c>
      <c r="E182" s="31">
        <f t="shared" si="41"/>
        <v>9.91</v>
      </c>
      <c r="F182" s="31">
        <f t="shared" si="42"/>
        <v>3.3033333333333332</v>
      </c>
      <c r="O182" s="33">
        <v>9</v>
      </c>
      <c r="P182" s="42">
        <f t="shared" si="45"/>
        <v>3.2450000000000001</v>
      </c>
      <c r="Q182" s="49">
        <f t="shared" si="46"/>
        <v>8</v>
      </c>
      <c r="R182" s="53">
        <v>8</v>
      </c>
    </row>
    <row r="183" spans="1:18" x14ac:dyDescent="0.25">
      <c r="A183" s="32" t="s">
        <v>99</v>
      </c>
      <c r="B183" s="58">
        <v>3.73</v>
      </c>
      <c r="C183" s="58">
        <v>3.64</v>
      </c>
      <c r="D183" s="58">
        <v>3.72</v>
      </c>
      <c r="E183" s="31">
        <f t="shared" si="41"/>
        <v>11.09</v>
      </c>
      <c r="F183" s="31">
        <f t="shared" si="42"/>
        <v>3.6966666666666668</v>
      </c>
      <c r="O183" s="30" t="s">
        <v>14</v>
      </c>
      <c r="P183" s="42">
        <f>SQRT(J177/(3*2))</f>
        <v>2.3917751222264833E-2</v>
      </c>
      <c r="Q183" s="49"/>
    </row>
    <row r="184" spans="1:18" x14ac:dyDescent="0.25">
      <c r="A184" s="32" t="s">
        <v>100</v>
      </c>
      <c r="B184" s="58">
        <v>3.84</v>
      </c>
      <c r="C184" s="58">
        <v>3.88</v>
      </c>
      <c r="D184" s="58">
        <v>3.79</v>
      </c>
      <c r="E184" s="31">
        <f t="shared" si="41"/>
        <v>11.51</v>
      </c>
      <c r="F184" s="31">
        <f t="shared" si="42"/>
        <v>3.8366666666666664</v>
      </c>
      <c r="N184" s="30" t="s">
        <v>109</v>
      </c>
      <c r="O184" s="30" t="s">
        <v>16</v>
      </c>
      <c r="P184" s="42">
        <f>SQRT((2*J177)/(3*2))*L178</f>
        <v>6.8740280661870143E-2</v>
      </c>
      <c r="Q184" s="49"/>
    </row>
    <row r="185" spans="1:18" x14ac:dyDescent="0.25">
      <c r="A185" s="32" t="s">
        <v>101</v>
      </c>
      <c r="B185" s="58">
        <v>3.41</v>
      </c>
      <c r="C185" s="58">
        <v>3.28</v>
      </c>
      <c r="D185" s="58">
        <v>3.33</v>
      </c>
      <c r="E185" s="31">
        <f t="shared" si="41"/>
        <v>10.02</v>
      </c>
      <c r="F185" s="31">
        <f>E185/3</f>
        <v>3.34</v>
      </c>
      <c r="Q185" s="49"/>
    </row>
    <row r="186" spans="1:18" x14ac:dyDescent="0.25">
      <c r="A186" s="32" t="s">
        <v>102</v>
      </c>
      <c r="B186" s="58">
        <v>3.61</v>
      </c>
      <c r="C186" s="58">
        <v>3.55</v>
      </c>
      <c r="D186" s="58">
        <v>3.58</v>
      </c>
      <c r="E186" s="31">
        <f t="shared" si="41"/>
        <v>10.74</v>
      </c>
      <c r="F186" s="31">
        <f t="shared" ref="F186:F187" si="48">E186/3</f>
        <v>3.58</v>
      </c>
    </row>
    <row r="187" spans="1:18" x14ac:dyDescent="0.25">
      <c r="A187" s="32" t="s">
        <v>103</v>
      </c>
      <c r="B187" s="58">
        <v>3.21</v>
      </c>
      <c r="C187" s="58">
        <v>3.26</v>
      </c>
      <c r="D187" s="58">
        <v>3.32</v>
      </c>
      <c r="E187" s="31">
        <f t="shared" si="41"/>
        <v>9.7899999999999991</v>
      </c>
      <c r="F187" s="31">
        <f t="shared" si="48"/>
        <v>3.2633333333333332</v>
      </c>
    </row>
    <row r="188" spans="1:18" x14ac:dyDescent="0.25">
      <c r="A188" s="30" t="s">
        <v>4</v>
      </c>
      <c r="B188" s="31">
        <f>SUM(B170:B187)</f>
        <v>62.529999999999994</v>
      </c>
      <c r="C188" s="31">
        <f t="shared" ref="C188:D188" si="49">SUM(C170:C187)</f>
        <v>61.750000000000007</v>
      </c>
      <c r="D188" s="31">
        <f t="shared" si="49"/>
        <v>62.139999999999986</v>
      </c>
      <c r="E188" s="31">
        <f>SUM(E170:E187)</f>
        <v>186.42000000000002</v>
      </c>
      <c r="F188" s="31">
        <f>AVERAGE(B170:D187)</f>
        <v>3.4522222222222223</v>
      </c>
    </row>
    <row r="189" spans="1:18" x14ac:dyDescent="0.25">
      <c r="A189" s="30" t="s">
        <v>5</v>
      </c>
      <c r="B189" s="31">
        <f>B188/18</f>
        <v>3.4738888888888884</v>
      </c>
      <c r="C189" s="31">
        <f>C188/18</f>
        <v>3.4305555555555558</v>
      </c>
      <c r="D189" s="31">
        <f>D188/18</f>
        <v>3.4522222222222214</v>
      </c>
    </row>
    <row r="190" spans="1:18" x14ac:dyDescent="0.25">
      <c r="A190" s="30" t="s">
        <v>26</v>
      </c>
      <c r="B190" s="31">
        <f>(E188*E188)/54</f>
        <v>643.56326666666689</v>
      </c>
      <c r="C190" s="31"/>
      <c r="D190" s="31"/>
    </row>
    <row r="191" spans="1:18" x14ac:dyDescent="0.25">
      <c r="A191" s="30" t="s">
        <v>27</v>
      </c>
      <c r="B191" s="31">
        <f>SUMSQ(B170:D187)-B190</f>
        <v>3.0509333333329778</v>
      </c>
      <c r="C191" s="30" t="s">
        <v>28</v>
      </c>
      <c r="D191" s="31">
        <f>(SUMSQ(B188:D188)/18)-B190</f>
        <v>1.6899999999736792E-2</v>
      </c>
    </row>
    <row r="192" spans="1:18" x14ac:dyDescent="0.25">
      <c r="A192" s="30" t="s">
        <v>30</v>
      </c>
      <c r="B192" s="31">
        <f>(SUMSQ(E170:E187)/3)-B190</f>
        <v>2.9173333333330902</v>
      </c>
      <c r="C192" s="30" t="s">
        <v>31</v>
      </c>
      <c r="D192" s="31">
        <f>B191-B192-D191</f>
        <v>0.11670000000015079</v>
      </c>
    </row>
    <row r="196" spans="1:18" s="36" customFormat="1" x14ac:dyDescent="0.25">
      <c r="B196" s="39"/>
      <c r="C196" s="5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8" s="36" customFormat="1" x14ac:dyDescent="0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8" s="36" customFormat="1" x14ac:dyDescent="0.25"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s="36" customFormat="1" x14ac:dyDescent="0.25"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s="36" customFormat="1" x14ac:dyDescent="0.25"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8" s="36" customFormat="1" x14ac:dyDescent="0.25">
      <c r="A201" s="60"/>
      <c r="B201" s="50"/>
      <c r="C201" s="50"/>
      <c r="D201" s="50"/>
      <c r="E201" s="50"/>
      <c r="F201" s="50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R201" s="39"/>
    </row>
    <row r="202" spans="1:18" s="36" customFormat="1" x14ac:dyDescent="0.25">
      <c r="A202" s="61"/>
      <c r="B202" s="55"/>
      <c r="C202" s="55"/>
      <c r="D202" s="55"/>
      <c r="E202" s="39"/>
      <c r="F202" s="39"/>
      <c r="G202" s="39"/>
      <c r="H202" s="50"/>
      <c r="I202" s="50"/>
      <c r="J202" s="50"/>
      <c r="K202" s="50"/>
      <c r="L202" s="50"/>
      <c r="M202" s="50"/>
      <c r="N202" s="50"/>
      <c r="O202" s="38"/>
      <c r="P202" s="39"/>
      <c r="Q202" s="49"/>
      <c r="R202" s="39"/>
    </row>
    <row r="203" spans="1:18" s="36" customFormat="1" x14ac:dyDescent="0.25">
      <c r="A203" s="61"/>
      <c r="B203" s="55"/>
      <c r="C203" s="55"/>
      <c r="D203" s="55"/>
      <c r="E203" s="39"/>
      <c r="F203" s="39"/>
      <c r="G203" s="39"/>
      <c r="H203" s="50"/>
      <c r="I203" s="50"/>
      <c r="J203" s="50"/>
      <c r="K203" s="50"/>
      <c r="L203" s="50"/>
      <c r="M203" s="50"/>
      <c r="N203" s="50"/>
      <c r="O203" s="38"/>
      <c r="P203" s="39"/>
      <c r="Q203" s="49"/>
      <c r="R203" s="39"/>
    </row>
    <row r="204" spans="1:18" s="36" customFormat="1" x14ac:dyDescent="0.25">
      <c r="A204" s="61"/>
      <c r="B204" s="55"/>
      <c r="C204" s="55"/>
      <c r="D204" s="55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50"/>
      <c r="P204" s="62"/>
      <c r="R204" s="39"/>
    </row>
    <row r="205" spans="1:18" s="36" customFormat="1" x14ac:dyDescent="0.25">
      <c r="A205" s="61"/>
      <c r="B205" s="55"/>
      <c r="C205" s="55"/>
      <c r="D205" s="55"/>
      <c r="E205" s="39"/>
      <c r="F205" s="39"/>
      <c r="G205" s="39"/>
      <c r="H205" s="39"/>
      <c r="I205" s="39"/>
      <c r="J205" s="39"/>
      <c r="K205" s="39"/>
      <c r="L205" s="39"/>
      <c r="M205" s="39"/>
      <c r="N205" s="50"/>
      <c r="O205" s="50"/>
      <c r="P205" s="62"/>
      <c r="R205" s="39"/>
    </row>
    <row r="206" spans="1:18" s="36" customFormat="1" x14ac:dyDescent="0.25">
      <c r="A206" s="61"/>
      <c r="B206" s="55"/>
      <c r="C206" s="55"/>
      <c r="D206" s="55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8"/>
      <c r="P206" s="39"/>
      <c r="Q206" s="49"/>
      <c r="R206" s="63"/>
    </row>
    <row r="207" spans="1:18" s="36" customFormat="1" x14ac:dyDescent="0.25">
      <c r="A207" s="61"/>
      <c r="B207" s="55"/>
      <c r="C207" s="55"/>
      <c r="D207" s="5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8"/>
      <c r="P207" s="39"/>
      <c r="Q207" s="49"/>
      <c r="R207" s="64"/>
    </row>
    <row r="208" spans="1:18" s="36" customFormat="1" x14ac:dyDescent="0.25">
      <c r="A208" s="61"/>
      <c r="B208" s="55"/>
      <c r="C208" s="55"/>
      <c r="D208" s="55"/>
      <c r="E208" s="39"/>
      <c r="F208" s="39"/>
      <c r="G208" s="35"/>
      <c r="H208" s="39"/>
      <c r="I208" s="39"/>
      <c r="J208" s="39"/>
      <c r="K208" s="39"/>
      <c r="L208" s="39"/>
      <c r="M208" s="39"/>
      <c r="N208" s="39"/>
      <c r="O208" s="38"/>
      <c r="P208" s="39"/>
      <c r="Q208" s="49"/>
      <c r="R208" s="64"/>
    </row>
    <row r="209" spans="1:18" s="36" customFormat="1" x14ac:dyDescent="0.25">
      <c r="A209" s="61"/>
      <c r="B209" s="55"/>
      <c r="C209" s="55"/>
      <c r="D209" s="55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8"/>
      <c r="P209" s="39"/>
      <c r="Q209" s="49"/>
      <c r="R209" s="64"/>
    </row>
    <row r="210" spans="1:18" s="36" customFormat="1" x14ac:dyDescent="0.25">
      <c r="A210" s="61"/>
      <c r="B210" s="55"/>
      <c r="C210" s="55"/>
      <c r="D210" s="5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8"/>
      <c r="P210" s="39"/>
      <c r="Q210" s="49"/>
      <c r="R210" s="63"/>
    </row>
    <row r="211" spans="1:18" s="36" customFormat="1" x14ac:dyDescent="0.25">
      <c r="A211" s="61"/>
      <c r="B211" s="55"/>
      <c r="C211" s="55"/>
      <c r="D211" s="55"/>
      <c r="E211" s="39"/>
      <c r="F211" s="39"/>
      <c r="G211" s="50"/>
      <c r="H211" s="39"/>
      <c r="I211" s="39"/>
      <c r="J211" s="39"/>
      <c r="K211" s="39"/>
      <c r="L211" s="39"/>
      <c r="M211" s="39"/>
      <c r="N211" s="39"/>
      <c r="O211" s="38"/>
      <c r="P211" s="39"/>
      <c r="Q211" s="49"/>
      <c r="R211" s="64"/>
    </row>
    <row r="212" spans="1:18" s="36" customFormat="1" x14ac:dyDescent="0.25">
      <c r="A212" s="61"/>
      <c r="B212" s="55"/>
      <c r="C212" s="55"/>
      <c r="D212" s="55"/>
      <c r="E212" s="39"/>
      <c r="F212" s="39"/>
      <c r="G212" s="50"/>
      <c r="H212" s="39"/>
      <c r="I212" s="39"/>
      <c r="J212" s="39"/>
      <c r="K212" s="39"/>
      <c r="L212" s="39"/>
      <c r="M212" s="39"/>
      <c r="N212" s="39"/>
      <c r="O212" s="38"/>
      <c r="P212" s="39"/>
      <c r="Q212" s="49"/>
      <c r="R212" s="64"/>
    </row>
    <row r="213" spans="1:18" s="36" customFormat="1" x14ac:dyDescent="0.25">
      <c r="A213" s="61"/>
      <c r="B213" s="55"/>
      <c r="C213" s="55"/>
      <c r="D213" s="55"/>
      <c r="E213" s="39"/>
      <c r="F213" s="39"/>
      <c r="G213" s="50"/>
      <c r="H213" s="39"/>
      <c r="I213" s="39"/>
      <c r="J213" s="39"/>
      <c r="K213" s="39"/>
      <c r="L213" s="39"/>
      <c r="M213" s="39"/>
      <c r="N213" s="39"/>
      <c r="O213" s="38"/>
      <c r="P213" s="39"/>
      <c r="Q213" s="49"/>
      <c r="R213" s="63"/>
    </row>
    <row r="214" spans="1:18" s="36" customFormat="1" x14ac:dyDescent="0.25">
      <c r="A214" s="61"/>
      <c r="B214" s="55"/>
      <c r="C214" s="55"/>
      <c r="D214" s="55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8"/>
      <c r="P214" s="39"/>
      <c r="Q214" s="49"/>
      <c r="R214" s="64"/>
    </row>
    <row r="215" spans="1:18" s="36" customFormat="1" x14ac:dyDescent="0.25">
      <c r="A215" s="61"/>
      <c r="B215" s="55"/>
      <c r="C215" s="55"/>
      <c r="D215" s="5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50"/>
      <c r="P215" s="62"/>
      <c r="Q215" s="49"/>
    </row>
    <row r="216" spans="1:18" s="36" customFormat="1" x14ac:dyDescent="0.25">
      <c r="A216" s="61"/>
      <c r="B216" s="55"/>
      <c r="C216" s="55"/>
      <c r="D216" s="55"/>
      <c r="E216" s="39"/>
      <c r="F216" s="39"/>
      <c r="G216" s="39"/>
      <c r="H216" s="39"/>
      <c r="I216" s="39"/>
      <c r="J216" s="39"/>
      <c r="K216" s="39"/>
      <c r="L216" s="39"/>
      <c r="M216" s="39"/>
      <c r="N216" s="50"/>
      <c r="O216" s="50"/>
      <c r="P216" s="62"/>
      <c r="Q216" s="49"/>
    </row>
    <row r="217" spans="1:18" s="36" customFormat="1" x14ac:dyDescent="0.25">
      <c r="A217" s="61"/>
      <c r="B217" s="55"/>
      <c r="C217" s="55"/>
      <c r="D217" s="55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9"/>
    </row>
    <row r="218" spans="1:18" s="36" customFormat="1" x14ac:dyDescent="0.25">
      <c r="A218" s="61"/>
      <c r="B218" s="55"/>
      <c r="C218" s="55"/>
      <c r="D218" s="55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8" s="36" customFormat="1" x14ac:dyDescent="0.25">
      <c r="A219" s="61"/>
      <c r="B219" s="55"/>
      <c r="C219" s="55"/>
      <c r="D219" s="55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8" s="36" customFormat="1" x14ac:dyDescent="0.25">
      <c r="A220" s="50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8" s="36" customFormat="1" x14ac:dyDescent="0.25">
      <c r="A221" s="50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8" s="36" customFormat="1" x14ac:dyDescent="0.25">
      <c r="A222" s="50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8" s="36" customFormat="1" x14ac:dyDescent="0.25">
      <c r="A223" s="50"/>
      <c r="B223" s="39"/>
      <c r="C223" s="5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8" s="36" customFormat="1" x14ac:dyDescent="0.25">
      <c r="A224" s="50"/>
      <c r="B224" s="39"/>
      <c r="C224" s="5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2:16" s="36" customFormat="1" x14ac:dyDescent="0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2:16" s="36" customFormat="1" x14ac:dyDescent="0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2:16" s="36" customFormat="1" x14ac:dyDescent="0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2:16" s="36" customFormat="1" x14ac:dyDescent="0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2:16" s="36" customFormat="1" x14ac:dyDescent="0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2:16" s="36" customFormat="1" x14ac:dyDescent="0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2:16" s="36" customFormat="1" x14ac:dyDescent="0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2:16" s="36" customFormat="1" x14ac:dyDescent="0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2:16" s="36" customFormat="1" x14ac:dyDescent="0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2:16" s="36" customFormat="1" x14ac:dyDescent="0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2:16" s="36" customFormat="1" x14ac:dyDescent="0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2:16" s="36" customFormat="1" x14ac:dyDescent="0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2:16" s="36" customFormat="1" x14ac:dyDescent="0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2:16" s="36" customFormat="1" x14ac:dyDescent="0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2:16" s="36" customFormat="1" x14ac:dyDescent="0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2:16" s="36" customFormat="1" x14ac:dyDescent="0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2:16" s="36" customFormat="1" x14ac:dyDescent="0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2:16" s="36" customFormat="1" x14ac:dyDescent="0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2:16" s="36" customFormat="1" x14ac:dyDescent="0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2:16" s="36" customFormat="1" x14ac:dyDescent="0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2:16" s="36" customFormat="1" x14ac:dyDescent="0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2:16" s="36" customFormat="1" x14ac:dyDescent="0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2:16" s="36" customFormat="1" x14ac:dyDescent="0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2:16" s="36" customFormat="1" x14ac:dyDescent="0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2:16" s="36" customFormat="1" x14ac:dyDescent="0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2:16" s="36" customFormat="1" x14ac:dyDescent="0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2:16" s="36" customFormat="1" x14ac:dyDescent="0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2:16" s="36" customFormat="1" x14ac:dyDescent="0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2:16" s="36" customFormat="1" x14ac:dyDescent="0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2:16" s="36" customFormat="1" x14ac:dyDescent="0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2:16" s="36" customFormat="1" x14ac:dyDescent="0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2:16" s="36" customFormat="1" x14ac:dyDescent="0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2:16" s="36" customFormat="1" x14ac:dyDescent="0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2:16" s="36" customFormat="1" x14ac:dyDescent="0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2:16" s="36" customFormat="1" x14ac:dyDescent="0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2:16" s="36" customFormat="1" x14ac:dyDescent="0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2:16" s="36" customFormat="1" x14ac:dyDescent="0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2:16" s="36" customFormat="1" x14ac:dyDescent="0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2:16" s="36" customFormat="1" x14ac:dyDescent="0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2:16" s="36" customFormat="1" x14ac:dyDescent="0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2:16" s="36" customFormat="1" x14ac:dyDescent="0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2:16" s="36" customFormat="1" x14ac:dyDescent="0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2:16" s="36" customFormat="1" x14ac:dyDescent="0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2:16" s="36" customFormat="1" x14ac:dyDescent="0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2:16" s="36" customFormat="1" x14ac:dyDescent="0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2:16" s="36" customFormat="1" x14ac:dyDescent="0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2:16" s="36" customFormat="1" x14ac:dyDescent="0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2:16" s="36" customFormat="1" x14ac:dyDescent="0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2:16" s="36" customFormat="1" x14ac:dyDescent="0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2:16" s="36" customFormat="1" x14ac:dyDescent="0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2:16" s="36" customFormat="1" x14ac:dyDescent="0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2:16" s="36" customFormat="1" x14ac:dyDescent="0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2:16" s="36" customFormat="1" x14ac:dyDescent="0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2:16" s="36" customFormat="1" x14ac:dyDescent="0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2:16" s="36" customFormat="1" x14ac:dyDescent="0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2:16" s="36" customFormat="1" x14ac:dyDescent="0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2:16" s="36" customFormat="1" x14ac:dyDescent="0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2:16" s="36" customFormat="1" x14ac:dyDescent="0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2:16" s="36" customFormat="1" x14ac:dyDescent="0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2:16" s="36" customFormat="1" x14ac:dyDescent="0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2:16" s="36" customFormat="1" x14ac:dyDescent="0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2:16" s="36" customFormat="1" x14ac:dyDescent="0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2:16" s="36" customFormat="1" x14ac:dyDescent="0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2:16" s="36" customFormat="1" x14ac:dyDescent="0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2:16" s="36" customFormat="1" x14ac:dyDescent="0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2:16" s="36" customFormat="1" x14ac:dyDescent="0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2:16" s="36" customFormat="1" x14ac:dyDescent="0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2:16" s="36" customFormat="1" x14ac:dyDescent="0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2:16" s="36" customFormat="1" x14ac:dyDescent="0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2:16" s="36" customFormat="1" x14ac:dyDescent="0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2:16" s="36" customFormat="1" x14ac:dyDescent="0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2:16" s="36" customFormat="1" x14ac:dyDescent="0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2:16" s="36" customFormat="1" x14ac:dyDescent="0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2:16" s="36" customFormat="1" x14ac:dyDescent="0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2:16" s="36" customFormat="1" x14ac:dyDescent="0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2:16" s="36" customFormat="1" x14ac:dyDescent="0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2:16" s="36" customFormat="1" x14ac:dyDescent="0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2:16" s="36" customFormat="1" x14ac:dyDescent="0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2:16" s="36" customFormat="1" x14ac:dyDescent="0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2:16" s="36" customFormat="1" x14ac:dyDescent="0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2:16" s="36" customFormat="1" x14ac:dyDescent="0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2:16" s="36" customFormat="1" x14ac:dyDescent="0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2:16" s="36" customFormat="1" x14ac:dyDescent="0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2:16" s="36" customFormat="1" x14ac:dyDescent="0.25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2:16" s="36" customFormat="1" x14ac:dyDescent="0.25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2:16" s="36" customFormat="1" x14ac:dyDescent="0.25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2:16" s="36" customFormat="1" x14ac:dyDescent="0.25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2:16" s="36" customFormat="1" x14ac:dyDescent="0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2:16" s="36" customFormat="1" x14ac:dyDescent="0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2:16" s="36" customFormat="1" x14ac:dyDescent="0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2:16" s="36" customFormat="1" x14ac:dyDescent="0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2:16" s="36" customFormat="1" x14ac:dyDescent="0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2:16" s="36" customFormat="1" x14ac:dyDescent="0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2:16" s="36" customFormat="1" x14ac:dyDescent="0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2:16" s="36" customFormat="1" x14ac:dyDescent="0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2:16" s="36" customFormat="1" x14ac:dyDescent="0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2:16" s="36" customFormat="1" x14ac:dyDescent="0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2:16" s="36" customFormat="1" x14ac:dyDescent="0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2:16" s="36" customFormat="1" x14ac:dyDescent="0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2:16" s="36" customFormat="1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2:16" s="36" customFormat="1" x14ac:dyDescent="0.25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2:16" s="36" customFormat="1" x14ac:dyDescent="0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2:16" s="36" customFormat="1" x14ac:dyDescent="0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2:16" s="36" customFormat="1" x14ac:dyDescent="0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2:16" s="36" customFormat="1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2:16" s="36" customFormat="1" x14ac:dyDescent="0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2:16" s="36" customFormat="1" x14ac:dyDescent="0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2:16" s="36" customFormat="1" x14ac:dyDescent="0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2:16" s="36" customFormat="1" x14ac:dyDescent="0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2:16" s="36" customFormat="1" x14ac:dyDescent="0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2:16" s="36" customFormat="1" x14ac:dyDescent="0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2:16" s="36" customFormat="1" x14ac:dyDescent="0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1"/>
  <sheetViews>
    <sheetView topLeftCell="A184" workbookViewId="0">
      <selection activeCell="O169" sqref="O169:O170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54">
        <v>2019</v>
      </c>
    </row>
    <row r="3" spans="1:21" x14ac:dyDescent="0.25">
      <c r="C3" s="48" t="s">
        <v>120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5"/>
      <c r="T8" s="55"/>
      <c r="U8" s="55"/>
    </row>
    <row r="9" spans="1:21" x14ac:dyDescent="0.25">
      <c r="A9" s="32" t="s">
        <v>95</v>
      </c>
      <c r="B9" s="65">
        <f>('Dry mt. new'!B41-'Dry mt. new'!B9)/30</f>
        <v>8.9589999999999996</v>
      </c>
      <c r="C9" s="65">
        <f>('Dry mt. new'!C41-'Dry mt. new'!C9)/30</f>
        <v>8.2210000000000001</v>
      </c>
      <c r="D9" s="65">
        <f>('Dry mt. new'!D41-'Dry mt. new'!D9)/30</f>
        <v>10.4</v>
      </c>
      <c r="E9" s="31">
        <f t="shared" ref="E9:E26" si="0">SUM(B9:D9)</f>
        <v>27.58</v>
      </c>
      <c r="F9" s="31">
        <f>E9/3</f>
        <v>9.1933333333333334</v>
      </c>
      <c r="H9" s="47"/>
      <c r="I9" s="47"/>
      <c r="J9" s="47" t="s">
        <v>6</v>
      </c>
      <c r="K9" s="47"/>
      <c r="L9" s="47"/>
      <c r="M9" s="47"/>
      <c r="N9" s="47"/>
      <c r="O9" s="33">
        <v>2</v>
      </c>
      <c r="P9" s="31">
        <f>SUM(F9:F17)/9</f>
        <v>11.955580246913579</v>
      </c>
      <c r="Q9" s="49">
        <f>RANK(P9,P$9:P$10,0)</f>
        <v>1</v>
      </c>
      <c r="S9" s="55"/>
      <c r="T9" s="55"/>
      <c r="U9" s="55"/>
    </row>
    <row r="10" spans="1:21" x14ac:dyDescent="0.25">
      <c r="A10" s="32" t="s">
        <v>96</v>
      </c>
      <c r="B10" s="65">
        <f>('Dry mt. new'!B42-'Dry mt. new'!B10)/30</f>
        <v>13.189666666666666</v>
      </c>
      <c r="C10" s="65">
        <f>('Dry mt. new'!C42-'Dry mt. new'!C10)/30</f>
        <v>13.566666666666666</v>
      </c>
      <c r="D10" s="65">
        <f>('Dry mt. new'!D42-'Dry mt. new'!D10)/30</f>
        <v>13.400333333333334</v>
      </c>
      <c r="E10" s="31">
        <f t="shared" si="0"/>
        <v>40.156666666666666</v>
      </c>
      <c r="F10" s="31">
        <f t="shared" ref="F10:F26" si="1">E10/3</f>
        <v>13.385555555555555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1</v>
      </c>
      <c r="P10" s="31">
        <f>SUM(F18:F26)/9</f>
        <v>11.575185185185186</v>
      </c>
      <c r="Q10" s="49">
        <f>RANK(P10,P$9:P$10,0)</f>
        <v>2</v>
      </c>
      <c r="S10" s="55"/>
      <c r="T10" s="55"/>
      <c r="U10" s="55"/>
    </row>
    <row r="11" spans="1:21" x14ac:dyDescent="0.25">
      <c r="A11" s="32" t="s">
        <v>97</v>
      </c>
      <c r="B11" s="65">
        <f>('Dry mt. new'!B43-'Dry mt. new'!B11)/30</f>
        <v>13.800333333333334</v>
      </c>
      <c r="C11" s="65">
        <f>('Dry mt. new'!C43-'Dry mt. new'!C11)/30</f>
        <v>13.311</v>
      </c>
      <c r="D11" s="65">
        <f>('Dry mt. new'!D43-'Dry mt. new'!D11)/30</f>
        <v>12.530666666666665</v>
      </c>
      <c r="E11" s="31">
        <f t="shared" si="0"/>
        <v>39.641999999999996</v>
      </c>
      <c r="F11" s="31">
        <f t="shared" si="1"/>
        <v>13.213999999999999</v>
      </c>
      <c r="G11" s="31" t="s">
        <v>13</v>
      </c>
      <c r="H11" s="31">
        <f>B7-1</f>
        <v>2</v>
      </c>
      <c r="I11" s="31">
        <f>D30</f>
        <v>12.038648720164019</v>
      </c>
      <c r="J11" s="31">
        <f>I11/H11</f>
        <v>6.0193243600820097</v>
      </c>
      <c r="K11" s="31">
        <f>J11/$J$16</f>
        <v>3.822302344038341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0.24150686078955177</v>
      </c>
      <c r="S11" s="55"/>
      <c r="T11" s="55"/>
      <c r="U11" s="55"/>
    </row>
    <row r="12" spans="1:21" x14ac:dyDescent="0.25">
      <c r="A12" s="32" t="s">
        <v>98</v>
      </c>
      <c r="B12" s="65">
        <f>('Dry mt. new'!B44-'Dry mt. new'!B12)/30</f>
        <v>12.755333333333335</v>
      </c>
      <c r="C12" s="65">
        <f>('Dry mt. new'!C44-'Dry mt. new'!C12)/30</f>
        <v>10.017333333333333</v>
      </c>
      <c r="D12" s="65">
        <f>('Dry mt. new'!D44-'Dry mt. new'!D12)/30</f>
        <v>8.4763333333333346</v>
      </c>
      <c r="E12" s="31">
        <f t="shared" si="0"/>
        <v>31.249000000000002</v>
      </c>
      <c r="F12" s="31">
        <f t="shared" si="1"/>
        <v>10.416333333333334</v>
      </c>
      <c r="G12" s="31" t="s">
        <v>15</v>
      </c>
      <c r="H12" s="31">
        <f>D6-1</f>
        <v>17</v>
      </c>
      <c r="I12" s="31">
        <f>B31</f>
        <v>147.1041717942353</v>
      </c>
      <c r="J12" s="31">
        <f t="shared" ref="J12:J16" si="2">I12/H12</f>
        <v>8.653186576131489</v>
      </c>
      <c r="K12" s="31">
        <f>J12/$J$16</f>
        <v>5.49481858008693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0.69409741903273192</v>
      </c>
      <c r="S12" s="55"/>
      <c r="T12" s="55"/>
      <c r="U12" s="55"/>
    </row>
    <row r="13" spans="1:21" x14ac:dyDescent="0.25">
      <c r="A13" s="32" t="s">
        <v>99</v>
      </c>
      <c r="B13" s="65">
        <f>('Dry mt. new'!B45-'Dry mt. new'!B13)/30</f>
        <v>13.1</v>
      </c>
      <c r="C13" s="65">
        <f>('Dry mt. new'!C45-'Dry mt. new'!C13)/30</f>
        <v>13.157666666666668</v>
      </c>
      <c r="D13" s="65">
        <f>('Dry mt. new'!D45-'Dry mt. new'!D13)/30</f>
        <v>13.077</v>
      </c>
      <c r="E13" s="31">
        <f t="shared" si="0"/>
        <v>39.334666666666664</v>
      </c>
      <c r="F13" s="31">
        <f t="shared" si="1"/>
        <v>13.111555555555555</v>
      </c>
      <c r="G13" s="31" t="s">
        <v>108</v>
      </c>
      <c r="H13" s="31">
        <f>B5-1</f>
        <v>1</v>
      </c>
      <c r="I13" s="31">
        <f>(SUM(E9:E17)^2+SUM(E18:E26)^2)/27-B29</f>
        <v>1.9534554403271613</v>
      </c>
      <c r="J13" s="31">
        <f t="shared" si="2"/>
        <v>1.9534554403271613</v>
      </c>
      <c r="K13" s="31">
        <f>J13/$J$16</f>
        <v>1.2404543868832529</v>
      </c>
      <c r="L13" s="31">
        <f>FINV(0.05,H13,$H$16)</f>
        <v>4.1300177456520188</v>
      </c>
      <c r="M13" s="31" t="str">
        <f>IF(K13&gt;=L13, "S", "NS")</f>
        <v>NS</v>
      </c>
      <c r="N13" s="39"/>
      <c r="O13" s="33">
        <v>1</v>
      </c>
      <c r="P13" s="31">
        <f>(F9+F18)/2</f>
        <v>9.1018333333333334</v>
      </c>
      <c r="Q13" s="49">
        <f>RANK(P13,P$13:P$21,0)</f>
        <v>9</v>
      </c>
      <c r="R13" s="52">
        <v>9</v>
      </c>
      <c r="S13" s="56"/>
      <c r="T13" s="56"/>
      <c r="U13" s="56"/>
    </row>
    <row r="14" spans="1:21" x14ac:dyDescent="0.25">
      <c r="A14" s="32" t="s">
        <v>100</v>
      </c>
      <c r="B14" s="65">
        <f>('Dry mt. new'!B46-'Dry mt. new'!B14)/30</f>
        <v>16.953666666666667</v>
      </c>
      <c r="C14" s="65">
        <f>('Dry mt. new'!C46-'Dry mt. new'!C14)/30</f>
        <v>12.566666666666665</v>
      </c>
      <c r="D14" s="65">
        <f>('Dry mt. new'!D46-'Dry mt. new'!D14)/30</f>
        <v>11.961999999999998</v>
      </c>
      <c r="E14" s="31">
        <f t="shared" si="0"/>
        <v>41.48233333333333</v>
      </c>
      <c r="F14" s="31">
        <f t="shared" si="1"/>
        <v>13.827444444444444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35191.159419034979</v>
      </c>
      <c r="J14" s="31">
        <f t="shared" si="2"/>
        <v>4398.8949273793723</v>
      </c>
      <c r="K14" s="31">
        <f>J14/$J$16</f>
        <v>2793.3212078758061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4">(F10+F19)/2</f>
        <v>13.151333333333334</v>
      </c>
      <c r="Q14" s="49">
        <f t="shared" ref="Q14:Q21" si="5">RANK(P14,P$13:P$21,0)</f>
        <v>2</v>
      </c>
      <c r="R14" s="53">
        <v>5</v>
      </c>
      <c r="S14" s="55"/>
      <c r="T14" s="55"/>
      <c r="U14" s="55"/>
    </row>
    <row r="15" spans="1:21" x14ac:dyDescent="0.25">
      <c r="A15" s="32" t="s">
        <v>101</v>
      </c>
      <c r="B15" s="65">
        <f>('Dry mt. new'!B47-'Dry mt. new'!B15)/30</f>
        <v>13.256000000000002</v>
      </c>
      <c r="C15" s="65">
        <f>('Dry mt. new'!C47-'Dry mt. new'!C15)/30</f>
        <v>12.267666666666667</v>
      </c>
      <c r="D15" s="65">
        <f>('Dry mt. new'!D47-'Dry mt. new'!D15)/30</f>
        <v>6.8336666666666668</v>
      </c>
      <c r="E15" s="31">
        <f t="shared" si="0"/>
        <v>32.357333333333337</v>
      </c>
      <c r="F15" s="31">
        <f t="shared" si="1"/>
        <v>10.785777777777779</v>
      </c>
      <c r="G15" s="26" t="s">
        <v>110</v>
      </c>
      <c r="H15" s="31">
        <f>H13*H14</f>
        <v>8</v>
      </c>
      <c r="I15" s="31">
        <f>I12-(I13+I14)</f>
        <v>-35046.008702681072</v>
      </c>
      <c r="J15" s="31">
        <f t="shared" si="2"/>
        <v>-4380.7510878351341</v>
      </c>
      <c r="K15" s="44">
        <f>J15/$J$16</f>
        <v>-2781.7997751914818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1">
        <f t="shared" si="4"/>
        <v>12.972166666666666</v>
      </c>
      <c r="Q15" s="49">
        <f t="shared" si="5"/>
        <v>4</v>
      </c>
      <c r="R15" s="53">
        <v>2</v>
      </c>
      <c r="S15" s="55"/>
      <c r="T15" s="55"/>
      <c r="U15" s="55"/>
    </row>
    <row r="16" spans="1:21" x14ac:dyDescent="0.25">
      <c r="A16" s="32" t="s">
        <v>102</v>
      </c>
      <c r="B16" s="65">
        <f>('Dry mt. new'!B48-'Dry mt. new'!B16)/30</f>
        <v>13.728666666666665</v>
      </c>
      <c r="C16" s="65">
        <f>('Dry mt. new'!C48-'Dry mt. new'!C16)/30</f>
        <v>13.311</v>
      </c>
      <c r="D16" s="65">
        <f>('Dry mt. new'!D48-'Dry mt. new'!D16)/30</f>
        <v>13.003666666666668</v>
      </c>
      <c r="E16" s="31">
        <f t="shared" si="0"/>
        <v>40.043333333333337</v>
      </c>
      <c r="F16" s="31">
        <f t="shared" si="1"/>
        <v>13.347777777777779</v>
      </c>
      <c r="G16" s="45" t="s">
        <v>23</v>
      </c>
      <c r="H16" s="31">
        <f>((B7-1)*(B5*B6-1))</f>
        <v>34</v>
      </c>
      <c r="I16" s="31">
        <f>D31</f>
        <v>53.542867576133176</v>
      </c>
      <c r="J16" s="31">
        <f t="shared" si="2"/>
        <v>1.5747902228274464</v>
      </c>
      <c r="O16" s="33">
        <v>4</v>
      </c>
      <c r="P16" s="31">
        <f t="shared" si="4"/>
        <v>10.214</v>
      </c>
      <c r="Q16" s="49">
        <f t="shared" si="5"/>
        <v>7</v>
      </c>
      <c r="R16" s="53">
        <v>7</v>
      </c>
      <c r="S16" s="55"/>
      <c r="T16" s="55"/>
      <c r="U16" s="55"/>
    </row>
    <row r="17" spans="1:21" x14ac:dyDescent="0.25">
      <c r="A17" s="32" t="s">
        <v>103</v>
      </c>
      <c r="B17" s="65">
        <f>('Dry mt. new'!B49-'Dry mt. new'!B17)/30</f>
        <v>12.125</v>
      </c>
      <c r="C17" s="65">
        <f>('Dry mt. new'!C49-'Dry mt. new'!C17)/30</f>
        <v>10.196999999999999</v>
      </c>
      <c r="D17" s="65">
        <f>('Dry mt. new'!D49-'Dry mt. new'!D17)/30</f>
        <v>8.6333333333333329</v>
      </c>
      <c r="E17" s="31">
        <f t="shared" si="0"/>
        <v>30.955333333333332</v>
      </c>
      <c r="F17" s="31">
        <f t="shared" si="1"/>
        <v>10.318444444444443</v>
      </c>
      <c r="G17" s="44" t="s">
        <v>4</v>
      </c>
      <c r="H17" s="31">
        <f>SUM(H11:H16)-H12</f>
        <v>53</v>
      </c>
      <c r="I17" s="31">
        <f>B30</f>
        <v>212.68568809053249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4"/>
        <v>12.959222222222223</v>
      </c>
      <c r="Q17" s="49">
        <f t="shared" si="5"/>
        <v>5</v>
      </c>
      <c r="R17" s="52">
        <v>3</v>
      </c>
      <c r="S17" s="67"/>
      <c r="T17" s="67"/>
      <c r="U17" s="67"/>
    </row>
    <row r="18" spans="1:21" x14ac:dyDescent="0.25">
      <c r="A18" s="32" t="s">
        <v>86</v>
      </c>
      <c r="B18" s="65">
        <f>('Dry mt. new'!B50-'Dry mt. new'!B18)/30</f>
        <v>9.0309999999999988</v>
      </c>
      <c r="C18" s="65">
        <f>('Dry mt. new'!C50-'Dry mt. new'!C18)/30</f>
        <v>9.0670000000000002</v>
      </c>
      <c r="D18" s="65">
        <f>('Dry mt. new'!D50-'Dry mt. new'!D18)/30</f>
        <v>8.9329999999999998</v>
      </c>
      <c r="E18" s="31">
        <f t="shared" si="0"/>
        <v>27.030999999999999</v>
      </c>
      <c r="F18" s="31">
        <f t="shared" si="1"/>
        <v>9.0103333333333335</v>
      </c>
      <c r="G18" s="34" t="s">
        <v>14</v>
      </c>
      <c r="H18" s="31">
        <f>SQRT(J16/3)</f>
        <v>0.72452058236865535</v>
      </c>
      <c r="O18" s="33">
        <v>6</v>
      </c>
      <c r="P18" s="31">
        <f t="shared" si="4"/>
        <v>13.794388888888889</v>
      </c>
      <c r="Q18" s="49">
        <f t="shared" si="5"/>
        <v>1</v>
      </c>
      <c r="R18" s="53">
        <v>1</v>
      </c>
      <c r="S18" s="67"/>
      <c r="T18" s="67"/>
      <c r="U18" s="67"/>
    </row>
    <row r="19" spans="1:21" x14ac:dyDescent="0.25">
      <c r="A19" s="32" t="s">
        <v>87</v>
      </c>
      <c r="B19" s="65">
        <f>('Dry mt. new'!B51-'Dry mt. new'!B19)/30</f>
        <v>12.851666666666665</v>
      </c>
      <c r="C19" s="65">
        <f>('Dry mt. new'!C51-'Dry mt. new'!C19)/30</f>
        <v>12.998666666666667</v>
      </c>
      <c r="D19" s="65">
        <f>('Dry mt. new'!D51-'Dry mt. new'!D19)/30</f>
        <v>12.901000000000002</v>
      </c>
      <c r="E19" s="31">
        <f t="shared" si="0"/>
        <v>38.751333333333335</v>
      </c>
      <c r="F19" s="31">
        <f t="shared" si="1"/>
        <v>12.917111111111112</v>
      </c>
      <c r="G19" s="34" t="s">
        <v>16</v>
      </c>
      <c r="H19" s="31">
        <f>(SQRT((2*J16)/3))*L17</f>
        <v>2.0822922570981959</v>
      </c>
      <c r="O19" s="33">
        <v>7</v>
      </c>
      <c r="P19" s="31">
        <f t="shared" si="4"/>
        <v>10.604111111111113</v>
      </c>
      <c r="Q19" s="49">
        <f t="shared" si="5"/>
        <v>6</v>
      </c>
      <c r="R19" s="53">
        <v>6</v>
      </c>
      <c r="S19" s="67"/>
      <c r="T19" s="67"/>
      <c r="U19" s="67"/>
    </row>
    <row r="20" spans="1:21" x14ac:dyDescent="0.25">
      <c r="A20" s="32" t="s">
        <v>88</v>
      </c>
      <c r="B20" s="65">
        <f>('Dry mt. new'!B52-'Dry mt. new'!B20)/30</f>
        <v>13.424000000000001</v>
      </c>
      <c r="C20" s="65">
        <f>('Dry mt. new'!C52-'Dry mt. new'!C20)/30</f>
        <v>12.232666666666665</v>
      </c>
      <c r="D20" s="65">
        <f>('Dry mt. new'!D52-'Dry mt. new'!D20)/30</f>
        <v>12.534333333333334</v>
      </c>
      <c r="E20" s="31">
        <f t="shared" si="0"/>
        <v>38.191000000000003</v>
      </c>
      <c r="F20" s="31">
        <f t="shared" si="1"/>
        <v>12.730333333333334</v>
      </c>
      <c r="G20" s="34" t="s">
        <v>29</v>
      </c>
      <c r="H20" s="31">
        <f>((SQRT(J16))/F27)*100</f>
        <v>10.666091278782295</v>
      </c>
      <c r="O20" s="33">
        <v>8</v>
      </c>
      <c r="P20" s="31">
        <f t="shared" si="4"/>
        <v>13.005222222222223</v>
      </c>
      <c r="Q20" s="49">
        <f t="shared" si="5"/>
        <v>3</v>
      </c>
      <c r="R20" s="52">
        <v>4</v>
      </c>
      <c r="S20" s="67"/>
      <c r="T20" s="67"/>
      <c r="U20" s="67"/>
    </row>
    <row r="21" spans="1:21" x14ac:dyDescent="0.25">
      <c r="A21" s="32" t="s">
        <v>89</v>
      </c>
      <c r="B21" s="65">
        <f>('Dry mt. new'!B53-'Dry mt. new'!B21)/30</f>
        <v>9.2566666666666659</v>
      </c>
      <c r="C21" s="65">
        <f>('Dry mt. new'!C53-'Dry mt. new'!C21)/30</f>
        <v>10.223333333333334</v>
      </c>
      <c r="D21" s="65">
        <f>('Dry mt. new'!D53-'Dry mt. new'!D21)/30</f>
        <v>10.555</v>
      </c>
      <c r="E21" s="31">
        <f t="shared" si="0"/>
        <v>30.035</v>
      </c>
      <c r="F21" s="31">
        <f t="shared" si="1"/>
        <v>10.011666666666667</v>
      </c>
      <c r="O21" s="33">
        <v>9</v>
      </c>
      <c r="P21" s="31">
        <f t="shared" si="4"/>
        <v>10.086166666666667</v>
      </c>
      <c r="Q21" s="49">
        <f t="shared" si="5"/>
        <v>8</v>
      </c>
      <c r="R21" s="53">
        <v>8</v>
      </c>
      <c r="S21" s="67"/>
      <c r="T21" s="67"/>
      <c r="U21" s="67"/>
    </row>
    <row r="22" spans="1:21" x14ac:dyDescent="0.25">
      <c r="A22" s="32" t="s">
        <v>90</v>
      </c>
      <c r="B22" s="65">
        <f>('Dry mt. new'!B54-'Dry mt. new'!B22)/30</f>
        <v>12.437666666666667</v>
      </c>
      <c r="C22" s="65">
        <f>('Dry mt. new'!C54-'Dry mt. new'!C22)/30</f>
        <v>12.740666666666668</v>
      </c>
      <c r="D22" s="65">
        <f>('Dry mt. new'!D54-'Dry mt. new'!D22)/30</f>
        <v>13.242333333333335</v>
      </c>
      <c r="E22" s="31">
        <f t="shared" si="0"/>
        <v>38.420666666666669</v>
      </c>
      <c r="F22" s="31">
        <f t="shared" si="1"/>
        <v>12.80688888888889</v>
      </c>
      <c r="O22" s="30" t="s">
        <v>14</v>
      </c>
      <c r="P22" s="42">
        <f>SQRT(J16/(3*2))</f>
        <v>0.51231341690210275</v>
      </c>
      <c r="Q22" s="49"/>
      <c r="S22" s="67"/>
      <c r="T22" s="67"/>
      <c r="U22" s="67"/>
    </row>
    <row r="23" spans="1:21" x14ac:dyDescent="0.25">
      <c r="A23" s="32" t="s">
        <v>91</v>
      </c>
      <c r="B23" s="65">
        <f>('Dry mt. new'!B55-'Dry mt. new'!B23)/30</f>
        <v>15.431666666666667</v>
      </c>
      <c r="C23" s="65">
        <f>('Dry mt. new'!C55-'Dry mt. new'!C23)/30</f>
        <v>13.422333333333333</v>
      </c>
      <c r="D23" s="65">
        <f>('Dry mt. new'!D55-'Dry mt. new'!D23)/30</f>
        <v>12.430000000000001</v>
      </c>
      <c r="E23" s="31">
        <f t="shared" si="0"/>
        <v>41.283999999999999</v>
      </c>
      <c r="F23" s="31">
        <f t="shared" si="1"/>
        <v>13.761333333333333</v>
      </c>
      <c r="N23" s="30" t="s">
        <v>109</v>
      </c>
      <c r="O23" s="30" t="s">
        <v>16</v>
      </c>
      <c r="P23" s="42">
        <f>SQRT((2*J16)/(3*2))*L17</f>
        <v>1.4724029754063761</v>
      </c>
      <c r="Q23" s="49"/>
      <c r="S23" s="67"/>
      <c r="T23" s="67"/>
      <c r="U23" s="67"/>
    </row>
    <row r="24" spans="1:21" x14ac:dyDescent="0.25">
      <c r="A24" s="32" t="s">
        <v>92</v>
      </c>
      <c r="B24" s="65">
        <f>('Dry mt. new'!B56-'Dry mt. new'!B24)/30</f>
        <v>10.577333333333335</v>
      </c>
      <c r="C24" s="65">
        <f>('Dry mt. new'!C56-'Dry mt. new'!C24)/30</f>
        <v>10.477</v>
      </c>
      <c r="D24" s="65">
        <f>('Dry mt. new'!D56-'Dry mt. new'!D24)/30</f>
        <v>10.212999999999999</v>
      </c>
      <c r="E24" s="31">
        <f t="shared" si="0"/>
        <v>31.267333333333333</v>
      </c>
      <c r="F24" s="31">
        <f>E24/3</f>
        <v>10.422444444444444</v>
      </c>
      <c r="Q24" s="49"/>
      <c r="S24" s="67"/>
      <c r="T24" s="67"/>
      <c r="U24" s="67"/>
    </row>
    <row r="25" spans="1:21" x14ac:dyDescent="0.25">
      <c r="A25" s="32" t="s">
        <v>93</v>
      </c>
      <c r="B25" s="65">
        <f>('Dry mt. new'!B57-'Dry mt. new'!B25)/30</f>
        <v>12.66</v>
      </c>
      <c r="C25" s="65">
        <f>('Dry mt. new'!C57-'Dry mt. new'!C25)/30</f>
        <v>12.436666666666667</v>
      </c>
      <c r="D25" s="65">
        <f>('Dry mt. new'!D57-'Dry mt. new'!D25)/30</f>
        <v>12.891333333333336</v>
      </c>
      <c r="E25" s="31">
        <f t="shared" si="0"/>
        <v>37.988</v>
      </c>
      <c r="F25" s="31">
        <f t="shared" si="1"/>
        <v>12.662666666666667</v>
      </c>
      <c r="S25" s="67"/>
      <c r="T25" s="67"/>
      <c r="U25" s="67"/>
    </row>
    <row r="26" spans="1:21" x14ac:dyDescent="0.25">
      <c r="A26" s="32" t="s">
        <v>94</v>
      </c>
      <c r="B26" s="65">
        <f>('Dry mt. new'!B58-'Dry mt. new'!B26)/30</f>
        <v>9.5516666666666676</v>
      </c>
      <c r="C26" s="65">
        <f>('Dry mt. new'!C58-'Dry mt. new'!C26)/30</f>
        <v>9.4233333333333338</v>
      </c>
      <c r="D26" s="65">
        <f>('Dry mt. new'!D58-'Dry mt. new'!D26)/30</f>
        <v>10.586666666666668</v>
      </c>
      <c r="E26" s="31">
        <f t="shared" si="0"/>
        <v>29.561666666666667</v>
      </c>
      <c r="F26" s="31">
        <f t="shared" si="1"/>
        <v>9.8538888888888891</v>
      </c>
    </row>
    <row r="27" spans="1:21" x14ac:dyDescent="0.25">
      <c r="A27" s="30" t="s">
        <v>4</v>
      </c>
      <c r="B27" s="31">
        <f>SUM(B9:B26)</f>
        <v>223.08933333333334</v>
      </c>
      <c r="C27" s="31">
        <f>SUM(C9:C26)</f>
        <v>209.63766666666672</v>
      </c>
      <c r="D27" s="31">
        <f>SUM(D9:D26)</f>
        <v>202.60366666666667</v>
      </c>
      <c r="E27" s="31">
        <f>SUM(E9:E26)</f>
        <v>635.33066666666673</v>
      </c>
      <c r="F27" s="31">
        <f>AVERAGE(B9:D26)</f>
        <v>11.76538271604938</v>
      </c>
    </row>
    <row r="28" spans="1:21" x14ac:dyDescent="0.25">
      <c r="A28" s="30" t="s">
        <v>5</v>
      </c>
      <c r="B28" s="31">
        <f>B27/18</f>
        <v>12.393851851851853</v>
      </c>
      <c r="C28" s="31">
        <f>C27/18</f>
        <v>11.64653703703704</v>
      </c>
      <c r="D28" s="31">
        <f>D27/18</f>
        <v>11.255759259259259</v>
      </c>
    </row>
    <row r="29" spans="1:21" x14ac:dyDescent="0.25">
      <c r="A29" s="30" t="s">
        <v>26</v>
      </c>
      <c r="B29" s="31">
        <f>(E27*E27)/54</f>
        <v>7474.9084445761337</v>
      </c>
      <c r="C29" s="31"/>
      <c r="D29" s="31"/>
    </row>
    <row r="30" spans="1:21" x14ac:dyDescent="0.25">
      <c r="A30" s="30" t="s">
        <v>27</v>
      </c>
      <c r="B30" s="31">
        <f>SUMSQ(B9:D26)-B29</f>
        <v>212.68568809053249</v>
      </c>
      <c r="C30" s="30" t="s">
        <v>28</v>
      </c>
      <c r="D30" s="31">
        <f>(SUMSQ(B27:D27)/18)-B29</f>
        <v>12.038648720164019</v>
      </c>
    </row>
    <row r="31" spans="1:21" x14ac:dyDescent="0.25">
      <c r="A31" s="30" t="s">
        <v>30</v>
      </c>
      <c r="B31" s="31">
        <f>(SUMSQ(E9:E26)/3)-B29</f>
        <v>147.1041717942353</v>
      </c>
      <c r="C31" s="30" t="s">
        <v>31</v>
      </c>
      <c r="D31" s="31">
        <f>B30-B31-D30</f>
        <v>53.542867576133176</v>
      </c>
    </row>
    <row r="35" spans="1:18" x14ac:dyDescent="0.25">
      <c r="C35" s="48" t="s">
        <v>114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95</v>
      </c>
      <c r="B41" s="65">
        <f>('Dry mt. new'!B73-'Dry mt. new'!B41)/30</f>
        <v>3.7926666666666677</v>
      </c>
      <c r="C41" s="65">
        <f>('Dry mt. new'!C73-'Dry mt. new'!C41)/30</f>
        <v>6.4920000000000018</v>
      </c>
      <c r="D41" s="65">
        <f>('Dry mt. new'!D73-'Dry mt. new'!D41)/30</f>
        <v>10.349666666666669</v>
      </c>
      <c r="E41" s="31">
        <f>SUM(B41:D41)</f>
        <v>20.634333333333338</v>
      </c>
      <c r="F41" s="31">
        <f>E41/3</f>
        <v>6.8781111111111128</v>
      </c>
      <c r="H41" s="47"/>
      <c r="I41" s="47"/>
      <c r="J41" s="47" t="s">
        <v>6</v>
      </c>
      <c r="K41" s="47"/>
      <c r="L41" s="47"/>
      <c r="M41" s="47"/>
      <c r="N41" s="47"/>
      <c r="O41" s="33">
        <v>2</v>
      </c>
      <c r="P41" s="31">
        <f>SUM(F41:F49)/9</f>
        <v>8.8708888888888886</v>
      </c>
      <c r="Q41" s="49">
        <f>RANK(P41,P$41:P$42,0)</f>
        <v>1</v>
      </c>
    </row>
    <row r="42" spans="1:18" s="41" customFormat="1" x14ac:dyDescent="0.25">
      <c r="A42" s="32" t="s">
        <v>96</v>
      </c>
      <c r="B42" s="65">
        <f>('Dry mt. new'!B74-'Dry mt. new'!B42)/30</f>
        <v>8.5980000000000025</v>
      </c>
      <c r="C42" s="65">
        <f>('Dry mt. new'!C74-'Dry mt. new'!C42)/30</f>
        <v>4.8733333333333348</v>
      </c>
      <c r="D42" s="65">
        <f>('Dry mt. new'!D74-'Dry mt. new'!D42)/30</f>
        <v>10.316666666666666</v>
      </c>
      <c r="E42" s="31">
        <f>SUM(B42:D42)</f>
        <v>23.788000000000004</v>
      </c>
      <c r="F42" s="31">
        <f t="shared" ref="F42:F55" si="6">E42/3</f>
        <v>7.9293333333333349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1</v>
      </c>
      <c r="P42" s="31">
        <f>SUM(F50:F58)/9</f>
        <v>8.2756790123456785</v>
      </c>
      <c r="Q42" s="49">
        <f>RANK(P42,P$41:P$42,0)</f>
        <v>2</v>
      </c>
    </row>
    <row r="43" spans="1:18" s="41" customFormat="1" x14ac:dyDescent="0.25">
      <c r="A43" s="32" t="s">
        <v>97</v>
      </c>
      <c r="B43" s="65">
        <f>('Dry mt. new'!B75-'Dry mt. new'!B43)/30</f>
        <v>7.549666666666667</v>
      </c>
      <c r="C43" s="65">
        <f>('Dry mt. new'!C75-'Dry mt. new'!C43)/30</f>
        <v>10.573333333333334</v>
      </c>
      <c r="D43" s="65">
        <f>('Dry mt. new'!D75-'Dry mt. new'!D43)/30</f>
        <v>8.9060000000000024</v>
      </c>
      <c r="E43" s="31">
        <f t="shared" ref="E43:E58" si="7">SUM(B43:D43)</f>
        <v>27.029000000000003</v>
      </c>
      <c r="F43" s="31">
        <f t="shared" si="6"/>
        <v>9.0096666666666678</v>
      </c>
      <c r="G43" s="31" t="s">
        <v>13</v>
      </c>
      <c r="H43" s="31">
        <f>B39-1</f>
        <v>2</v>
      </c>
      <c r="I43" s="31">
        <f>D62</f>
        <v>97.276748572016459</v>
      </c>
      <c r="J43" s="31">
        <f>I43/H43</f>
        <v>48.638374286008229</v>
      </c>
      <c r="K43" s="31">
        <f>J43/$J$16</f>
        <v>30.885621196378011</v>
      </c>
      <c r="L43" s="31">
        <f>FINV(0.05,H43,$H$16)</f>
        <v>3.275897990672394</v>
      </c>
      <c r="M43" s="31" t="str">
        <f>IF(K43&gt;=L43, "S", "NS")</f>
        <v>S</v>
      </c>
      <c r="N43" s="39"/>
      <c r="O43" s="30" t="s">
        <v>14</v>
      </c>
      <c r="P43" s="42">
        <f>SQRT(J48/(3*9))</f>
        <v>0.45783193721101784</v>
      </c>
      <c r="Q43" s="37"/>
    </row>
    <row r="44" spans="1:18" s="41" customFormat="1" x14ac:dyDescent="0.25">
      <c r="A44" s="32" t="s">
        <v>98</v>
      </c>
      <c r="B44" s="65">
        <f>('Dry mt. new'!B76-'Dry mt. new'!B44)/30</f>
        <v>6.541666666666667</v>
      </c>
      <c r="C44" s="65">
        <f>('Dry mt. new'!C76-'Dry mt. new'!C44)/30</f>
        <v>9.3693333333333353</v>
      </c>
      <c r="D44" s="65">
        <f>('Dry mt. new'!D76-'Dry mt. new'!D44)/30</f>
        <v>13.538999999999998</v>
      </c>
      <c r="E44" s="31">
        <f t="shared" si="7"/>
        <v>29.45</v>
      </c>
      <c r="F44" s="31">
        <f t="shared" si="6"/>
        <v>9.8166666666666664</v>
      </c>
      <c r="G44" s="31" t="s">
        <v>15</v>
      </c>
      <c r="H44" s="31">
        <f>D38-1</f>
        <v>17</v>
      </c>
      <c r="I44" s="31">
        <f>B63</f>
        <v>56.935728238684987</v>
      </c>
      <c r="J44" s="31">
        <f t="shared" ref="J44:J48" si="8">I44/H44</f>
        <v>3.3491604846285288</v>
      </c>
      <c r="K44" s="31">
        <f>J44/$J$16</f>
        <v>2.1267343650478736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1.3158216910692055</v>
      </c>
      <c r="Q44" s="37"/>
    </row>
    <row r="45" spans="1:18" s="41" customFormat="1" x14ac:dyDescent="0.25">
      <c r="A45" s="32" t="s">
        <v>99</v>
      </c>
      <c r="B45" s="65">
        <f>('Dry mt. new'!B77-'Dry mt. new'!B45)/30</f>
        <v>7.7066666666666679</v>
      </c>
      <c r="C45" s="65">
        <f>('Dry mt. new'!C77-'Dry mt. new'!C45)/30</f>
        <v>11.138999999999999</v>
      </c>
      <c r="D45" s="65">
        <f>('Dry mt. new'!D77-'Dry mt. new'!D45)/30</f>
        <v>7.7290000000000001</v>
      </c>
      <c r="E45" s="31">
        <f t="shared" si="7"/>
        <v>26.574666666666666</v>
      </c>
      <c r="F45" s="31">
        <f t="shared" si="6"/>
        <v>8.8582222222222224</v>
      </c>
      <c r="G45" s="31" t="s">
        <v>108</v>
      </c>
      <c r="H45" s="31">
        <f>B37-1</f>
        <v>1</v>
      </c>
      <c r="I45" s="31">
        <f>(SUM(E41:E49)^2+SUM(E50:E58)^2)/27-B61</f>
        <v>4.7827097613176193</v>
      </c>
      <c r="J45" s="31">
        <f t="shared" si="8"/>
        <v>4.7827097613176193</v>
      </c>
      <c r="K45" s="31">
        <f>J45/$J$16</f>
        <v>3.0370456280396101</v>
      </c>
      <c r="L45" s="31">
        <f>FINV(0.05,H45,$H$16)</f>
        <v>4.1300177456520188</v>
      </c>
      <c r="M45" s="31" t="str">
        <f>IF(K45&gt;=L45, "S", "NS")</f>
        <v>NS</v>
      </c>
      <c r="N45" s="39"/>
      <c r="O45" s="33">
        <v>1</v>
      </c>
      <c r="P45" s="31">
        <f>(F41+F50)/2</f>
        <v>6.4256111111111123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100</v>
      </c>
      <c r="B46" s="65">
        <f>('Dry mt. new'!B78-'Dry mt. new'!B46)/30</f>
        <v>3.4843333333333324</v>
      </c>
      <c r="C46" s="65">
        <f>('Dry mt. new'!C78-'Dry mt. new'!C46)/30</f>
        <v>11.216666666666667</v>
      </c>
      <c r="D46" s="65">
        <f>('Dry mt. new'!D78-'Dry mt. new'!D46)/30</f>
        <v>12.670666666666671</v>
      </c>
      <c r="E46" s="31">
        <f t="shared" si="7"/>
        <v>27.37166666666667</v>
      </c>
      <c r="F46" s="31">
        <f t="shared" si="6"/>
        <v>9.1238888888888905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17499.761497553496</v>
      </c>
      <c r="J46" s="31">
        <f t="shared" si="8"/>
        <v>2187.470187194187</v>
      </c>
      <c r="K46" s="31">
        <f>J46/$J$16</f>
        <v>1389.0549709323877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0">(F42+F51)/2</f>
        <v>7.4192222222222224</v>
      </c>
      <c r="Q46" s="49">
        <f t="shared" ref="Q46:Q53" si="11">RANK(P46,P$45:P$53,0)</f>
        <v>8</v>
      </c>
      <c r="R46" s="53">
        <v>5</v>
      </c>
    </row>
    <row r="47" spans="1:18" s="41" customFormat="1" x14ac:dyDescent="0.25">
      <c r="A47" s="32" t="s">
        <v>101</v>
      </c>
      <c r="B47" s="65">
        <f>('Dry mt. new'!B79-'Dry mt. new'!B47)/30</f>
        <v>6.4063333333333317</v>
      </c>
      <c r="C47" s="65">
        <f>('Dry mt. new'!C79-'Dry mt. new'!C47)/30</f>
        <v>10.582333333333331</v>
      </c>
      <c r="D47" s="65">
        <f>('Dry mt. new'!D79-'Dry mt. new'!D47)/30</f>
        <v>12.115666666666666</v>
      </c>
      <c r="E47" s="31">
        <f t="shared" si="7"/>
        <v>29.104333333333329</v>
      </c>
      <c r="F47" s="31">
        <f t="shared" si="6"/>
        <v>9.7014444444444425</v>
      </c>
      <c r="G47" s="26" t="s">
        <v>110</v>
      </c>
      <c r="H47" s="31">
        <f>H45*H46</f>
        <v>8</v>
      </c>
      <c r="I47" s="31">
        <f>I44-(I45+I46)</f>
        <v>-17447.608479076131</v>
      </c>
      <c r="J47" s="31">
        <f t="shared" si="8"/>
        <v>-2180.9510598845163</v>
      </c>
      <c r="K47" s="44">
        <f>J47/$J$16</f>
        <v>-1384.9152911101662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1">
        <f t="shared" si="10"/>
        <v>8.756444444444444</v>
      </c>
      <c r="Q47" s="49">
        <f t="shared" si="11"/>
        <v>6</v>
      </c>
      <c r="R47" s="53">
        <v>2</v>
      </c>
    </row>
    <row r="48" spans="1:18" s="41" customFormat="1" x14ac:dyDescent="0.25">
      <c r="A48" s="32" t="s">
        <v>102</v>
      </c>
      <c r="B48" s="65">
        <f>('Dry mt. new'!B80-'Dry mt. new'!B48)/30</f>
        <v>8.6506666666666661</v>
      </c>
      <c r="C48" s="65">
        <f>('Dry mt. new'!C80-'Dry mt. new'!C48)/30</f>
        <v>8.4389999999999983</v>
      </c>
      <c r="D48" s="65">
        <f>('Dry mt. new'!D80-'Dry mt. new'!D48)/30</f>
        <v>9.1160000000000014</v>
      </c>
      <c r="E48" s="31">
        <f t="shared" si="7"/>
        <v>26.205666666666666</v>
      </c>
      <c r="F48" s="31">
        <f t="shared" si="6"/>
        <v>8.7352222222222213</v>
      </c>
      <c r="G48" s="45" t="s">
        <v>23</v>
      </c>
      <c r="H48" s="31">
        <f>((B39-1)*(B37*B38-1))</f>
        <v>34</v>
      </c>
      <c r="I48" s="31">
        <f>D63</f>
        <v>192.42205594650113</v>
      </c>
      <c r="J48" s="31">
        <f t="shared" si="8"/>
        <v>5.6594722337206216</v>
      </c>
      <c r="O48" s="33">
        <v>4</v>
      </c>
      <c r="P48" s="31">
        <f t="shared" si="10"/>
        <v>9.418277777777778</v>
      </c>
      <c r="Q48" s="49">
        <f t="shared" si="11"/>
        <v>2</v>
      </c>
      <c r="R48" s="53">
        <v>7</v>
      </c>
    </row>
    <row r="49" spans="1:18" x14ac:dyDescent="0.25">
      <c r="A49" s="32" t="s">
        <v>103</v>
      </c>
      <c r="B49" s="65">
        <f>('Dry mt. new'!B81-'Dry mt. new'!B49)/30</f>
        <v>6.05</v>
      </c>
      <c r="C49" s="65">
        <f>('Dry mt. new'!C81-'Dry mt. new'!C49)/30</f>
        <v>10.153</v>
      </c>
      <c r="D49" s="65">
        <f>('Dry mt. new'!D81-'Dry mt. new'!D49)/30</f>
        <v>13.153333333333332</v>
      </c>
      <c r="E49" s="31">
        <f t="shared" si="7"/>
        <v>29.356333333333332</v>
      </c>
      <c r="F49" s="31">
        <f t="shared" si="6"/>
        <v>9.7854444444444439</v>
      </c>
      <c r="G49" s="44" t="s">
        <v>4</v>
      </c>
      <c r="H49" s="31">
        <f>SUM(H43:H48)-H44</f>
        <v>53</v>
      </c>
      <c r="I49" s="31">
        <f>B62</f>
        <v>346.63453275720258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0"/>
        <v>8.8131111111111107</v>
      </c>
      <c r="Q49" s="49">
        <f t="shared" si="11"/>
        <v>4</v>
      </c>
      <c r="R49" s="52">
        <v>3</v>
      </c>
    </row>
    <row r="50" spans="1:18" x14ac:dyDescent="0.25">
      <c r="A50" s="32" t="s">
        <v>86</v>
      </c>
      <c r="B50" s="65">
        <f>('Dry mt. new'!B82-'Dry mt. new'!B50)/30</f>
        <v>4.2966666666666677</v>
      </c>
      <c r="C50" s="65">
        <f>('Dry mt. new'!C82-'Dry mt. new'!C50)/30</f>
        <v>5.198999999999999</v>
      </c>
      <c r="D50" s="65">
        <f>('Dry mt. new'!D82-'Dry mt. new'!D50)/30</f>
        <v>8.4236666666666657</v>
      </c>
      <c r="E50" s="31">
        <f t="shared" si="7"/>
        <v>17.919333333333334</v>
      </c>
      <c r="F50" s="31">
        <f t="shared" si="6"/>
        <v>5.9731111111111117</v>
      </c>
      <c r="G50" s="34" t="s">
        <v>14</v>
      </c>
      <c r="H50" s="31">
        <f>SQRT(J48/3)</f>
        <v>1.3734958116330536</v>
      </c>
      <c r="O50" s="33">
        <v>6</v>
      </c>
      <c r="P50" s="31">
        <f t="shared" si="10"/>
        <v>8.6253888888888888</v>
      </c>
      <c r="Q50" s="49">
        <f t="shared" si="11"/>
        <v>7</v>
      </c>
      <c r="R50" s="53">
        <v>1</v>
      </c>
    </row>
    <row r="51" spans="1:18" x14ac:dyDescent="0.25">
      <c r="A51" s="32" t="s">
        <v>87</v>
      </c>
      <c r="B51" s="65">
        <f>('Dry mt. new'!B83-'Dry mt. new'!B51)/30</f>
        <v>4.685666666666668</v>
      </c>
      <c r="C51" s="65">
        <f>('Dry mt. new'!C83-'Dry mt. new'!C51)/30</f>
        <v>10.705333333333332</v>
      </c>
      <c r="D51" s="65">
        <f>('Dry mt. new'!D83-'Dry mt. new'!D51)/30</f>
        <v>5.3363333333333305</v>
      </c>
      <c r="E51" s="31">
        <f t="shared" si="7"/>
        <v>20.727333333333331</v>
      </c>
      <c r="F51" s="31">
        <f t="shared" si="6"/>
        <v>6.9091111111111099</v>
      </c>
      <c r="G51" s="34" t="s">
        <v>16</v>
      </c>
      <c r="H51" s="31">
        <f>(SQRT((2*J48)/3))*L49</f>
        <v>3.9474650732076166</v>
      </c>
      <c r="O51" s="33">
        <v>7</v>
      </c>
      <c r="P51" s="31">
        <f t="shared" si="10"/>
        <v>9.514555555555555</v>
      </c>
      <c r="Q51" s="49">
        <f t="shared" si="11"/>
        <v>1</v>
      </c>
      <c r="R51" s="53">
        <v>6</v>
      </c>
    </row>
    <row r="52" spans="1:18" x14ac:dyDescent="0.25">
      <c r="A52" s="32" t="s">
        <v>88</v>
      </c>
      <c r="B52" s="65">
        <f>('Dry mt. new'!B84-'Dry mt. new'!B52)/30</f>
        <v>6.0996666666666632</v>
      </c>
      <c r="C52" s="65">
        <f>('Dry mt. new'!C84-'Dry mt. new'!C52)/30</f>
        <v>12.033333333333333</v>
      </c>
      <c r="D52" s="65">
        <f>('Dry mt. new'!D84-'Dry mt. new'!D52)/30</f>
        <v>7.3766666666666652</v>
      </c>
      <c r="E52" s="31">
        <f t="shared" si="7"/>
        <v>25.509666666666661</v>
      </c>
      <c r="F52" s="31">
        <f t="shared" si="6"/>
        <v>8.5032222222222202</v>
      </c>
      <c r="G52" s="34" t="s">
        <v>29</v>
      </c>
      <c r="H52" s="31">
        <f>((SQRT(J48))/F59)*100</f>
        <v>27.748579697517339</v>
      </c>
      <c r="O52" s="33">
        <v>8</v>
      </c>
      <c r="P52" s="31">
        <f t="shared" si="10"/>
        <v>8.7946666666666644</v>
      </c>
      <c r="Q52" s="49">
        <f t="shared" si="11"/>
        <v>5</v>
      </c>
      <c r="R52" s="52">
        <v>4</v>
      </c>
    </row>
    <row r="53" spans="1:18" x14ac:dyDescent="0.25">
      <c r="A53" s="32" t="s">
        <v>89</v>
      </c>
      <c r="B53" s="65">
        <f>('Dry mt. new'!B85-'Dry mt. new'!B53)/30</f>
        <v>7.1029999999999989</v>
      </c>
      <c r="C53" s="65">
        <f>('Dry mt. new'!C85-'Dry mt. new'!C53)/30</f>
        <v>8.9329999999999998</v>
      </c>
      <c r="D53" s="65">
        <f>('Dry mt. new'!D85-'Dry mt. new'!D53)/30</f>
        <v>11.023666666666667</v>
      </c>
      <c r="E53" s="31">
        <f t="shared" si="7"/>
        <v>27.059666666666665</v>
      </c>
      <c r="F53" s="31">
        <f t="shared" si="6"/>
        <v>9.0198888888888877</v>
      </c>
      <c r="O53" s="33">
        <v>9</v>
      </c>
      <c r="P53" s="31">
        <f t="shared" si="10"/>
        <v>9.3922777777777782</v>
      </c>
      <c r="Q53" s="49">
        <f t="shared" si="11"/>
        <v>3</v>
      </c>
      <c r="R53" s="53">
        <v>8</v>
      </c>
    </row>
    <row r="54" spans="1:18" x14ac:dyDescent="0.25">
      <c r="A54" s="32" t="s">
        <v>90</v>
      </c>
      <c r="B54" s="65">
        <f>('Dry mt. new'!B86-'Dry mt. new'!B54)/30</f>
        <v>6.804666666666666</v>
      </c>
      <c r="C54" s="65">
        <f>('Dry mt. new'!C86-'Dry mt. new'!C54)/30</f>
        <v>11.418999999999999</v>
      </c>
      <c r="D54" s="65">
        <f>('Dry mt. new'!D86-'Dry mt. new'!D54)/30</f>
        <v>8.080333333333332</v>
      </c>
      <c r="E54" s="31">
        <f t="shared" si="7"/>
        <v>26.303999999999998</v>
      </c>
      <c r="F54" s="31">
        <f t="shared" si="6"/>
        <v>8.7679999999999989</v>
      </c>
      <c r="I54" s="68"/>
      <c r="J54" s="68"/>
      <c r="K54" s="68"/>
      <c r="O54" s="30" t="s">
        <v>14</v>
      </c>
      <c r="P54" s="42">
        <f>SQRT(J48/(3*2))</f>
        <v>0.97120820233705307</v>
      </c>
      <c r="Q54" s="49"/>
    </row>
    <row r="55" spans="1:18" x14ac:dyDescent="0.25">
      <c r="A55" s="32" t="s">
        <v>91</v>
      </c>
      <c r="B55" s="65">
        <f>('Dry mt. new'!B87-'Dry mt. new'!B55)/30</f>
        <v>6.5583333333333336</v>
      </c>
      <c r="C55" s="65">
        <f>('Dry mt. new'!C87-'Dry mt. new'!C55)/30</f>
        <v>9.1046666666666667</v>
      </c>
      <c r="D55" s="65">
        <f>('Dry mt. new'!D87-'Dry mt. new'!D55)/30</f>
        <v>8.7176666666666662</v>
      </c>
      <c r="E55" s="31">
        <f t="shared" si="7"/>
        <v>24.380666666666666</v>
      </c>
      <c r="F55" s="31">
        <f t="shared" si="6"/>
        <v>8.1268888888888888</v>
      </c>
      <c r="I55" s="68"/>
      <c r="J55" s="68"/>
      <c r="K55" s="68"/>
      <c r="N55" s="30" t="s">
        <v>109</v>
      </c>
      <c r="O55" s="30" t="s">
        <v>16</v>
      </c>
      <c r="P55" s="42">
        <f>SQRT((2*J48)/(3*2))*L49</f>
        <v>2.7912793217621572</v>
      </c>
      <c r="Q55" s="49"/>
    </row>
    <row r="56" spans="1:18" x14ac:dyDescent="0.25">
      <c r="A56" s="32" t="s">
        <v>92</v>
      </c>
      <c r="B56" s="65">
        <f>('Dry mt. new'!B88-'Dry mt. new'!B56)/30</f>
        <v>8.2160000000000011</v>
      </c>
      <c r="C56" s="65">
        <f>('Dry mt. new'!C88-'Dry mt. new'!C56)/30</f>
        <v>11.979666666666667</v>
      </c>
      <c r="D56" s="65">
        <f>('Dry mt. new'!D88-'Dry mt. new'!D56)/30</f>
        <v>7.7873333333333337</v>
      </c>
      <c r="E56" s="31">
        <f t="shared" si="7"/>
        <v>27.983000000000001</v>
      </c>
      <c r="F56" s="31">
        <f>E56/3</f>
        <v>9.3276666666666674</v>
      </c>
      <c r="I56" s="68"/>
      <c r="J56" s="68"/>
      <c r="K56" s="68"/>
      <c r="Q56" s="49"/>
    </row>
    <row r="57" spans="1:18" x14ac:dyDescent="0.25">
      <c r="A57" s="32" t="s">
        <v>93</v>
      </c>
      <c r="B57" s="65">
        <f>('Dry mt. new'!B89-'Dry mt. new'!B57)/30</f>
        <v>8.6703333333333337</v>
      </c>
      <c r="C57" s="65">
        <f>('Dry mt. new'!C89-'Dry mt. new'!C57)/30</f>
        <v>6.5593333333333321</v>
      </c>
      <c r="D57" s="65">
        <f>('Dry mt. new'!D89-'Dry mt. new'!D57)/30</f>
        <v>11.332666666666663</v>
      </c>
      <c r="E57" s="31">
        <f t="shared" si="7"/>
        <v>26.562333333333328</v>
      </c>
      <c r="F57" s="31">
        <f t="shared" ref="F57:F58" si="13">E57/3</f>
        <v>8.8541111111111093</v>
      </c>
    </row>
    <row r="58" spans="1:18" x14ac:dyDescent="0.25">
      <c r="A58" s="32" t="s">
        <v>94</v>
      </c>
      <c r="B58" s="65">
        <f>('Dry mt. new'!B90-'Dry mt. new'!B58)/30</f>
        <v>8.9390000000000001</v>
      </c>
      <c r="C58" s="65">
        <f>('Dry mt. new'!C90-'Dry mt. new'!C58)/30</f>
        <v>12.755000000000001</v>
      </c>
      <c r="D58" s="65">
        <f>('Dry mt. new'!D90-'Dry mt. new'!D58)/30</f>
        <v>5.3033333333333301</v>
      </c>
      <c r="E58" s="31">
        <f t="shared" si="7"/>
        <v>26.997333333333334</v>
      </c>
      <c r="F58" s="31">
        <f t="shared" si="13"/>
        <v>8.9991111111111106</v>
      </c>
    </row>
    <row r="59" spans="1:18" x14ac:dyDescent="0.25">
      <c r="A59" s="30" t="s">
        <v>4</v>
      </c>
      <c r="B59" s="31">
        <f>SUM(B41:B58)</f>
        <v>120.15333333333331</v>
      </c>
      <c r="C59" s="31">
        <f t="shared" ref="C59:D59" si="14">SUM(C41:C58)</f>
        <v>171.52633333333335</v>
      </c>
      <c r="D59" s="31">
        <f t="shared" si="14"/>
        <v>171.27766666666665</v>
      </c>
      <c r="E59" s="31">
        <f>SUM(E41:E58)</f>
        <v>462.95733333333328</v>
      </c>
      <c r="F59" s="31">
        <f>AVERAGE(B41:D58)</f>
        <v>8.573283950617288</v>
      </c>
    </row>
    <row r="60" spans="1:18" x14ac:dyDescent="0.25">
      <c r="A60" s="30" t="s">
        <v>5</v>
      </c>
      <c r="B60" s="31">
        <f>B59/18</f>
        <v>6.6751851851851836</v>
      </c>
      <c r="C60" s="31">
        <f>C59/18</f>
        <v>9.5292407407407413</v>
      </c>
      <c r="D60" s="31">
        <f>D59/18</f>
        <v>9.5154259259259248</v>
      </c>
    </row>
    <row r="61" spans="1:18" x14ac:dyDescent="0.25">
      <c r="A61" s="30" t="s">
        <v>26</v>
      </c>
      <c r="B61" s="31">
        <f>(E59*E59)/54</f>
        <v>3969.064675687242</v>
      </c>
      <c r="C61" s="31"/>
      <c r="D61" s="31"/>
    </row>
    <row r="62" spans="1:18" x14ac:dyDescent="0.25">
      <c r="A62" s="30" t="s">
        <v>27</v>
      </c>
      <c r="B62" s="31">
        <f>SUMSQ(B41:D58)-B61</f>
        <v>346.63453275720258</v>
      </c>
      <c r="C62" s="30" t="s">
        <v>28</v>
      </c>
      <c r="D62" s="31">
        <f>(SUMSQ(B59:D59)/18)-B61</f>
        <v>97.276748572016459</v>
      </c>
    </row>
    <row r="63" spans="1:18" x14ac:dyDescent="0.25">
      <c r="A63" s="30" t="s">
        <v>30</v>
      </c>
      <c r="B63" s="31">
        <f>(SUMSQ(E41:E58)/3)-B61</f>
        <v>56.935728238684987</v>
      </c>
      <c r="C63" s="30" t="s">
        <v>31</v>
      </c>
      <c r="D63" s="31">
        <f>B62-B63-D62</f>
        <v>192.42205594650113</v>
      </c>
    </row>
    <row r="67" spans="1:19" x14ac:dyDescent="0.25">
      <c r="C67" s="66" t="s">
        <v>115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95</v>
      </c>
      <c r="B73" s="65">
        <f>('Dry mt. new'!B105-'Dry mt. new'!B73)/30</f>
        <v>2.7299999999999991</v>
      </c>
      <c r="C73" s="65">
        <f>('Dry mt. new'!C105-'Dry mt. new'!C73)/30</f>
        <v>3.0636666666666654</v>
      </c>
      <c r="D73" s="65">
        <f>('Dry mt. new'!D105-'Dry mt. new'!D73)/30</f>
        <v>2.8833333333333333</v>
      </c>
      <c r="E73" s="31">
        <f>SUM(B73:D73)</f>
        <v>8.6769999999999978</v>
      </c>
      <c r="F73" s="31">
        <f>E73/3</f>
        <v>2.8923333333333328</v>
      </c>
      <c r="H73" s="47"/>
      <c r="I73" s="47"/>
      <c r="J73" s="47" t="s">
        <v>6</v>
      </c>
      <c r="K73" s="47"/>
      <c r="L73" s="47"/>
      <c r="M73" s="47"/>
      <c r="N73" s="47"/>
      <c r="O73" s="33">
        <v>2</v>
      </c>
      <c r="P73" s="31">
        <f>SUM(F73:F81)/9</f>
        <v>4.5345555555555555</v>
      </c>
      <c r="Q73" s="49">
        <f>RANK(P73,P$73:P$74,0)</f>
        <v>1</v>
      </c>
      <c r="R73" s="41"/>
      <c r="S73" s="41"/>
    </row>
    <row r="74" spans="1:19" x14ac:dyDescent="0.25">
      <c r="A74" s="32" t="s">
        <v>96</v>
      </c>
      <c r="B74" s="65">
        <f>('Dry mt. new'!B106-'Dry mt. new'!B74)/30</f>
        <v>5.5586666666666664</v>
      </c>
      <c r="C74" s="65">
        <f>('Dry mt. new'!C106-'Dry mt. new'!C74)/30</f>
        <v>6.4143333333333317</v>
      </c>
      <c r="D74" s="65">
        <f>('Dry mt. new'!D106-'Dry mt. new'!D74)/30</f>
        <v>4.415666666666664</v>
      </c>
      <c r="E74" s="31">
        <f t="shared" ref="E74:E90" si="15">SUM(B74:D74)</f>
        <v>16.388666666666662</v>
      </c>
      <c r="F74" s="31">
        <f t="shared" ref="F74:F87" si="16">E74/3</f>
        <v>5.4628888888888874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1</v>
      </c>
      <c r="P74" s="31">
        <f>SUM(F82:F90)/9</f>
        <v>4.2541851851851833</v>
      </c>
      <c r="Q74" s="49">
        <f>RANK(P74,P$73:P$74,0)</f>
        <v>2</v>
      </c>
      <c r="R74" s="41"/>
      <c r="S74" s="41"/>
    </row>
    <row r="75" spans="1:19" x14ac:dyDescent="0.25">
      <c r="A75" s="32" t="s">
        <v>97</v>
      </c>
      <c r="B75" s="65">
        <f>('Dry mt. new'!B107-'Dry mt. new'!B75)/30</f>
        <v>3.2736666666666641</v>
      </c>
      <c r="C75" s="65">
        <f>('Dry mt. new'!C107-'Dry mt. new'!C75)/30</f>
        <v>1.7496666666666632</v>
      </c>
      <c r="D75" s="65">
        <f>('Dry mt. new'!D107-'Dry mt. new'!D75)/30</f>
        <v>8.44933333333333</v>
      </c>
      <c r="E75" s="31">
        <f t="shared" si="15"/>
        <v>13.472666666666658</v>
      </c>
      <c r="F75" s="31">
        <f t="shared" si="16"/>
        <v>4.490888888888886</v>
      </c>
      <c r="G75" s="31" t="s">
        <v>13</v>
      </c>
      <c r="H75" s="31">
        <f>B71-1</f>
        <v>2</v>
      </c>
      <c r="I75" s="31">
        <f>D94</f>
        <v>70.095250604938428</v>
      </c>
      <c r="J75" s="31">
        <f>I75/H75</f>
        <v>35.047625302469214</v>
      </c>
      <c r="K75" s="31">
        <f>J75/$J$16</f>
        <v>22.25542475082376</v>
      </c>
      <c r="L75" s="31">
        <f>FINV(0.05,H75,$H$16)</f>
        <v>3.275897990672394</v>
      </c>
      <c r="M75" s="31" t="str">
        <f>IF(K75&gt;=L75, "S", "NS")</f>
        <v>S</v>
      </c>
      <c r="N75" s="39"/>
      <c r="O75" s="30" t="s">
        <v>14</v>
      </c>
      <c r="P75" s="42">
        <f>SQRT(J80/(3*9))</f>
        <v>0.46863455681822375</v>
      </c>
      <c r="R75" s="41"/>
      <c r="S75" s="41"/>
    </row>
    <row r="76" spans="1:19" x14ac:dyDescent="0.25">
      <c r="A76" s="32" t="s">
        <v>98</v>
      </c>
      <c r="B76" s="65">
        <f>('Dry mt. new'!B108-'Dry mt. new'!B76)/30</f>
        <v>6.8786666666666667</v>
      </c>
      <c r="C76" s="65">
        <f>('Dry mt. new'!C108-'Dry mt. new'!C76)/30</f>
        <v>4.8313333333333315</v>
      </c>
      <c r="D76" s="65">
        <f>('Dry mt. new'!D108-'Dry mt. new'!D76)/30</f>
        <v>2.051666666666669</v>
      </c>
      <c r="E76" s="31">
        <f t="shared" si="15"/>
        <v>13.761666666666667</v>
      </c>
      <c r="F76" s="31">
        <f t="shared" si="16"/>
        <v>4.5872222222222225</v>
      </c>
      <c r="G76" s="31" t="s">
        <v>15</v>
      </c>
      <c r="H76" s="31">
        <f>D70-1</f>
        <v>17</v>
      </c>
      <c r="I76" s="31">
        <f>B95</f>
        <v>31.825901555555902</v>
      </c>
      <c r="J76" s="31">
        <f t="shared" ref="J76:J80" si="17">I76/H76</f>
        <v>1.8721118562091708</v>
      </c>
      <c r="K76" s="31">
        <f>J76/$J$16</f>
        <v>1.1888007869695179</v>
      </c>
      <c r="L76" s="31">
        <f>FINV(0.05,H76,$H$16)</f>
        <v>1.9332068318040869</v>
      </c>
      <c r="M76" s="43" t="str">
        <f t="shared" ref="M76" si="18">IF(K76&gt;=L76, "S", "NS")</f>
        <v>NS</v>
      </c>
      <c r="N76" s="30" t="s">
        <v>113</v>
      </c>
      <c r="O76" s="30" t="s">
        <v>16</v>
      </c>
      <c r="P76" s="42">
        <f>SQRT((2*J80)/(3*9))*L81</f>
        <v>1.3468687195620639</v>
      </c>
      <c r="R76" s="41"/>
      <c r="S76" s="41"/>
    </row>
    <row r="77" spans="1:19" x14ac:dyDescent="0.25">
      <c r="A77" s="32" t="s">
        <v>99</v>
      </c>
      <c r="B77" s="65">
        <f>('Dry mt. new'!B109-'Dry mt. new'!B77)/30</f>
        <v>6.6966666666666663</v>
      </c>
      <c r="C77" s="65">
        <f>('Dry mt. new'!C109-'Dry mt. new'!C77)/30</f>
        <v>2.3713333333333368</v>
      </c>
      <c r="D77" s="65">
        <f>('Dry mt. new'!D109-'Dry mt. new'!D77)/30</f>
        <v>5.7740000000000009</v>
      </c>
      <c r="E77" s="31">
        <f t="shared" si="15"/>
        <v>14.842000000000004</v>
      </c>
      <c r="F77" s="31">
        <f t="shared" si="16"/>
        <v>4.9473333333333347</v>
      </c>
      <c r="G77" s="31" t="s">
        <v>108</v>
      </c>
      <c r="H77" s="31">
        <f>B69-1</f>
        <v>1</v>
      </c>
      <c r="I77" s="31">
        <f>(SUM(E73:E81)^2+SUM(E82:E90)^2)/27-B93</f>
        <v>1.0612018518520472</v>
      </c>
      <c r="J77" s="31">
        <f t="shared" si="17"/>
        <v>1.0612018518520472</v>
      </c>
      <c r="K77" s="31">
        <f>J77/$J$16</f>
        <v>0.67386870738041516</v>
      </c>
      <c r="L77" s="31">
        <f>FINV(0.05,H77,$H$16)</f>
        <v>4.1300177456520188</v>
      </c>
      <c r="M77" s="31" t="str">
        <f>IF(K77&gt;=L77, "S", "NS")</f>
        <v>NS</v>
      </c>
      <c r="N77" s="39"/>
      <c r="O77" s="33">
        <v>1</v>
      </c>
      <c r="P77" s="31">
        <f>(F73+F82)/2</f>
        <v>2.5333888888888891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100</v>
      </c>
      <c r="B78" s="65">
        <f>('Dry mt. new'!B110-'Dry mt. new'!B78)/30</f>
        <v>8.4520000000000017</v>
      </c>
      <c r="C78" s="65">
        <f>('Dry mt. new'!C110-'Dry mt. new'!C78)/30</f>
        <v>3.0173333333333328</v>
      </c>
      <c r="D78" s="65">
        <f>('Dry mt. new'!D110-'Dry mt. new'!D78)/30</f>
        <v>1.7006666666666661</v>
      </c>
      <c r="E78" s="31">
        <f t="shared" si="15"/>
        <v>13.170000000000002</v>
      </c>
      <c r="F78" s="31">
        <f t="shared" si="16"/>
        <v>4.3900000000000006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4773.4442347222184</v>
      </c>
      <c r="J78" s="31">
        <f t="shared" si="17"/>
        <v>596.6805293402773</v>
      </c>
      <c r="K78" s="31">
        <f>J78/$J$16</f>
        <v>378.89524629443741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31">
        <f t="shared" ref="P78:P85" si="19">(F74+F83)/2</f>
        <v>5.4497777777777774</v>
      </c>
      <c r="Q78" s="49">
        <f t="shared" ref="Q78:Q84" si="20">RANK(P78,P$77:P$85,0)</f>
        <v>1</v>
      </c>
      <c r="R78" s="53">
        <v>5</v>
      </c>
      <c r="S78" s="41"/>
    </row>
    <row r="79" spans="1:19" x14ac:dyDescent="0.25">
      <c r="A79" s="32" t="s">
        <v>101</v>
      </c>
      <c r="B79" s="65">
        <f>('Dry mt. new'!B111-'Dry mt. new'!B79)/30</f>
        <v>6.3310000000000022</v>
      </c>
      <c r="C79" s="65">
        <f>('Dry mt. new'!C111-'Dry mt. new'!C79)/30</f>
        <v>5.3929999999999989</v>
      </c>
      <c r="D79" s="65">
        <f>('Dry mt. new'!D111-'Dry mt. new'!D79)/30</f>
        <v>2.85</v>
      </c>
      <c r="E79" s="31">
        <f t="shared" si="15"/>
        <v>14.574</v>
      </c>
      <c r="F79" s="31">
        <f t="shared" si="16"/>
        <v>4.8579999999999997</v>
      </c>
      <c r="G79" s="26" t="s">
        <v>110</v>
      </c>
      <c r="H79" s="31">
        <f>H77*H78</f>
        <v>8</v>
      </c>
      <c r="I79" s="31">
        <f>I76-(I77+I78)</f>
        <v>-4742.6795350185148</v>
      </c>
      <c r="J79" s="31">
        <f t="shared" si="17"/>
        <v>-592.83494187731435</v>
      </c>
      <c r="K79" s="44">
        <f>J79/$J$16</f>
        <v>-376.4532782105498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31">
        <f t="shared" si="19"/>
        <v>4.3648888888888866</v>
      </c>
      <c r="Q79" s="49">
        <f t="shared" si="20"/>
        <v>7</v>
      </c>
      <c r="R79" s="53">
        <v>2</v>
      </c>
      <c r="S79" s="41"/>
    </row>
    <row r="80" spans="1:19" x14ac:dyDescent="0.25">
      <c r="A80" s="32" t="s">
        <v>102</v>
      </c>
      <c r="B80" s="65">
        <f>('Dry mt. new'!B112-'Dry mt. new'!B80)/30</f>
        <v>5.1509999999999989</v>
      </c>
      <c r="C80" s="65">
        <f>('Dry mt. new'!C112-'Dry mt. new'!C80)/30</f>
        <v>4.6610000000000049</v>
      </c>
      <c r="D80" s="65">
        <f>('Dry mt. new'!D112-'Dry mt. new'!D80)/30</f>
        <v>4.0256666666666625</v>
      </c>
      <c r="E80" s="31">
        <f t="shared" si="15"/>
        <v>13.837666666666667</v>
      </c>
      <c r="F80" s="31">
        <f t="shared" si="16"/>
        <v>4.6125555555555557</v>
      </c>
      <c r="G80" s="45" t="s">
        <v>23</v>
      </c>
      <c r="H80" s="31">
        <f>((B71-1)*(B69*B70-1))</f>
        <v>34</v>
      </c>
      <c r="I80" s="31">
        <f>D95</f>
        <v>201.60964332098752</v>
      </c>
      <c r="J80" s="31">
        <f t="shared" si="17"/>
        <v>5.92969539179375</v>
      </c>
      <c r="O80" s="33">
        <v>4</v>
      </c>
      <c r="P80" s="31">
        <f t="shared" si="19"/>
        <v>4.7796666666666674</v>
      </c>
      <c r="Q80" s="49">
        <f t="shared" si="20"/>
        <v>2</v>
      </c>
      <c r="R80" s="53">
        <v>7</v>
      </c>
      <c r="S80" s="41"/>
    </row>
    <row r="81" spans="1:18" x14ac:dyDescent="0.25">
      <c r="A81" s="32" t="s">
        <v>103</v>
      </c>
      <c r="B81" s="65">
        <f>('Dry mt. new'!B113-'Dry mt. new'!B81)/30</f>
        <v>7.2493333333333343</v>
      </c>
      <c r="C81" s="65">
        <f>('Dry mt. new'!C113-'Dry mt. new'!C81)/30</f>
        <v>3.7233333333333349</v>
      </c>
      <c r="D81" s="65">
        <f>('Dry mt. new'!D113-'Dry mt. new'!D81)/30</f>
        <v>2.7366666666666672</v>
      </c>
      <c r="E81" s="31">
        <f t="shared" si="15"/>
        <v>13.709333333333337</v>
      </c>
      <c r="F81" s="31">
        <f t="shared" si="16"/>
        <v>4.5697777777777793</v>
      </c>
      <c r="G81" s="44" t="s">
        <v>4</v>
      </c>
      <c r="H81" s="31">
        <f>SUM(H75:H80)-H76</f>
        <v>53</v>
      </c>
      <c r="I81" s="31">
        <f>B94</f>
        <v>303.53079548148185</v>
      </c>
      <c r="K81" s="31" t="s">
        <v>111</v>
      </c>
      <c r="L81" s="41">
        <f>TINV(0.05,34)</f>
        <v>2.0322445093177191</v>
      </c>
      <c r="O81" s="33">
        <v>5</v>
      </c>
      <c r="P81" s="31">
        <f t="shared" si="19"/>
        <v>4.4815555555555555</v>
      </c>
      <c r="Q81" s="49">
        <f t="shared" si="20"/>
        <v>6</v>
      </c>
      <c r="R81" s="52">
        <v>3</v>
      </c>
    </row>
    <row r="82" spans="1:18" x14ac:dyDescent="0.25">
      <c r="A82" s="32" t="s">
        <v>86</v>
      </c>
      <c r="B82" s="65">
        <f>('Dry mt. new'!B114-'Dry mt. new'!B82)/30</f>
        <v>2.9013333333333322</v>
      </c>
      <c r="C82" s="65">
        <f>('Dry mt. new'!C114-'Dry mt. new'!C82)/30</f>
        <v>3.0896666666666683</v>
      </c>
      <c r="D82" s="65">
        <f>('Dry mt. new'!D114-'Dry mt. new'!D82)/30</f>
        <v>0.53233333333333421</v>
      </c>
      <c r="E82" s="31">
        <f t="shared" si="15"/>
        <v>6.5233333333333352</v>
      </c>
      <c r="F82" s="31">
        <f t="shared" si="16"/>
        <v>2.1744444444444451</v>
      </c>
      <c r="G82" s="34" t="s">
        <v>14</v>
      </c>
      <c r="H82" s="31">
        <f>SQRT(J80/3)</f>
        <v>1.4059036704546712</v>
      </c>
      <c r="O82" s="33">
        <v>6</v>
      </c>
      <c r="P82" s="31">
        <f t="shared" si="19"/>
        <v>4.3034999999999988</v>
      </c>
      <c r="Q82" s="49">
        <f t="shared" si="20"/>
        <v>8</v>
      </c>
      <c r="R82" s="53">
        <v>1</v>
      </c>
    </row>
    <row r="83" spans="1:18" x14ac:dyDescent="0.25">
      <c r="A83" s="32" t="s">
        <v>87</v>
      </c>
      <c r="B83" s="65">
        <f>('Dry mt. new'!B115-'Dry mt. new'!B83)/30</f>
        <v>5.1853333333333316</v>
      </c>
      <c r="C83" s="65">
        <f>('Dry mt. new'!C115-'Dry mt. new'!C83)/30</f>
        <v>0.28566666666666835</v>
      </c>
      <c r="D83" s="65">
        <f>('Dry mt. new'!D115-'Dry mt. new'!D83)/30</f>
        <v>10.838999999999999</v>
      </c>
      <c r="E83" s="31">
        <f t="shared" si="15"/>
        <v>16.309999999999999</v>
      </c>
      <c r="F83" s="31">
        <f t="shared" si="16"/>
        <v>5.4366666666666665</v>
      </c>
      <c r="G83" s="34" t="s">
        <v>16</v>
      </c>
      <c r="H83" s="31">
        <f>(SQRT((2*J80)/3))*L81</f>
        <v>4.0406061586861917</v>
      </c>
      <c r="O83" s="33">
        <v>7</v>
      </c>
      <c r="P83" s="31">
        <f t="shared" si="19"/>
        <v>4.5814444444444433</v>
      </c>
      <c r="Q83" s="49">
        <f t="shared" si="20"/>
        <v>3</v>
      </c>
      <c r="R83" s="53">
        <v>6</v>
      </c>
    </row>
    <row r="84" spans="1:18" x14ac:dyDescent="0.25">
      <c r="A84" s="32" t="s">
        <v>88</v>
      </c>
      <c r="B84" s="65">
        <f>('Dry mt. new'!B116-'Dry mt. new'!B84)/30</f>
        <v>5.6530000000000014</v>
      </c>
      <c r="C84" s="65">
        <f>('Dry mt. new'!C116-'Dry mt. new'!C84)/30</f>
        <v>0.68733333333332969</v>
      </c>
      <c r="D84" s="65">
        <f>('Dry mt. new'!D116-'Dry mt. new'!D84)/30</f>
        <v>6.3763333333333287</v>
      </c>
      <c r="E84" s="31">
        <f t="shared" si="15"/>
        <v>12.71666666666666</v>
      </c>
      <c r="F84" s="31">
        <f t="shared" si="16"/>
        <v>4.2388888888888863</v>
      </c>
      <c r="G84" s="34" t="s">
        <v>29</v>
      </c>
      <c r="H84" s="31">
        <f>((SQRT(J80))/F91)*100</f>
        <v>55.414004340508647</v>
      </c>
      <c r="O84" s="33">
        <v>8</v>
      </c>
      <c r="P84" s="31">
        <f t="shared" si="19"/>
        <v>4.532388888888887</v>
      </c>
      <c r="Q84" s="49">
        <f t="shared" si="20"/>
        <v>4</v>
      </c>
      <c r="R84" s="52">
        <v>4</v>
      </c>
    </row>
    <row r="85" spans="1:18" x14ac:dyDescent="0.25">
      <c r="A85" s="32" t="s">
        <v>89</v>
      </c>
      <c r="B85" s="65">
        <f>('Dry mt. new'!B117-'Dry mt. new'!B85)/30</f>
        <v>6.9626666666666663</v>
      </c>
      <c r="C85" s="65">
        <f>('Dry mt. new'!C117-'Dry mt. new'!C85)/30</f>
        <v>6.833333333333333</v>
      </c>
      <c r="D85" s="65">
        <f>('Dry mt. new'!D117-'Dry mt. new'!D85)/30</f>
        <v>1.1203333333333338</v>
      </c>
      <c r="E85" s="31">
        <f t="shared" si="15"/>
        <v>14.916333333333334</v>
      </c>
      <c r="F85" s="31">
        <f t="shared" si="16"/>
        <v>4.9721111111111114</v>
      </c>
      <c r="O85" s="33">
        <v>9</v>
      </c>
      <c r="P85" s="31">
        <f t="shared" si="19"/>
        <v>4.5227222222222236</v>
      </c>
      <c r="Q85" s="49">
        <f>RANK(P85,P$77:P$85,0)</f>
        <v>5</v>
      </c>
      <c r="R85" s="53">
        <v>8</v>
      </c>
    </row>
    <row r="86" spans="1:18" x14ac:dyDescent="0.25">
      <c r="A86" s="32" t="s">
        <v>90</v>
      </c>
      <c r="B86" s="65">
        <f>('Dry mt. new'!B118-'Dry mt. new'!B86)/30</f>
        <v>5.7960000000000003</v>
      </c>
      <c r="C86" s="65">
        <f>('Dry mt. new'!C118-'Dry mt. new'!C86)/30</f>
        <v>3.2870000000000004</v>
      </c>
      <c r="D86" s="65">
        <f>('Dry mt. new'!D118-'Dry mt. new'!D86)/30</f>
        <v>2.9643333333333315</v>
      </c>
      <c r="E86" s="31">
        <f t="shared" si="15"/>
        <v>12.047333333333331</v>
      </c>
      <c r="F86" s="31">
        <f t="shared" si="16"/>
        <v>4.0157777777777772</v>
      </c>
      <c r="O86" s="30" t="s">
        <v>14</v>
      </c>
      <c r="P86" s="42">
        <f>SQRT(J80/(3*2))</f>
        <v>0.99412401907355519</v>
      </c>
      <c r="Q86" s="49"/>
    </row>
    <row r="87" spans="1:18" x14ac:dyDescent="0.25">
      <c r="A87" s="32" t="s">
        <v>91</v>
      </c>
      <c r="B87" s="65">
        <f>('Dry mt. new'!B119-'Dry mt. new'!B87)/30</f>
        <v>6.0106666666666646</v>
      </c>
      <c r="C87" s="65">
        <f>('Dry mt. new'!C119-'Dry mt. new'!C87)/30</f>
        <v>1.2493333333333301</v>
      </c>
      <c r="D87" s="65">
        <f>('Dry mt. new'!D119-'Dry mt. new'!D87)/30</f>
        <v>5.3909999999999965</v>
      </c>
      <c r="E87" s="31">
        <f t="shared" si="15"/>
        <v>12.650999999999991</v>
      </c>
      <c r="F87" s="31">
        <f t="shared" si="16"/>
        <v>4.216999999999997</v>
      </c>
      <c r="N87" s="30" t="s">
        <v>109</v>
      </c>
      <c r="O87" s="30" t="s">
        <v>16</v>
      </c>
      <c r="P87" s="42">
        <f>SQRT((2*J80)/(3*2))*L81</f>
        <v>2.8571400149111335</v>
      </c>
      <c r="Q87" s="49"/>
    </row>
    <row r="88" spans="1:18" x14ac:dyDescent="0.25">
      <c r="A88" s="32" t="s">
        <v>92</v>
      </c>
      <c r="B88" s="65">
        <f>('Dry mt. new'!B120-'Dry mt. new'!B88)/30</f>
        <v>7.0616666666666639</v>
      </c>
      <c r="C88" s="65">
        <f>('Dry mt. new'!C120-'Dry mt. new'!C88)/30</f>
        <v>1.0440000000000016</v>
      </c>
      <c r="D88" s="65">
        <f>('Dry mt. new'!D120-'Dry mt. new'!D88)/30</f>
        <v>4.8089999999999957</v>
      </c>
      <c r="E88" s="31">
        <f t="shared" si="15"/>
        <v>12.914666666666662</v>
      </c>
      <c r="F88" s="31">
        <f>E88/3</f>
        <v>4.304888888888887</v>
      </c>
      <c r="Q88" s="49"/>
    </row>
    <row r="89" spans="1:18" x14ac:dyDescent="0.25">
      <c r="A89" s="32" t="s">
        <v>93</v>
      </c>
      <c r="B89" s="65">
        <f>('Dry mt. new'!B121-'Dry mt. new'!B89)/30</f>
        <v>7.8756666666666622</v>
      </c>
      <c r="C89" s="65">
        <f>('Dry mt. new'!C121-'Dry mt. new'!C89)/30</f>
        <v>3.5933333333333279</v>
      </c>
      <c r="D89" s="65">
        <f>('Dry mt. new'!D121-'Dry mt. new'!D89)/30</f>
        <v>1.8876666666666628</v>
      </c>
      <c r="E89" s="31">
        <f t="shared" si="15"/>
        <v>13.356666666666653</v>
      </c>
      <c r="F89" s="31">
        <f t="shared" ref="F89:F90" si="22">E89/3</f>
        <v>4.4522222222222174</v>
      </c>
    </row>
    <row r="90" spans="1:18" x14ac:dyDescent="0.25">
      <c r="A90" s="32" t="s">
        <v>94</v>
      </c>
      <c r="B90" s="65">
        <f>('Dry mt. new'!B122-'Dry mt. new'!B90)/30</f>
        <v>6.0519999999999978</v>
      </c>
      <c r="C90" s="65">
        <f>('Dry mt. new'!C122-'Dry mt. new'!C90)/30</f>
        <v>0.67833333333333412</v>
      </c>
      <c r="D90" s="65">
        <f>('Dry mt. new'!D122-'Dry mt. new'!D90)/30</f>
        <v>6.6966666666666699</v>
      </c>
      <c r="E90" s="31">
        <f t="shared" si="15"/>
        <v>13.427000000000003</v>
      </c>
      <c r="F90" s="31">
        <f t="shared" si="22"/>
        <v>4.475666666666668</v>
      </c>
    </row>
    <row r="91" spans="1:18" x14ac:dyDescent="0.25">
      <c r="A91" s="30" t="s">
        <v>4</v>
      </c>
      <c r="B91" s="31">
        <f>SUM(B73:B90)</f>
        <v>105.81933333333332</v>
      </c>
      <c r="C91" s="31">
        <f t="shared" ref="C91:D91" si="23">SUM(C73:C90)</f>
        <v>55.972999999999992</v>
      </c>
      <c r="D91" s="31">
        <f t="shared" si="23"/>
        <v>75.503666666666646</v>
      </c>
      <c r="E91" s="31">
        <f>SUM(E73:E90)</f>
        <v>237.29599999999994</v>
      </c>
      <c r="F91" s="31">
        <f>AVERAGE(B73:D90)</f>
        <v>4.3943703703703685</v>
      </c>
    </row>
    <row r="92" spans="1:18" x14ac:dyDescent="0.25">
      <c r="A92" s="30" t="s">
        <v>5</v>
      </c>
      <c r="B92" s="31">
        <f>B91/18</f>
        <v>5.8788518518518513</v>
      </c>
      <c r="C92" s="31">
        <f>C91/18</f>
        <v>3.1096111111111107</v>
      </c>
      <c r="D92" s="31">
        <f>D91/18</f>
        <v>4.194648148148147</v>
      </c>
    </row>
    <row r="93" spans="1:18" x14ac:dyDescent="0.25">
      <c r="A93" s="30" t="s">
        <v>26</v>
      </c>
      <c r="B93" s="31">
        <f>(E91*E91)/54</f>
        <v>1042.7665114074068</v>
      </c>
      <c r="C93" s="31"/>
      <c r="D93" s="31"/>
    </row>
    <row r="94" spans="1:18" x14ac:dyDescent="0.25">
      <c r="A94" s="30" t="s">
        <v>27</v>
      </c>
      <c r="B94" s="31">
        <f>SUMSQ(B73:D90)-B93</f>
        <v>303.53079548148185</v>
      </c>
      <c r="C94" s="30" t="s">
        <v>28</v>
      </c>
      <c r="D94" s="31">
        <f>(SUMSQ(B91:D91)/18)-B93</f>
        <v>70.095250604938428</v>
      </c>
    </row>
    <row r="95" spans="1:18" x14ac:dyDescent="0.25">
      <c r="A95" s="30" t="s">
        <v>30</v>
      </c>
      <c r="B95" s="31">
        <f>(SUMSQ(E73:E90)/3)-B93</f>
        <v>31.825901555555902</v>
      </c>
      <c r="C95" s="30" t="s">
        <v>31</v>
      </c>
      <c r="D95" s="31">
        <f>B94-B95-D94</f>
        <v>201.60964332098752</v>
      </c>
    </row>
    <row r="97" spans="1:18" s="69" customFormat="1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8" s="69" customFormat="1" x14ac:dyDescent="0.25">
      <c r="B98" s="70"/>
      <c r="C98" s="75">
        <v>2020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8" s="69" customFormat="1" x14ac:dyDescent="0.25">
      <c r="B99" s="70"/>
      <c r="C99" s="48" t="s">
        <v>120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8" s="69" customFormat="1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</row>
    <row r="105" spans="1:18" x14ac:dyDescent="0.25">
      <c r="A105" s="32" t="s">
        <v>95</v>
      </c>
      <c r="B105" s="65">
        <f>('Dry mt. new'!B170-'Dry mt. new'!B138)/30</f>
        <v>9.5876666666666672</v>
      </c>
      <c r="C105" s="65">
        <f>('Dry mt. new'!C170-'Dry mt. new'!C138)/30</f>
        <v>9.2246666666666677</v>
      </c>
      <c r="D105" s="65">
        <f>('Dry mt. new'!D170-'Dry mt. new'!D138)/30</f>
        <v>11.887</v>
      </c>
      <c r="E105" s="31">
        <f t="shared" ref="E105:E122" si="24">SUM(B105:D105)</f>
        <v>30.699333333333335</v>
      </c>
      <c r="F105" s="31">
        <f>E105/3</f>
        <v>10.233111111111112</v>
      </c>
      <c r="H105" s="47"/>
      <c r="I105" s="47"/>
      <c r="J105" s="47" t="s">
        <v>6</v>
      </c>
      <c r="K105" s="47"/>
      <c r="L105" s="47"/>
      <c r="M105" s="47"/>
      <c r="N105" s="47"/>
      <c r="O105" s="33">
        <v>2</v>
      </c>
      <c r="P105" s="31">
        <f>SUM(F105:F113)/9</f>
        <v>12.100481481481483</v>
      </c>
      <c r="Q105" s="49">
        <f>RANK(P105,P$105:P$106,0)</f>
        <v>1</v>
      </c>
      <c r="R105" s="54">
        <v>1</v>
      </c>
    </row>
    <row r="106" spans="1:18" x14ac:dyDescent="0.25">
      <c r="A106" s="32" t="s">
        <v>96</v>
      </c>
      <c r="B106" s="65">
        <f>('Dry mt. new'!B171-'Dry mt. new'!B139)/30</f>
        <v>13.231333333333335</v>
      </c>
      <c r="C106" s="65">
        <f>('Dry mt. new'!C171-'Dry mt. new'!C139)/30</f>
        <v>12.890000000000002</v>
      </c>
      <c r="D106" s="65">
        <f>('Dry mt. new'!D171-'Dry mt. new'!D139)/30</f>
        <v>14.097333333333333</v>
      </c>
      <c r="E106" s="31">
        <f t="shared" si="24"/>
        <v>40.218666666666671</v>
      </c>
      <c r="F106" s="31">
        <f t="shared" ref="F106:F119" si="25">E106/3</f>
        <v>13.406222222222224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1</v>
      </c>
      <c r="P106" s="31">
        <f>SUM(F114:F122)/9</f>
        <v>11.583604938271606</v>
      </c>
      <c r="Q106" s="49">
        <f>RANK(P106,P$105:P$106,0)</f>
        <v>2</v>
      </c>
      <c r="R106" s="54">
        <v>2</v>
      </c>
    </row>
    <row r="107" spans="1:18" x14ac:dyDescent="0.25">
      <c r="A107" s="32" t="s">
        <v>97</v>
      </c>
      <c r="B107" s="65">
        <f>('Dry mt. new'!B172-'Dry mt. new'!B140)/30</f>
        <v>11.326000000000001</v>
      </c>
      <c r="C107" s="65">
        <f>('Dry mt. new'!C172-'Dry mt. new'!C140)/30</f>
        <v>13.977666666666666</v>
      </c>
      <c r="D107" s="65">
        <f>('Dry mt. new'!D172-'Dry mt. new'!D140)/30</f>
        <v>15.052999999999999</v>
      </c>
      <c r="E107" s="31">
        <f t="shared" si="24"/>
        <v>40.356666666666662</v>
      </c>
      <c r="F107" s="31">
        <f t="shared" si="25"/>
        <v>13.45222222222222</v>
      </c>
      <c r="G107" s="31" t="s">
        <v>13</v>
      </c>
      <c r="H107" s="31">
        <f>B103-1</f>
        <v>2</v>
      </c>
      <c r="I107" s="31">
        <f>D126</f>
        <v>14.171443534981336</v>
      </c>
      <c r="J107" s="31">
        <f>I107/H107</f>
        <v>7.0857217674906678</v>
      </c>
      <c r="K107" s="31">
        <f>J107/$J$16</f>
        <v>4.4994702562787419</v>
      </c>
      <c r="L107" s="31">
        <f>FINV(0.05,H107,$H$16)</f>
        <v>3.275897990672394</v>
      </c>
      <c r="M107" s="31" t="str">
        <f>IF(K107&gt;=L107, "S", "NS")</f>
        <v>S</v>
      </c>
      <c r="N107" s="39"/>
      <c r="O107" s="30" t="s">
        <v>14</v>
      </c>
      <c r="P107" s="42">
        <f>SQRT(J112/(3*9))</f>
        <v>0.22720300850732819</v>
      </c>
    </row>
    <row r="108" spans="1:18" x14ac:dyDescent="0.25">
      <c r="A108" s="32" t="s">
        <v>98</v>
      </c>
      <c r="B108" s="65">
        <f>('Dry mt. new'!B173-'Dry mt. new'!B141)/30</f>
        <v>9.7583333333333329</v>
      </c>
      <c r="C108" s="65">
        <f>('Dry mt. new'!C173-'Dry mt. new'!C141)/30</f>
        <v>10.189666666666666</v>
      </c>
      <c r="D108" s="65">
        <f>('Dry mt. new'!D173-'Dry mt. new'!D141)/30</f>
        <v>11.277666666666669</v>
      </c>
      <c r="E108" s="31">
        <f t="shared" si="24"/>
        <v>31.225666666666669</v>
      </c>
      <c r="F108" s="31">
        <f t="shared" si="25"/>
        <v>10.408555555555557</v>
      </c>
      <c r="G108" s="31" t="s">
        <v>15</v>
      </c>
      <c r="H108" s="31">
        <f>D102-1</f>
        <v>17</v>
      </c>
      <c r="I108" s="31">
        <f>B127</f>
        <v>147.09893349176855</v>
      </c>
      <c r="J108" s="31">
        <f t="shared" ref="J108:J112" si="26">I108/H108</f>
        <v>8.6528784406922679</v>
      </c>
      <c r="K108" s="31">
        <f>J108/$J$16</f>
        <v>5.4946229124768857</v>
      </c>
      <c r="L108" s="31">
        <f>FINV(0.05,H108,$H$16)</f>
        <v>1.9332068318040869</v>
      </c>
      <c r="M108" s="43" t="str">
        <f t="shared" ref="M108" si="27">IF(K108&gt;=L108, "S", "NS")</f>
        <v>S</v>
      </c>
      <c r="N108" s="30" t="s">
        <v>113</v>
      </c>
      <c r="O108" s="30" t="s">
        <v>16</v>
      </c>
      <c r="P108" s="42">
        <f>SQRT((2*J112)/(3*9))*L113</f>
        <v>0.65298775068269566</v>
      </c>
    </row>
    <row r="109" spans="1:18" x14ac:dyDescent="0.25">
      <c r="A109" s="32" t="s">
        <v>99</v>
      </c>
      <c r="B109" s="65">
        <f>('Dry mt. new'!B174-'Dry mt. new'!B142)/30</f>
        <v>14.329666666666668</v>
      </c>
      <c r="C109" s="65">
        <f>('Dry mt. new'!C174-'Dry mt. new'!C142)/30</f>
        <v>12.715666666666667</v>
      </c>
      <c r="D109" s="65">
        <f>('Dry mt. new'!D174-'Dry mt. new'!D142)/30</f>
        <v>12.277666666666669</v>
      </c>
      <c r="E109" s="31">
        <f t="shared" si="24"/>
        <v>39.323000000000008</v>
      </c>
      <c r="F109" s="31">
        <f t="shared" si="25"/>
        <v>13.107666666666669</v>
      </c>
      <c r="G109" s="31" t="s">
        <v>108</v>
      </c>
      <c r="H109" s="31">
        <f>B101-1</f>
        <v>1</v>
      </c>
      <c r="I109" s="31">
        <f>(SUM(E105:E113)^2+SUM(E114:E122)^2)/27-B125</f>
        <v>3.6066783724281777</v>
      </c>
      <c r="J109" s="31">
        <f t="shared" si="26"/>
        <v>3.6066783724281777</v>
      </c>
      <c r="K109" s="31">
        <f>J109/$J$16</f>
        <v>2.290259566098011</v>
      </c>
      <c r="L109" s="31">
        <f>FINV(0.05,H109,$H$16)</f>
        <v>4.1300177456520188</v>
      </c>
      <c r="M109" s="31" t="str">
        <f>IF(K109&gt;=L109, "S", "NS")</f>
        <v>NS</v>
      </c>
      <c r="N109" s="39"/>
      <c r="O109" s="33">
        <v>1</v>
      </c>
      <c r="P109" s="31">
        <f>(F105+F114)/2</f>
        <v>9.4427777777777777</v>
      </c>
      <c r="Q109" s="49">
        <f>RANK(P109,P$109:P$117,0)</f>
        <v>9</v>
      </c>
      <c r="R109" s="52">
        <v>9</v>
      </c>
    </row>
    <row r="110" spans="1:18" x14ac:dyDescent="0.25">
      <c r="A110" s="32" t="s">
        <v>100</v>
      </c>
      <c r="B110" s="65">
        <f>('Dry mt. new'!B175-'Dry mt. new'!B143)/30</f>
        <v>12.735999999999997</v>
      </c>
      <c r="C110" s="65">
        <f>('Dry mt. new'!C175-'Dry mt. new'!C143)/30</f>
        <v>13.252000000000002</v>
      </c>
      <c r="D110" s="65">
        <f>('Dry mt. new'!D175-'Dry mt. new'!D143)/30</f>
        <v>15.359666666666667</v>
      </c>
      <c r="E110" s="31">
        <f t="shared" si="24"/>
        <v>41.347666666666669</v>
      </c>
      <c r="F110" s="31">
        <f t="shared" si="25"/>
        <v>13.782555555555556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35616.460632584363</v>
      </c>
      <c r="J110" s="31">
        <f t="shared" si="26"/>
        <v>4452.0575790730454</v>
      </c>
      <c r="K110" s="31">
        <f>J110/$J$16</f>
        <v>2827.0797688085904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31">
        <f t="shared" ref="P110:P117" si="28">(F106+F115)/2</f>
        <v>13.151444444444445</v>
      </c>
      <c r="Q110" s="49">
        <f t="shared" ref="Q110:Q117" si="29">RANK(P110,P$109:P$117,0)</f>
        <v>3</v>
      </c>
      <c r="R110" s="53">
        <v>5</v>
      </c>
    </row>
    <row r="111" spans="1:18" x14ac:dyDescent="0.25">
      <c r="A111" s="32" t="s">
        <v>101</v>
      </c>
      <c r="B111" s="65">
        <f>('Dry mt. new'!B176-'Dry mt. new'!B144)/30</f>
        <v>9.1293333333333333</v>
      </c>
      <c r="C111" s="65">
        <f>('Dry mt. new'!C176-'Dry mt. new'!C144)/30</f>
        <v>10.348666666666668</v>
      </c>
      <c r="D111" s="65">
        <f>('Dry mt. new'!D176-'Dry mt. new'!D144)/30</f>
        <v>13.592000000000002</v>
      </c>
      <c r="E111" s="31">
        <f t="shared" si="24"/>
        <v>33.070000000000007</v>
      </c>
      <c r="F111" s="31">
        <f t="shared" si="25"/>
        <v>11.023333333333335</v>
      </c>
      <c r="G111" s="26" t="s">
        <v>110</v>
      </c>
      <c r="H111" s="31">
        <f>H109*H110</f>
        <v>8</v>
      </c>
      <c r="I111" s="31">
        <f>I108-(I109+I110)</f>
        <v>-35472.968377465026</v>
      </c>
      <c r="J111" s="31">
        <f t="shared" si="26"/>
        <v>-4434.1210471831282</v>
      </c>
      <c r="K111" s="44">
        <f>J111/$J$16</f>
        <v>-2815.6899775653392</v>
      </c>
      <c r="L111" s="31">
        <f>FINV(0.05,H111,$H$16)</f>
        <v>2.2253399674380931</v>
      </c>
      <c r="M111" s="31" t="str">
        <f t="shared" ref="M111" si="30">IF(K111&gt;=L111, "S", "NS")</f>
        <v>NS</v>
      </c>
      <c r="N111" s="39"/>
      <c r="O111" s="33">
        <v>3</v>
      </c>
      <c r="P111" s="31">
        <f t="shared" si="28"/>
        <v>13.149666666666665</v>
      </c>
      <c r="Q111" s="49">
        <f t="shared" si="29"/>
        <v>4</v>
      </c>
      <c r="R111" s="53">
        <v>2</v>
      </c>
    </row>
    <row r="112" spans="1:18" x14ac:dyDescent="0.25">
      <c r="A112" s="32" t="s">
        <v>102</v>
      </c>
      <c r="B112" s="65">
        <f>('Dry mt. new'!B177-'Dry mt. new'!B145)/30</f>
        <v>13.727</v>
      </c>
      <c r="C112" s="65">
        <f>('Dry mt. new'!C177-'Dry mt. new'!C145)/30</f>
        <v>13.086999999999998</v>
      </c>
      <c r="D112" s="65">
        <f>('Dry mt. new'!D177-'Dry mt. new'!D145)/30</f>
        <v>12.489666666666666</v>
      </c>
      <c r="E112" s="31">
        <f t="shared" si="24"/>
        <v>39.303666666666665</v>
      </c>
      <c r="F112" s="31">
        <f t="shared" si="25"/>
        <v>13.101222222222221</v>
      </c>
      <c r="G112" s="45" t="s">
        <v>23</v>
      </c>
      <c r="H112" s="31">
        <f>((B103-1)*(B101*B102-1))</f>
        <v>34</v>
      </c>
      <c r="I112" s="31">
        <f>D127</f>
        <v>47.388268094648993</v>
      </c>
      <c r="J112" s="31">
        <f t="shared" si="26"/>
        <v>1.3937725910190881</v>
      </c>
      <c r="O112" s="33">
        <v>4</v>
      </c>
      <c r="P112" s="31">
        <f t="shared" si="28"/>
        <v>10.141277777777779</v>
      </c>
      <c r="Q112" s="49">
        <f t="shared" si="29"/>
        <v>8</v>
      </c>
      <c r="R112" s="53">
        <v>7</v>
      </c>
    </row>
    <row r="113" spans="1:18" x14ac:dyDescent="0.25">
      <c r="A113" s="32" t="s">
        <v>103</v>
      </c>
      <c r="B113" s="65">
        <f>('Dry mt. new'!B178-'Dry mt. new'!B146)/30</f>
        <v>9.1413333333333338</v>
      </c>
      <c r="C113" s="65">
        <f>('Dry mt. new'!C178-'Dry mt. new'!C146)/30</f>
        <v>10.129999999999999</v>
      </c>
      <c r="D113" s="65">
        <f>('Dry mt. new'!D178-'Dry mt. new'!D146)/30</f>
        <v>11.897</v>
      </c>
      <c r="E113" s="31">
        <f t="shared" si="24"/>
        <v>31.168333333333329</v>
      </c>
      <c r="F113" s="31">
        <f t="shared" si="25"/>
        <v>10.389444444444443</v>
      </c>
      <c r="G113" s="44" t="s">
        <v>4</v>
      </c>
      <c r="H113" s="31">
        <f>SUM(H107:H112)-H108</f>
        <v>53</v>
      </c>
      <c r="I113" s="31">
        <f>B126</f>
        <v>208.65864512139888</v>
      </c>
      <c r="K113" s="31" t="s">
        <v>111</v>
      </c>
      <c r="L113" s="41">
        <f>TINV(0.05,34)</f>
        <v>2.0322445093177191</v>
      </c>
      <c r="O113" s="33">
        <v>5</v>
      </c>
      <c r="P113" s="31">
        <f t="shared" si="28"/>
        <v>13.326055555555556</v>
      </c>
      <c r="Q113" s="49">
        <f t="shared" si="29"/>
        <v>2</v>
      </c>
      <c r="R113" s="52">
        <v>3</v>
      </c>
    </row>
    <row r="114" spans="1:18" x14ac:dyDescent="0.25">
      <c r="A114" s="32" t="s">
        <v>86</v>
      </c>
      <c r="B114" s="65">
        <f>('Dry mt. new'!B179-'Dry mt. new'!B147)/30</f>
        <v>9.2566666666666659</v>
      </c>
      <c r="C114" s="65">
        <f>('Dry mt. new'!C179-'Dry mt. new'!C147)/30</f>
        <v>8.2149999999999999</v>
      </c>
      <c r="D114" s="65">
        <f>('Dry mt. new'!D179-'Dry mt. new'!D147)/30</f>
        <v>8.4856666666666669</v>
      </c>
      <c r="E114" s="31">
        <f t="shared" si="24"/>
        <v>25.957333333333331</v>
      </c>
      <c r="F114" s="31">
        <f t="shared" si="25"/>
        <v>8.6524444444444431</v>
      </c>
      <c r="G114" s="34" t="s">
        <v>14</v>
      </c>
      <c r="H114" s="31">
        <f>SQRT(J112/3)</f>
        <v>0.68160902552198455</v>
      </c>
      <c r="O114" s="33">
        <v>6</v>
      </c>
      <c r="P114" s="31">
        <f t="shared" si="28"/>
        <v>13.577</v>
      </c>
      <c r="Q114" s="49">
        <f t="shared" si="29"/>
        <v>1</v>
      </c>
      <c r="R114" s="53">
        <v>1</v>
      </c>
    </row>
    <row r="115" spans="1:18" x14ac:dyDescent="0.25">
      <c r="A115" s="32" t="s">
        <v>87</v>
      </c>
      <c r="B115" s="65">
        <f>('Dry mt. new'!B180-'Dry mt. new'!B148)/30</f>
        <v>12.363</v>
      </c>
      <c r="C115" s="65">
        <f>('Dry mt. new'!C180-'Dry mt. new'!C148)/30</f>
        <v>14.912333333333333</v>
      </c>
      <c r="D115" s="65">
        <f>('Dry mt. new'!D180-'Dry mt. new'!D148)/30</f>
        <v>11.414666666666667</v>
      </c>
      <c r="E115" s="31">
        <f t="shared" si="24"/>
        <v>38.69</v>
      </c>
      <c r="F115" s="31">
        <f t="shared" si="25"/>
        <v>12.896666666666667</v>
      </c>
      <c r="G115" s="34" t="s">
        <v>16</v>
      </c>
      <c r="H115" s="31">
        <f>(SQRT((2*J112)/3))*L113</f>
        <v>1.9589632520480869</v>
      </c>
      <c r="O115" s="33">
        <v>7</v>
      </c>
      <c r="P115" s="31">
        <f t="shared" si="28"/>
        <v>10.572555555555557</v>
      </c>
      <c r="Q115" s="49">
        <f t="shared" si="29"/>
        <v>6</v>
      </c>
      <c r="R115" s="53">
        <v>6</v>
      </c>
    </row>
    <row r="116" spans="1:18" x14ac:dyDescent="0.25">
      <c r="A116" s="32" t="s">
        <v>88</v>
      </c>
      <c r="B116" s="65">
        <f>('Dry mt. new'!B181-'Dry mt. new'!B149)/30</f>
        <v>11.782333333333332</v>
      </c>
      <c r="C116" s="65">
        <f>('Dry mt. new'!C181-'Dry mt. new'!C149)/30</f>
        <v>12.700666666666669</v>
      </c>
      <c r="D116" s="65">
        <f>('Dry mt. new'!D181-'Dry mt. new'!D149)/30</f>
        <v>14.058333333333335</v>
      </c>
      <c r="E116" s="31">
        <f t="shared" si="24"/>
        <v>38.541333333333334</v>
      </c>
      <c r="F116" s="31">
        <f t="shared" si="25"/>
        <v>12.847111111111111</v>
      </c>
      <c r="G116" s="34" t="s">
        <v>29</v>
      </c>
      <c r="H116" s="31">
        <f>((SQRT(J112))/F123)*100</f>
        <v>9.9694068175410511</v>
      </c>
      <c r="O116" s="33">
        <v>8</v>
      </c>
      <c r="P116" s="31">
        <f t="shared" si="28"/>
        <v>13.075555555555555</v>
      </c>
      <c r="Q116" s="49">
        <f t="shared" si="29"/>
        <v>5</v>
      </c>
      <c r="R116" s="52">
        <v>4</v>
      </c>
    </row>
    <row r="117" spans="1:18" x14ac:dyDescent="0.25">
      <c r="A117" s="32" t="s">
        <v>89</v>
      </c>
      <c r="B117" s="65">
        <f>('Dry mt. new'!B182-'Dry mt. new'!B150)/30</f>
        <v>9.3896666666666668</v>
      </c>
      <c r="C117" s="65">
        <f>('Dry mt. new'!C182-'Dry mt. new'!C150)/30</f>
        <v>10.225333333333333</v>
      </c>
      <c r="D117" s="65">
        <f>('Dry mt. new'!D182-'Dry mt. new'!D150)/30</f>
        <v>10.006999999999998</v>
      </c>
      <c r="E117" s="31">
        <f t="shared" si="24"/>
        <v>29.622</v>
      </c>
      <c r="F117" s="31">
        <f t="shared" si="25"/>
        <v>9.8740000000000006</v>
      </c>
      <c r="O117" s="33">
        <v>9</v>
      </c>
      <c r="P117" s="31">
        <f t="shared" si="28"/>
        <v>10.142055555555556</v>
      </c>
      <c r="Q117" s="49">
        <f t="shared" si="29"/>
        <v>7</v>
      </c>
      <c r="R117" s="53">
        <v>8</v>
      </c>
    </row>
    <row r="118" spans="1:18" x14ac:dyDescent="0.25">
      <c r="A118" s="32" t="s">
        <v>90</v>
      </c>
      <c r="B118" s="65">
        <f>('Dry mt. new'!B183-'Dry mt. new'!B151)/30</f>
        <v>15.116666666666667</v>
      </c>
      <c r="C118" s="65">
        <f>('Dry mt. new'!C183-'Dry mt. new'!C151)/30</f>
        <v>12.878666666666668</v>
      </c>
      <c r="D118" s="65">
        <f>('Dry mt. new'!D183-'Dry mt. new'!D151)/30</f>
        <v>12.638</v>
      </c>
      <c r="E118" s="31">
        <f t="shared" si="24"/>
        <v>40.633333333333333</v>
      </c>
      <c r="F118" s="31">
        <f t="shared" si="25"/>
        <v>13.544444444444444</v>
      </c>
      <c r="I118" s="65"/>
      <c r="J118" s="65"/>
      <c r="K118" s="65"/>
      <c r="O118" s="30" t="s">
        <v>14</v>
      </c>
      <c r="P118" s="42">
        <f>SQRT(J112/(3*2))</f>
        <v>0.48197036406454979</v>
      </c>
      <c r="Q118" s="49"/>
    </row>
    <row r="119" spans="1:18" x14ac:dyDescent="0.25">
      <c r="A119" s="32" t="s">
        <v>91</v>
      </c>
      <c r="B119" s="65">
        <f>('Dry mt. new'!B184-'Dry mt. new'!B152)/30</f>
        <v>12.463333333333333</v>
      </c>
      <c r="C119" s="65">
        <f>('Dry mt. new'!C184-'Dry mt. new'!C152)/30</f>
        <v>12.647333333333334</v>
      </c>
      <c r="D119" s="65">
        <f>('Dry mt. new'!D184-'Dry mt. new'!D152)/30</f>
        <v>15.003666666666668</v>
      </c>
      <c r="E119" s="31">
        <f t="shared" si="24"/>
        <v>40.114333333333335</v>
      </c>
      <c r="F119" s="31">
        <f t="shared" si="25"/>
        <v>13.371444444444444</v>
      </c>
      <c r="I119" s="65"/>
      <c r="J119" s="65"/>
      <c r="K119" s="65"/>
      <c r="N119" s="30" t="s">
        <v>109</v>
      </c>
      <c r="O119" s="30" t="s">
        <v>16</v>
      </c>
      <c r="P119" s="42">
        <f>SQRT((2*J112)/(3*2))*L113</f>
        <v>1.3851961996184541</v>
      </c>
      <c r="Q119" s="49"/>
    </row>
    <row r="120" spans="1:18" x14ac:dyDescent="0.25">
      <c r="A120" s="32" t="s">
        <v>92</v>
      </c>
      <c r="B120" s="65">
        <f>('Dry mt. new'!B185-'Dry mt. new'!B153)/30</f>
        <v>9.0603333333333342</v>
      </c>
      <c r="C120" s="65">
        <f>('Dry mt. new'!C185-'Dry mt. new'!C153)/30</f>
        <v>9.0206666666666671</v>
      </c>
      <c r="D120" s="65">
        <f>('Dry mt. new'!D185-'Dry mt. new'!D153)/30</f>
        <v>12.284333333333333</v>
      </c>
      <c r="E120" s="31">
        <f t="shared" si="24"/>
        <v>30.365333333333336</v>
      </c>
      <c r="F120" s="31">
        <f>E120/3</f>
        <v>10.121777777777778</v>
      </c>
      <c r="Q120" s="49"/>
    </row>
    <row r="121" spans="1:18" x14ac:dyDescent="0.25">
      <c r="A121" s="32" t="s">
        <v>93</v>
      </c>
      <c r="B121" s="65">
        <f>('Dry mt. new'!B186-'Dry mt. new'!B154)/30</f>
        <v>12.297666666666666</v>
      </c>
      <c r="C121" s="65">
        <f>('Dry mt. new'!C186-'Dry mt. new'!C154)/30</f>
        <v>13.118333333333334</v>
      </c>
      <c r="D121" s="65">
        <f>('Dry mt. new'!D186-'Dry mt. new'!D154)/30</f>
        <v>13.733666666666668</v>
      </c>
      <c r="E121" s="31">
        <f t="shared" si="24"/>
        <v>39.149666666666668</v>
      </c>
      <c r="F121" s="31">
        <f t="shared" ref="F121:F122" si="31">E121/3</f>
        <v>13.049888888888889</v>
      </c>
    </row>
    <row r="122" spans="1:18" x14ac:dyDescent="0.25">
      <c r="A122" s="32" t="s">
        <v>94</v>
      </c>
      <c r="B122" s="65">
        <f>('Dry mt. new'!B187-'Dry mt. new'!B155)/30</f>
        <v>9.2640000000000011</v>
      </c>
      <c r="C122" s="65">
        <f>('Dry mt. new'!C187-'Dry mt. new'!C155)/30</f>
        <v>10.214333333333336</v>
      </c>
      <c r="D122" s="65">
        <f>('Dry mt. new'!D187-'Dry mt. new'!D155)/30</f>
        <v>10.205666666666669</v>
      </c>
      <c r="E122" s="31">
        <f t="shared" si="24"/>
        <v>29.684000000000008</v>
      </c>
      <c r="F122" s="31">
        <f t="shared" si="31"/>
        <v>9.8946666666666694</v>
      </c>
    </row>
    <row r="123" spans="1:18" x14ac:dyDescent="0.25">
      <c r="A123" s="30" t="s">
        <v>4</v>
      </c>
      <c r="B123" s="31">
        <f>SUM(B105:B122)</f>
        <v>203.96033333333335</v>
      </c>
      <c r="C123" s="31">
        <f>SUM(C105:C122)</f>
        <v>209.74800000000008</v>
      </c>
      <c r="D123" s="31">
        <f>SUM(D105:D122)</f>
        <v>225.76200000000006</v>
      </c>
      <c r="E123" s="31">
        <f>SUM(E105:E122)</f>
        <v>639.47033333333343</v>
      </c>
      <c r="F123" s="31">
        <f>AVERAGE(B105:D122)</f>
        <v>11.842043209876538</v>
      </c>
    </row>
    <row r="124" spans="1:18" x14ac:dyDescent="0.25">
      <c r="A124" s="30" t="s">
        <v>5</v>
      </c>
      <c r="B124" s="31">
        <f>B123/18</f>
        <v>11.331129629629631</v>
      </c>
      <c r="C124" s="31">
        <f>C123/18</f>
        <v>11.65266666666667</v>
      </c>
      <c r="D124" s="31">
        <f>D123/18</f>
        <v>12.542333333333337</v>
      </c>
    </row>
    <row r="125" spans="1:18" x14ac:dyDescent="0.25">
      <c r="A125" s="30" t="s">
        <v>26</v>
      </c>
      <c r="B125" s="31">
        <f>(E123*E123)/54</f>
        <v>7572.6353187674913</v>
      </c>
      <c r="C125" s="31"/>
      <c r="D125" s="31"/>
    </row>
    <row r="126" spans="1:18" x14ac:dyDescent="0.25">
      <c r="A126" s="30" t="s">
        <v>27</v>
      </c>
      <c r="B126" s="31">
        <f>SUMSQ(B105:D122)-B125</f>
        <v>208.65864512139888</v>
      </c>
      <c r="C126" s="30" t="s">
        <v>28</v>
      </c>
      <c r="D126" s="31">
        <f>(SUMSQ(B123:D123)/18)-B125</f>
        <v>14.171443534981336</v>
      </c>
    </row>
    <row r="127" spans="1:18" x14ac:dyDescent="0.25">
      <c r="A127" s="30" t="s">
        <v>30</v>
      </c>
      <c r="B127" s="31">
        <f>(SUMSQ(E105:E122)/3)-B125</f>
        <v>147.09893349176855</v>
      </c>
      <c r="C127" s="30" t="s">
        <v>31</v>
      </c>
      <c r="D127" s="31">
        <f>B126-B127-D126</f>
        <v>47.388268094648993</v>
      </c>
    </row>
    <row r="131" spans="1:18" x14ac:dyDescent="0.25">
      <c r="C131" s="48" t="s">
        <v>114</v>
      </c>
    </row>
    <row r="133" spans="1:18" x14ac:dyDescent="0.25">
      <c r="A133" s="36" t="s">
        <v>104</v>
      </c>
      <c r="B133" s="38">
        <v>2</v>
      </c>
      <c r="C133" s="39"/>
      <c r="D133" s="39"/>
      <c r="E133" s="39"/>
      <c r="F133" s="39"/>
      <c r="G133" s="39"/>
      <c r="H133" s="39"/>
      <c r="I133" s="39"/>
      <c r="M133" s="35"/>
      <c r="N133" s="35"/>
      <c r="O133" s="39"/>
      <c r="P133" s="39"/>
    </row>
    <row r="134" spans="1:18" x14ac:dyDescent="0.25">
      <c r="A134" s="36" t="s">
        <v>105</v>
      </c>
      <c r="B134" s="38">
        <v>9</v>
      </c>
      <c r="C134" s="39" t="s">
        <v>107</v>
      </c>
      <c r="D134" s="39">
        <v>18</v>
      </c>
      <c r="E134" s="39"/>
      <c r="F134" s="39"/>
      <c r="G134" s="39"/>
      <c r="H134" s="39"/>
      <c r="I134" s="39"/>
      <c r="M134" s="35"/>
      <c r="N134" s="35"/>
      <c r="O134" s="39"/>
      <c r="P134" s="39"/>
    </row>
    <row r="135" spans="1:18" x14ac:dyDescent="0.25">
      <c r="A135" s="37" t="s">
        <v>106</v>
      </c>
      <c r="B135" s="40">
        <v>3</v>
      </c>
    </row>
    <row r="136" spans="1:18" x14ac:dyDescent="0.25">
      <c r="A136" s="46" t="s">
        <v>0</v>
      </c>
      <c r="B136" s="30" t="s">
        <v>1</v>
      </c>
      <c r="C136" s="30" t="s">
        <v>2</v>
      </c>
      <c r="D136" s="30" t="s">
        <v>3</v>
      </c>
      <c r="E136" s="30" t="s">
        <v>4</v>
      </c>
      <c r="F136" s="30" t="s">
        <v>5</v>
      </c>
      <c r="O136" s="41" t="s">
        <v>7</v>
      </c>
      <c r="R136" s="41"/>
    </row>
    <row r="137" spans="1:18" x14ac:dyDescent="0.25">
      <c r="A137" s="32" t="s">
        <v>95</v>
      </c>
      <c r="B137" s="65">
        <f>('Dry mt. new'!B202-'Dry mt. new'!B170)/30</f>
        <v>4.6566666666666681</v>
      </c>
      <c r="C137" s="65">
        <f>('Dry mt. new'!C202-'Dry mt. new'!C170)/30</f>
        <v>5.3336666666666668</v>
      </c>
      <c r="D137" s="65">
        <f>('Dry mt. new'!D202-'Dry mt. new'!D170)/30</f>
        <v>8.6443333333333339</v>
      </c>
      <c r="E137" s="31">
        <f>SUM(B137:D137)</f>
        <v>18.634666666666668</v>
      </c>
      <c r="F137" s="31">
        <f>E137/3</f>
        <v>6.2115555555555559</v>
      </c>
      <c r="H137" s="47"/>
      <c r="I137" s="47"/>
      <c r="J137" s="47" t="s">
        <v>6</v>
      </c>
      <c r="K137" s="47"/>
      <c r="L137" s="47"/>
      <c r="M137" s="47"/>
      <c r="N137" s="47"/>
      <c r="O137" s="33">
        <v>2</v>
      </c>
      <c r="P137" s="31">
        <f>SUM(F137:F145)/9</f>
        <v>8.7639629629629621</v>
      </c>
      <c r="Q137" s="49">
        <f>RANK(P137,P$137:P$138,0)</f>
        <v>1</v>
      </c>
      <c r="R137" s="54">
        <v>1</v>
      </c>
    </row>
    <row r="138" spans="1:18" x14ac:dyDescent="0.25">
      <c r="A138" s="32" t="s">
        <v>96</v>
      </c>
      <c r="B138" s="65">
        <f>('Dry mt. new'!B203-'Dry mt. new'!B171)/30</f>
        <v>10.575999999999999</v>
      </c>
      <c r="C138" s="65">
        <f>('Dry mt. new'!C203-'Dry mt. new'!C171)/30</f>
        <v>8.2363333333333308</v>
      </c>
      <c r="D138" s="65">
        <f>('Dry mt. new'!D203-'Dry mt. new'!D171)/30</f>
        <v>4.9000000000000004</v>
      </c>
      <c r="E138" s="31">
        <f t="shared" ref="E138:E154" si="32">SUM(B138:D138)</f>
        <v>23.712333333333326</v>
      </c>
      <c r="F138" s="31">
        <f t="shared" ref="F138:F151" si="33">E138/3</f>
        <v>7.9041111111111091</v>
      </c>
      <c r="G138" s="31"/>
      <c r="H138" s="30" t="s">
        <v>8</v>
      </c>
      <c r="I138" s="30" t="s">
        <v>9</v>
      </c>
      <c r="J138" s="30" t="s">
        <v>10</v>
      </c>
      <c r="K138" s="30" t="s">
        <v>11</v>
      </c>
      <c r="L138" s="30" t="s">
        <v>12</v>
      </c>
      <c r="M138" s="30" t="s">
        <v>112</v>
      </c>
      <c r="N138" s="50"/>
      <c r="O138" s="33">
        <v>1</v>
      </c>
      <c r="P138" s="31">
        <f>SUM(F146:F154)/9</f>
        <v>8.2092592592592606</v>
      </c>
      <c r="Q138" s="49">
        <f>RANK(P138,P$137:P$138,0)</f>
        <v>2</v>
      </c>
      <c r="R138" s="54">
        <v>2</v>
      </c>
    </row>
    <row r="139" spans="1:18" x14ac:dyDescent="0.25">
      <c r="A139" s="32" t="s">
        <v>97</v>
      </c>
      <c r="B139" s="65">
        <f>('Dry mt. new'!B204-'Dry mt. new'!B172)/30</f>
        <v>12.166333333333334</v>
      </c>
      <c r="C139" s="65">
        <f>('Dry mt. new'!C204-'Dry mt. new'!C172)/30</f>
        <v>8.3786666666666676</v>
      </c>
      <c r="D139" s="65">
        <f>('Dry mt. new'!D204-'Dry mt. new'!D172)/30</f>
        <v>5.7776666666666676</v>
      </c>
      <c r="E139" s="31">
        <f t="shared" si="32"/>
        <v>26.32266666666667</v>
      </c>
      <c r="F139" s="31">
        <f t="shared" si="33"/>
        <v>8.7742222222222228</v>
      </c>
      <c r="G139" s="31" t="s">
        <v>13</v>
      </c>
      <c r="H139" s="31">
        <f>B135-1</f>
        <v>2</v>
      </c>
      <c r="I139" s="31">
        <f>D158</f>
        <v>13.205536444444078</v>
      </c>
      <c r="J139" s="31">
        <f>I139/H139</f>
        <v>6.6027682222220392</v>
      </c>
      <c r="K139" s="31">
        <f>J139/$J$16</f>
        <v>4.1927922376652456</v>
      </c>
      <c r="L139" s="31">
        <f>FINV(0.05,H139,$H$16)</f>
        <v>3.275897990672394</v>
      </c>
      <c r="M139" s="31" t="str">
        <f>IF(K139&gt;=L139, "S", "NS")</f>
        <v>S</v>
      </c>
      <c r="N139" s="39"/>
      <c r="O139" s="30" t="s">
        <v>14</v>
      </c>
      <c r="P139" s="42">
        <f>SQRT(J144/(3*9))</f>
        <v>0.48261146596387944</v>
      </c>
      <c r="R139" s="41"/>
    </row>
    <row r="140" spans="1:18" x14ac:dyDescent="0.25">
      <c r="A140" s="32" t="s">
        <v>98</v>
      </c>
      <c r="B140" s="65">
        <f>('Dry mt. new'!B205-'Dry mt. new'!B173)/30</f>
        <v>7.0246666666666666</v>
      </c>
      <c r="C140" s="65">
        <f>('Dry mt. new'!C205-'Dry mt. new'!C173)/30</f>
        <v>9.3063333333333347</v>
      </c>
      <c r="D140" s="65">
        <f>('Dry mt. new'!D205-'Dry mt. new'!D173)/30</f>
        <v>12.738999999999999</v>
      </c>
      <c r="E140" s="31">
        <f t="shared" si="32"/>
        <v>29.07</v>
      </c>
      <c r="F140" s="31">
        <f t="shared" si="33"/>
        <v>9.69</v>
      </c>
      <c r="G140" s="31" t="s">
        <v>15</v>
      </c>
      <c r="H140" s="31">
        <f>D134-1</f>
        <v>17</v>
      </c>
      <c r="I140" s="31">
        <f>B159</f>
        <v>66.633042685184591</v>
      </c>
      <c r="J140" s="31">
        <f t="shared" ref="J140:J144" si="34">I140/H140</f>
        <v>3.9195907461873287</v>
      </c>
      <c r="K140" s="31">
        <f>J140/$J$16</f>
        <v>2.4889605544730435</v>
      </c>
      <c r="L140" s="31">
        <f>FINV(0.05,H140,$H$16)</f>
        <v>1.9332068318040869</v>
      </c>
      <c r="M140" s="43" t="str">
        <f t="shared" ref="M140" si="35">IF(K140&gt;=L140, "S", "NS")</f>
        <v>S</v>
      </c>
      <c r="N140" s="30" t="s">
        <v>113</v>
      </c>
      <c r="O140" s="30" t="s">
        <v>16</v>
      </c>
      <c r="P140" s="42">
        <f>SQRT((2*J144)/(3*9))*L145</f>
        <v>1.3870387442658687</v>
      </c>
      <c r="R140" s="41"/>
    </row>
    <row r="141" spans="1:18" x14ac:dyDescent="0.25">
      <c r="A141" s="32" t="s">
        <v>99</v>
      </c>
      <c r="B141" s="65">
        <f>('Dry mt. new'!B206-'Dry mt. new'!B174)/30</f>
        <v>6.5699999999999967</v>
      </c>
      <c r="C141" s="65">
        <f>('Dry mt. new'!C206-'Dry mt. new'!C174)/30</f>
        <v>9.5343333333333327</v>
      </c>
      <c r="D141" s="65">
        <f>('Dry mt. new'!D206-'Dry mt. new'!D174)/30</f>
        <v>11.176333333333332</v>
      </c>
      <c r="E141" s="31">
        <f t="shared" si="32"/>
        <v>27.280666666666662</v>
      </c>
      <c r="F141" s="31">
        <f t="shared" si="33"/>
        <v>9.0935555555555538</v>
      </c>
      <c r="G141" s="31" t="s">
        <v>108</v>
      </c>
      <c r="H141" s="31">
        <f>B133-1</f>
        <v>1</v>
      </c>
      <c r="I141" s="31">
        <f>(SUM(E137:E145)^2+SUM(E146:E154)^2)/27-B157</f>
        <v>4.1538986851851405</v>
      </c>
      <c r="J141" s="31">
        <f t="shared" si="34"/>
        <v>4.1538986851851405</v>
      </c>
      <c r="K141" s="31">
        <f>J141/$J$16</f>
        <v>2.6377473170534746</v>
      </c>
      <c r="L141" s="31">
        <f>FINV(0.05,H141,$H$16)</f>
        <v>4.1300177456520188</v>
      </c>
      <c r="M141" s="31" t="str">
        <f>IF(K141&gt;=L141, "S", "NS")</f>
        <v>NS</v>
      </c>
      <c r="N141" s="39"/>
      <c r="O141" s="33">
        <v>1</v>
      </c>
      <c r="P141" s="31">
        <f>(F137+F146)/2</f>
        <v>6.0429444444444442</v>
      </c>
      <c r="Q141" s="49">
        <f>RANK(P141,P$141:P$149,0)</f>
        <v>9</v>
      </c>
      <c r="R141" s="52">
        <v>9</v>
      </c>
    </row>
    <row r="142" spans="1:18" x14ac:dyDescent="0.25">
      <c r="A142" s="32" t="s">
        <v>100</v>
      </c>
      <c r="B142" s="65">
        <f>('Dry mt. new'!B207-'Dry mt. new'!B175)/30</f>
        <v>9.5</v>
      </c>
      <c r="C142" s="65">
        <f>('Dry mt. new'!C207-'Dry mt. new'!C175)/30</f>
        <v>10.303666666666663</v>
      </c>
      <c r="D142" s="65">
        <f>('Dry mt. new'!D207-'Dry mt. new'!D175)/30</f>
        <v>7.3330000000000002</v>
      </c>
      <c r="E142" s="31">
        <f t="shared" si="32"/>
        <v>27.136666666666663</v>
      </c>
      <c r="F142" s="31">
        <f t="shared" si="33"/>
        <v>9.0455555555555538</v>
      </c>
      <c r="G142" s="31" t="s">
        <v>109</v>
      </c>
      <c r="H142" s="31">
        <f>B134-1</f>
        <v>8</v>
      </c>
      <c r="I142" s="31">
        <f>((E137+E146)^2+(E138+E147)^2+(E139+E148)^2+(E140+E149)^2+(E141+E150)^2+(E142+E151)^2+(E143+E152)^2+(E144+E153)^2+(E145+E154)^2/6)-B157</f>
        <v>17167.68214451852</v>
      </c>
      <c r="J142" s="31">
        <f t="shared" si="34"/>
        <v>2145.960268064815</v>
      </c>
      <c r="K142" s="31">
        <f>J142/$J$16</f>
        <v>1362.6959559171412</v>
      </c>
      <c r="L142" s="31">
        <f>FINV(0.05,H142,$H$16)</f>
        <v>2.2253399674380931</v>
      </c>
      <c r="M142" s="31" t="str">
        <f>IF(K142&gt;=L142, "S", "NS")</f>
        <v>S</v>
      </c>
      <c r="N142" s="39"/>
      <c r="O142" s="33">
        <v>2</v>
      </c>
      <c r="P142" s="31">
        <f t="shared" ref="P142:P149" si="36">(F138+F147)/2</f>
        <v>7.3963333333333328</v>
      </c>
      <c r="Q142" s="49">
        <f t="shared" ref="Q142:Q149" si="37">RANK(P142,P$141:P$149,0)</f>
        <v>8</v>
      </c>
      <c r="R142" s="53">
        <v>5</v>
      </c>
    </row>
    <row r="143" spans="1:18" x14ac:dyDescent="0.25">
      <c r="A143" s="32" t="s">
        <v>101</v>
      </c>
      <c r="B143" s="65">
        <f>('Dry mt. new'!B208-'Dry mt. new'!B176)/30</f>
        <v>8.9369999999999994</v>
      </c>
      <c r="C143" s="65">
        <f>('Dry mt. new'!C208-'Dry mt. new'!C176)/30</f>
        <v>10.096333333333332</v>
      </c>
      <c r="D143" s="65">
        <f>('Dry mt. new'!D208-'Dry mt. new'!D176)/30</f>
        <v>10.538</v>
      </c>
      <c r="E143" s="31">
        <f t="shared" si="32"/>
        <v>29.571333333333332</v>
      </c>
      <c r="F143" s="31">
        <f t="shared" si="33"/>
        <v>9.8571111111111112</v>
      </c>
      <c r="G143" s="26" t="s">
        <v>110</v>
      </c>
      <c r="H143" s="31">
        <f>H141*H142</f>
        <v>8</v>
      </c>
      <c r="I143" s="31">
        <f>I140-(I141+I142)</f>
        <v>-17105.203000518519</v>
      </c>
      <c r="J143" s="31">
        <f t="shared" si="34"/>
        <v>-2138.1503750648149</v>
      </c>
      <c r="K143" s="44">
        <f>J143/$J$16</f>
        <v>-1357.7366331535177</v>
      </c>
      <c r="L143" s="31">
        <f>FINV(0.05,H143,$H$16)</f>
        <v>2.2253399674380931</v>
      </c>
      <c r="M143" s="31" t="str">
        <f t="shared" ref="M143" si="38">IF(K143&gt;=L143, "S", "NS")</f>
        <v>NS</v>
      </c>
      <c r="N143" s="39"/>
      <c r="O143" s="33">
        <v>3</v>
      </c>
      <c r="P143" s="31">
        <f t="shared" si="36"/>
        <v>8.746888888888888</v>
      </c>
      <c r="Q143" s="49">
        <f t="shared" si="37"/>
        <v>4</v>
      </c>
      <c r="R143" s="53">
        <v>2</v>
      </c>
    </row>
    <row r="144" spans="1:18" x14ac:dyDescent="0.25">
      <c r="A144" s="32" t="s">
        <v>102</v>
      </c>
      <c r="B144" s="65">
        <f>('Dry mt. new'!B209-'Dry mt. new'!B177)/30</f>
        <v>9.4253333333333327</v>
      </c>
      <c r="C144" s="65">
        <f>('Dry mt. new'!C209-'Dry mt. new'!C177)/30</f>
        <v>7.576333333333336</v>
      </c>
      <c r="D144" s="65">
        <f>('Dry mt. new'!D209-'Dry mt. new'!D177)/30</f>
        <v>9.6086666666666662</v>
      </c>
      <c r="E144" s="31">
        <f t="shared" si="32"/>
        <v>26.610333333333337</v>
      </c>
      <c r="F144" s="31">
        <f t="shared" si="33"/>
        <v>8.8701111111111128</v>
      </c>
      <c r="G144" s="45" t="s">
        <v>23</v>
      </c>
      <c r="H144" s="31">
        <f>((B135-1)*(B133*B134-1))</f>
        <v>34</v>
      </c>
      <c r="I144" s="31">
        <f>D159</f>
        <v>213.81489325926077</v>
      </c>
      <c r="J144" s="31">
        <f t="shared" si="34"/>
        <v>6.2886733311547287</v>
      </c>
      <c r="O144" s="33">
        <v>4</v>
      </c>
      <c r="P144" s="31">
        <f t="shared" si="36"/>
        <v>9.4812222222222218</v>
      </c>
      <c r="Q144" s="49">
        <f t="shared" si="37"/>
        <v>2</v>
      </c>
      <c r="R144" s="53">
        <v>7</v>
      </c>
    </row>
    <row r="145" spans="1:18" x14ac:dyDescent="0.25">
      <c r="A145" s="32" t="s">
        <v>103</v>
      </c>
      <c r="B145" s="65">
        <f>('Dry mt. new'!B210-'Dry mt. new'!B178)/30</f>
        <v>9.1563333333333343</v>
      </c>
      <c r="C145" s="65">
        <f>('Dry mt. new'!C210-'Dry mt. new'!C178)/30</f>
        <v>12.567</v>
      </c>
      <c r="D145" s="65">
        <f>('Dry mt. new'!D210-'Dry mt. new'!D178)/30</f>
        <v>6.5649999999999977</v>
      </c>
      <c r="E145" s="31">
        <f t="shared" si="32"/>
        <v>28.288333333333334</v>
      </c>
      <c r="F145" s="31">
        <f t="shared" si="33"/>
        <v>9.4294444444444441</v>
      </c>
      <c r="G145" s="44" t="s">
        <v>4</v>
      </c>
      <c r="H145" s="31">
        <f>SUM(H139:H144)-H140</f>
        <v>53</v>
      </c>
      <c r="I145" s="31">
        <f>B158</f>
        <v>293.65347238888944</v>
      </c>
      <c r="K145" s="31" t="s">
        <v>111</v>
      </c>
      <c r="L145" s="41">
        <f>TINV(0.05,34)</f>
        <v>2.0322445093177191</v>
      </c>
      <c r="O145" s="33">
        <v>5</v>
      </c>
      <c r="P145" s="31">
        <f t="shared" si="36"/>
        <v>8.5822222222222209</v>
      </c>
      <c r="Q145" s="49">
        <f t="shared" si="37"/>
        <v>7</v>
      </c>
      <c r="R145" s="52">
        <v>3</v>
      </c>
    </row>
    <row r="146" spans="1:18" x14ac:dyDescent="0.25">
      <c r="A146" s="32" t="s">
        <v>86</v>
      </c>
      <c r="B146" s="65">
        <f>('Dry mt. new'!B211-'Dry mt. new'!B179)/30</f>
        <v>3.7109999999999994</v>
      </c>
      <c r="C146" s="65">
        <f>('Dry mt. new'!C211-'Dry mt. new'!C179)/30</f>
        <v>3.3586666666666662</v>
      </c>
      <c r="D146" s="65">
        <f>('Dry mt. new'!D211-'Dry mt. new'!D179)/30</f>
        <v>10.553333333333335</v>
      </c>
      <c r="E146" s="31">
        <f t="shared" si="32"/>
        <v>17.623000000000001</v>
      </c>
      <c r="F146" s="31">
        <f t="shared" si="33"/>
        <v>5.8743333333333334</v>
      </c>
      <c r="G146" s="34" t="s">
        <v>14</v>
      </c>
      <c r="H146" s="31">
        <f>SQRT(J144/3)</f>
        <v>1.4478343978916384</v>
      </c>
      <c r="O146" s="33">
        <v>6</v>
      </c>
      <c r="P146" s="31">
        <f t="shared" si="36"/>
        <v>8.6069999999999993</v>
      </c>
      <c r="Q146" s="49">
        <f t="shared" si="37"/>
        <v>6</v>
      </c>
      <c r="R146" s="53">
        <v>1</v>
      </c>
    </row>
    <row r="147" spans="1:18" x14ac:dyDescent="0.25">
      <c r="A147" s="32" t="s">
        <v>87</v>
      </c>
      <c r="B147" s="65">
        <f>('Dry mt. new'!B212-'Dry mt. new'!B180)/30</f>
        <v>5.9</v>
      </c>
      <c r="C147" s="65">
        <f>('Dry mt. new'!C212-'Dry mt. new'!C180)/30</f>
        <v>8.0093333333333323</v>
      </c>
      <c r="D147" s="65">
        <f>('Dry mt. new'!D212-'Dry mt. new'!D180)/30</f>
        <v>6.7563333333333349</v>
      </c>
      <c r="E147" s="31">
        <f t="shared" si="32"/>
        <v>20.665666666666667</v>
      </c>
      <c r="F147" s="31">
        <f t="shared" si="33"/>
        <v>6.8885555555555555</v>
      </c>
      <c r="G147" s="34" t="s">
        <v>16</v>
      </c>
      <c r="H147" s="31">
        <f>(SQRT((2*J144)/3))*L145</f>
        <v>4.1611162327976059</v>
      </c>
      <c r="O147" s="33">
        <v>7</v>
      </c>
      <c r="P147" s="31">
        <f t="shared" si="36"/>
        <v>9.5228888888888896</v>
      </c>
      <c r="Q147" s="49">
        <f t="shared" si="37"/>
        <v>1</v>
      </c>
      <c r="R147" s="53">
        <v>6</v>
      </c>
    </row>
    <row r="148" spans="1:18" x14ac:dyDescent="0.25">
      <c r="A148" s="32" t="s">
        <v>88</v>
      </c>
      <c r="B148" s="65">
        <f>('Dry mt. new'!B213-'Dry mt. new'!B181)/30</f>
        <v>12.013</v>
      </c>
      <c r="C148" s="65">
        <f>('Dry mt. new'!C213-'Dry mt. new'!C181)/30</f>
        <v>6.2426666666666657</v>
      </c>
      <c r="D148" s="65">
        <f>('Dry mt. new'!D213-'Dry mt. new'!D181)/30</f>
        <v>7.9029999999999969</v>
      </c>
      <c r="E148" s="31">
        <f t="shared" si="32"/>
        <v>26.158666666666662</v>
      </c>
      <c r="F148" s="31">
        <f t="shared" si="33"/>
        <v>8.7195555555555533</v>
      </c>
      <c r="G148" s="34" t="s">
        <v>29</v>
      </c>
      <c r="H148" s="31">
        <f>((SQRT(J144))/F155)*100</f>
        <v>29.549165211670541</v>
      </c>
      <c r="O148" s="33">
        <v>8</v>
      </c>
      <c r="P148" s="31">
        <f t="shared" si="36"/>
        <v>8.6129444444444445</v>
      </c>
      <c r="Q148" s="49">
        <f t="shared" si="37"/>
        <v>5</v>
      </c>
      <c r="R148" s="52">
        <v>4</v>
      </c>
    </row>
    <row r="149" spans="1:18" x14ac:dyDescent="0.25">
      <c r="A149" s="32" t="s">
        <v>89</v>
      </c>
      <c r="B149" s="65">
        <f>('Dry mt. new'!B214-'Dry mt. new'!B182)/30</f>
        <v>7.2870000000000008</v>
      </c>
      <c r="C149" s="65">
        <f>('Dry mt. new'!C214-'Dry mt. new'!C182)/30</f>
        <v>7.2440000000000015</v>
      </c>
      <c r="D149" s="65">
        <f>('Dry mt. new'!D214-'Dry mt. new'!D182)/30</f>
        <v>13.286333333333335</v>
      </c>
      <c r="E149" s="31">
        <f t="shared" si="32"/>
        <v>27.817333333333337</v>
      </c>
      <c r="F149" s="31">
        <f t="shared" si="33"/>
        <v>9.2724444444444458</v>
      </c>
      <c r="O149" s="33">
        <v>9</v>
      </c>
      <c r="P149" s="31">
        <f t="shared" si="36"/>
        <v>9.3870555555555555</v>
      </c>
      <c r="Q149" s="49">
        <f t="shared" si="37"/>
        <v>3</v>
      </c>
      <c r="R149" s="53">
        <v>8</v>
      </c>
    </row>
    <row r="150" spans="1:18" x14ac:dyDescent="0.25">
      <c r="A150" s="32" t="s">
        <v>90</v>
      </c>
      <c r="B150" s="65">
        <f>('Dry mt. new'!B215-'Dry mt. new'!B183)/30</f>
        <v>3.6633333333333327</v>
      </c>
      <c r="C150" s="65">
        <f>('Dry mt. new'!C215-'Dry mt. new'!C183)/30</f>
        <v>9.5683333333333316</v>
      </c>
      <c r="D150" s="65">
        <f>('Dry mt. new'!D215-'Dry mt. new'!D183)/30</f>
        <v>10.981000000000002</v>
      </c>
      <c r="E150" s="31">
        <f t="shared" si="32"/>
        <v>24.212666666666664</v>
      </c>
      <c r="F150" s="31">
        <f t="shared" si="33"/>
        <v>8.0708888888888879</v>
      </c>
      <c r="O150" s="30" t="s">
        <v>14</v>
      </c>
      <c r="P150" s="42">
        <f>SQRT(J144/(3*2))</f>
        <v>1.0237735207843195</v>
      </c>
      <c r="Q150" s="49"/>
    </row>
    <row r="151" spans="1:18" x14ac:dyDescent="0.25">
      <c r="A151" s="32" t="s">
        <v>91</v>
      </c>
      <c r="B151" s="65">
        <f>('Dry mt. new'!B216-'Dry mt. new'!B184)/30</f>
        <v>6.703333333333334</v>
      </c>
      <c r="C151" s="65">
        <f>('Dry mt. new'!C216-'Dry mt. new'!C184)/30</f>
        <v>10.356333333333332</v>
      </c>
      <c r="D151" s="65">
        <f>('Dry mt. new'!D216-'Dry mt. new'!D184)/30</f>
        <v>7.4456666666666669</v>
      </c>
      <c r="E151" s="31">
        <f t="shared" si="32"/>
        <v>24.505333333333333</v>
      </c>
      <c r="F151" s="31">
        <f t="shared" si="33"/>
        <v>8.1684444444444448</v>
      </c>
      <c r="N151" s="30" t="s">
        <v>109</v>
      </c>
      <c r="O151" s="30" t="s">
        <v>16</v>
      </c>
      <c r="P151" s="42">
        <f>SQRT((2*J144)/(3*2))*L145</f>
        <v>2.9423535055166079</v>
      </c>
      <c r="Q151" s="49"/>
    </row>
    <row r="152" spans="1:18" x14ac:dyDescent="0.25">
      <c r="A152" s="32" t="s">
        <v>92</v>
      </c>
      <c r="B152" s="65">
        <f>('Dry mt. new'!B217-'Dry mt. new'!B185)/30</f>
        <v>8.0676666666666659</v>
      </c>
      <c r="C152" s="65">
        <f>('Dry mt. new'!C217-'Dry mt. new'!C185)/30</f>
        <v>10.647</v>
      </c>
      <c r="D152" s="65">
        <f>('Dry mt. new'!D217-'Dry mt. new'!D185)/30</f>
        <v>8.8513333333333364</v>
      </c>
      <c r="E152" s="31">
        <f t="shared" si="32"/>
        <v>27.566000000000003</v>
      </c>
      <c r="F152" s="31">
        <f>E152/3</f>
        <v>9.1886666666666681</v>
      </c>
      <c r="Q152" s="49"/>
    </row>
    <row r="153" spans="1:18" x14ac:dyDescent="0.25">
      <c r="A153" s="32" t="s">
        <v>93</v>
      </c>
      <c r="B153" s="65">
        <f>('Dry mt. new'!B218-'Dry mt. new'!B186)/30</f>
        <v>8.0873333333333335</v>
      </c>
      <c r="C153" s="65">
        <f>('Dry mt. new'!C218-'Dry mt. new'!C186)/30</f>
        <v>8.6133333333333333</v>
      </c>
      <c r="D153" s="65">
        <f>('Dry mt. new'!D218-'Dry mt. new'!D186)/30</f>
        <v>8.3666666666666671</v>
      </c>
      <c r="E153" s="31">
        <f t="shared" si="32"/>
        <v>25.067333333333334</v>
      </c>
      <c r="F153" s="31">
        <f t="shared" ref="F153:F154" si="39">E153/3</f>
        <v>8.355777777777778</v>
      </c>
    </row>
    <row r="154" spans="1:18" x14ac:dyDescent="0.25">
      <c r="A154" s="32" t="s">
        <v>94</v>
      </c>
      <c r="B154" s="65">
        <f>('Dry mt. new'!B219-'Dry mt. new'!B187)/30</f>
        <v>7.9700000000000006</v>
      </c>
      <c r="C154" s="65">
        <f>('Dry mt. new'!C219-'Dry mt. new'!C187)/30</f>
        <v>8.3326666666666629</v>
      </c>
      <c r="D154" s="65">
        <f>('Dry mt. new'!D219-'Dry mt. new'!D187)/30</f>
        <v>11.731333333333332</v>
      </c>
      <c r="E154" s="31">
        <f t="shared" si="32"/>
        <v>28.033999999999995</v>
      </c>
      <c r="F154" s="31">
        <f t="shared" si="39"/>
        <v>9.3446666666666651</v>
      </c>
    </row>
    <row r="155" spans="1:18" x14ac:dyDescent="0.25">
      <c r="A155" s="30" t="s">
        <v>4</v>
      </c>
      <c r="B155" s="31">
        <f>SUM(B137:B154)</f>
        <v>141.41499999999999</v>
      </c>
      <c r="C155" s="31">
        <f t="shared" ref="C155:D155" si="40">SUM(C137:C154)</f>
        <v>153.70499999999996</v>
      </c>
      <c r="D155" s="31">
        <f t="shared" si="40"/>
        <v>163.15699999999998</v>
      </c>
      <c r="E155" s="31">
        <f>SUM(E137:E154)</f>
        <v>458.27699999999999</v>
      </c>
      <c r="F155" s="31">
        <f>AVERAGE(B137:D154)</f>
        <v>8.4866111111111113</v>
      </c>
    </row>
    <row r="156" spans="1:18" x14ac:dyDescent="0.25">
      <c r="A156" s="30" t="s">
        <v>5</v>
      </c>
      <c r="B156" s="31">
        <f>B155/18</f>
        <v>7.8563888888888886</v>
      </c>
      <c r="C156" s="31">
        <f>C155/18</f>
        <v>8.5391666666666648</v>
      </c>
      <c r="D156" s="31">
        <f>D155/18</f>
        <v>9.064277777777777</v>
      </c>
    </row>
    <row r="157" spans="1:18" x14ac:dyDescent="0.25">
      <c r="A157" s="30" t="s">
        <v>26</v>
      </c>
      <c r="B157" s="31">
        <f>(E155*E155)/54</f>
        <v>3889.2186801666662</v>
      </c>
      <c r="C157" s="31"/>
      <c r="D157" s="31"/>
    </row>
    <row r="158" spans="1:18" x14ac:dyDescent="0.25">
      <c r="A158" s="30" t="s">
        <v>27</v>
      </c>
      <c r="B158" s="31">
        <f>SUMSQ(B137:D154)-B157</f>
        <v>293.65347238888944</v>
      </c>
      <c r="C158" s="30" t="s">
        <v>28</v>
      </c>
      <c r="D158" s="31">
        <f>(SUMSQ(B155:D155)/18)-B157</f>
        <v>13.205536444444078</v>
      </c>
    </row>
    <row r="159" spans="1:18" x14ac:dyDescent="0.25">
      <c r="A159" s="30" t="s">
        <v>30</v>
      </c>
      <c r="B159" s="31">
        <f>(SUMSQ(E137:E154)/3)-B157</f>
        <v>66.633042685184591</v>
      </c>
      <c r="C159" s="30" t="s">
        <v>31</v>
      </c>
      <c r="D159" s="31">
        <f>B158-B159-D158</f>
        <v>213.81489325926077</v>
      </c>
    </row>
    <row r="163" spans="1:18" x14ac:dyDescent="0.25">
      <c r="C163" s="48" t="s">
        <v>115</v>
      </c>
    </row>
    <row r="165" spans="1:18" x14ac:dyDescent="0.25">
      <c r="A165" s="36" t="s">
        <v>104</v>
      </c>
      <c r="B165" s="38">
        <v>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5"/>
      <c r="N165" s="35"/>
      <c r="O165" s="39"/>
      <c r="P165" s="39"/>
    </row>
    <row r="166" spans="1:18" x14ac:dyDescent="0.25">
      <c r="A166" s="36" t="s">
        <v>105</v>
      </c>
      <c r="B166" s="38">
        <v>9</v>
      </c>
      <c r="C166" s="39" t="s">
        <v>107</v>
      </c>
      <c r="D166" s="39">
        <v>18</v>
      </c>
      <c r="E166" s="39"/>
      <c r="F166" s="39"/>
      <c r="G166" s="39"/>
      <c r="H166" s="39"/>
      <c r="I166" s="39"/>
      <c r="J166" s="39"/>
      <c r="K166" s="39"/>
      <c r="L166" s="39"/>
      <c r="M166" s="35"/>
      <c r="N166" s="35"/>
      <c r="O166" s="39"/>
      <c r="P166" s="39"/>
    </row>
    <row r="167" spans="1:18" x14ac:dyDescent="0.25">
      <c r="A167" s="37" t="s">
        <v>106</v>
      </c>
      <c r="B167" s="40">
        <v>3</v>
      </c>
    </row>
    <row r="168" spans="1:18" x14ac:dyDescent="0.25">
      <c r="A168" s="46" t="s">
        <v>0</v>
      </c>
      <c r="B168" s="30" t="s">
        <v>1</v>
      </c>
      <c r="C168" s="30" t="s">
        <v>2</v>
      </c>
      <c r="D168" s="30" t="s">
        <v>3</v>
      </c>
      <c r="E168" s="30" t="s">
        <v>4</v>
      </c>
      <c r="F168" s="30" t="s">
        <v>5</v>
      </c>
      <c r="O168" s="41" t="s">
        <v>7</v>
      </c>
      <c r="R168" s="41"/>
    </row>
    <row r="169" spans="1:18" x14ac:dyDescent="0.25">
      <c r="A169" s="32" t="s">
        <v>95</v>
      </c>
      <c r="B169" s="65">
        <f>('Dry mt. new'!B234-'Dry mt. new'!B202)/30</f>
        <v>1.6813333333333313</v>
      </c>
      <c r="C169" s="65">
        <f>('Dry mt. new'!C234-'Dry mt. new'!C202)/30</f>
        <v>3.0666666666666669</v>
      </c>
      <c r="D169" s="65">
        <f>('Dry mt. new'!D234-'Dry mt. new'!D202)/30</f>
        <v>3.6889999999999987</v>
      </c>
      <c r="E169" s="31">
        <f>SUM(B169:D169)</f>
        <v>8.4369999999999976</v>
      </c>
      <c r="F169" s="31">
        <f>E169/3</f>
        <v>2.8123333333333327</v>
      </c>
      <c r="H169" s="47"/>
      <c r="I169" s="47"/>
      <c r="J169" s="47" t="s">
        <v>6</v>
      </c>
      <c r="K169" s="47"/>
      <c r="L169" s="47"/>
      <c r="M169" s="47"/>
      <c r="N169" s="47"/>
      <c r="O169" s="33">
        <v>2</v>
      </c>
      <c r="P169" s="31">
        <f>SUM(F169:F177)/9</f>
        <v>4.8748024691358021</v>
      </c>
      <c r="Q169" s="49">
        <f>RANK(P169,P$169:P$170,0)</f>
        <v>1</v>
      </c>
      <c r="R169" s="41"/>
    </row>
    <row r="170" spans="1:18" x14ac:dyDescent="0.25">
      <c r="A170" s="32" t="s">
        <v>96</v>
      </c>
      <c r="B170" s="65">
        <f>('Dry mt. new'!B235-'Dry mt. new'!B203)/30</f>
        <v>3.790666666666664</v>
      </c>
      <c r="C170" s="65">
        <f>('Dry mt. new'!C235-'Dry mt. new'!C203)/30</f>
        <v>4.1959999999999997</v>
      </c>
      <c r="D170" s="65">
        <f>('Dry mt. new'!D235-'Dry mt. new'!D203)/30</f>
        <v>9.4999999999999964</v>
      </c>
      <c r="E170" s="31">
        <f t="shared" ref="E170:E186" si="41">SUM(B170:D170)</f>
        <v>17.486666666666661</v>
      </c>
      <c r="F170" s="31">
        <f t="shared" ref="F170:F183" si="42">E170/3</f>
        <v>5.828888888888887</v>
      </c>
      <c r="G170" s="31"/>
      <c r="H170" s="30" t="s">
        <v>8</v>
      </c>
      <c r="I170" s="30" t="s">
        <v>9</v>
      </c>
      <c r="J170" s="30" t="s">
        <v>10</v>
      </c>
      <c r="K170" s="30" t="s">
        <v>11</v>
      </c>
      <c r="L170" s="30" t="s">
        <v>12</v>
      </c>
      <c r="M170" s="30" t="s">
        <v>112</v>
      </c>
      <c r="N170" s="50"/>
      <c r="O170" s="33">
        <v>1</v>
      </c>
      <c r="P170" s="31">
        <f>SUM(F178:F186)/9</f>
        <v>4.4312716049382717</v>
      </c>
      <c r="Q170" s="49">
        <f>RANK(P170,P$169:P$170,0)</f>
        <v>2</v>
      </c>
      <c r="R170" s="41"/>
    </row>
    <row r="171" spans="1:18" x14ac:dyDescent="0.25">
      <c r="A171" s="32" t="s">
        <v>97</v>
      </c>
      <c r="B171" s="65">
        <f>('Dry mt. new'!B236-'Dry mt. new'!B204)/30</f>
        <v>1.0093333333333325</v>
      </c>
      <c r="C171" s="65">
        <f>('Dry mt. new'!C236-'Dry mt. new'!C204)/30</f>
        <v>3.6663333333333337</v>
      </c>
      <c r="D171" s="65">
        <f>('Dry mt. new'!D236-'Dry mt. new'!D204)/30</f>
        <v>10.036666666666664</v>
      </c>
      <c r="E171" s="31">
        <f t="shared" si="41"/>
        <v>14.71233333333333</v>
      </c>
      <c r="F171" s="31">
        <f t="shared" si="42"/>
        <v>4.90411111111111</v>
      </c>
      <c r="G171" s="31" t="s">
        <v>13</v>
      </c>
      <c r="H171" s="31">
        <f>B167-1</f>
        <v>2</v>
      </c>
      <c r="I171" s="31">
        <f>D190</f>
        <v>39.857700777778518</v>
      </c>
      <c r="J171" s="31">
        <f>I171/H171</f>
        <v>19.928850388889259</v>
      </c>
      <c r="K171" s="31">
        <f>J171/$J$16</f>
        <v>12.65492387494516</v>
      </c>
      <c r="L171" s="31">
        <f>FINV(0.05,H171,$H$16)</f>
        <v>3.275897990672394</v>
      </c>
      <c r="M171" s="31" t="str">
        <f>IF(K171&gt;=L171, "S", "NS")</f>
        <v>S</v>
      </c>
      <c r="N171" s="39"/>
      <c r="O171" s="30" t="s">
        <v>14</v>
      </c>
      <c r="P171" s="42">
        <f>SQRT(J176/(3*9))</f>
        <v>0.6495031553936399</v>
      </c>
      <c r="R171" s="41"/>
    </row>
    <row r="172" spans="1:18" x14ac:dyDescent="0.25">
      <c r="A172" s="32" t="s">
        <v>98</v>
      </c>
      <c r="B172" s="65">
        <f>('Dry mt. new'!B237-'Dry mt. new'!B205)/30</f>
        <v>8.966333333333333</v>
      </c>
      <c r="C172" s="65">
        <f>('Dry mt. new'!C237-'Dry mt. new'!C205)/30</f>
        <v>5.3379999999999992</v>
      </c>
      <c r="D172" s="65">
        <f>('Dry mt. new'!D237-'Dry mt. new'!D205)/30</f>
        <v>1.1136666666666657</v>
      </c>
      <c r="E172" s="31">
        <f t="shared" si="41"/>
        <v>15.417999999999997</v>
      </c>
      <c r="F172" s="31">
        <f t="shared" si="42"/>
        <v>5.1393333333333322</v>
      </c>
      <c r="G172" s="31" t="s">
        <v>15</v>
      </c>
      <c r="H172" s="31">
        <f>D166-1</f>
        <v>17</v>
      </c>
      <c r="I172" s="31">
        <f>B191</f>
        <v>31.10263333333387</v>
      </c>
      <c r="J172" s="31">
        <f t="shared" ref="J172:J176" si="43">I172/H172</f>
        <v>1.8295666666666983</v>
      </c>
      <c r="K172" s="31">
        <f>J172/$J$16</f>
        <v>1.1617843698456645</v>
      </c>
      <c r="L172" s="31">
        <f>FINV(0.05,H172,$H$16)</f>
        <v>1.9332068318040869</v>
      </c>
      <c r="M172" s="43" t="str">
        <f t="shared" ref="M172" si="44">IF(K172&gt;=L172, "S", "NS")</f>
        <v>NS</v>
      </c>
      <c r="N172" s="30" t="s">
        <v>113</v>
      </c>
      <c r="O172" s="30" t="s">
        <v>16</v>
      </c>
      <c r="P172" s="42">
        <f>SQRT((2*J176)/(3*9))*L177</f>
        <v>1.8666900904532999</v>
      </c>
      <c r="R172" s="41"/>
    </row>
    <row r="173" spans="1:18" x14ac:dyDescent="0.25">
      <c r="A173" s="32" t="s">
        <v>99</v>
      </c>
      <c r="B173" s="65">
        <f>('Dry mt. new'!B238-'Dry mt. new'!B206)/30</f>
        <v>6.8523333333333349</v>
      </c>
      <c r="C173" s="65">
        <f>('Dry mt. new'!C238-'Dry mt. new'!C206)/30</f>
        <v>4.7136666666666658</v>
      </c>
      <c r="D173" s="65">
        <f>('Dry mt. new'!D238-'Dry mt. new'!D206)/30</f>
        <v>3.4360000000000013</v>
      </c>
      <c r="E173" s="31">
        <f t="shared" si="41"/>
        <v>15.002000000000002</v>
      </c>
      <c r="F173" s="31">
        <f t="shared" si="42"/>
        <v>5.0006666666666675</v>
      </c>
      <c r="G173" s="31" t="s">
        <v>108</v>
      </c>
      <c r="H173" s="31">
        <f>B165-1</f>
        <v>1</v>
      </c>
      <c r="I173" s="31">
        <f>(SUM(E169:E177)^2+SUM(E178:E186)^2)/27-B189</f>
        <v>2.6557149711939019</v>
      </c>
      <c r="J173" s="31">
        <f t="shared" si="43"/>
        <v>2.6557149711939019</v>
      </c>
      <c r="K173" s="31">
        <f>J173/$J$16</f>
        <v>1.6863928494715419</v>
      </c>
      <c r="L173" s="31">
        <f>FINV(0.05,H173,$H$16)</f>
        <v>4.1300177456520188</v>
      </c>
      <c r="M173" s="31" t="str">
        <f>IF(K173&gt;=L173, "S", "NS")</f>
        <v>NS</v>
      </c>
      <c r="N173" s="39"/>
      <c r="O173" s="33">
        <v>1</v>
      </c>
      <c r="P173" s="31">
        <f>(F169+F178)/2</f>
        <v>3.0663888888888891</v>
      </c>
      <c r="Q173" s="49">
        <f>RANK(P173,P$173:P$181,0)</f>
        <v>9</v>
      </c>
      <c r="R173" s="52">
        <v>9</v>
      </c>
    </row>
    <row r="174" spans="1:18" x14ac:dyDescent="0.25">
      <c r="A174" s="32" t="s">
        <v>100</v>
      </c>
      <c r="B174" s="65">
        <f>('Dry mt. new'!B239-'Dry mt. new'!B207)/30</f>
        <v>7.2626666666666662</v>
      </c>
      <c r="C174" s="65">
        <f>('Dry mt. new'!C239-'Dry mt. new'!C207)/30</f>
        <v>3.5230000000000019</v>
      </c>
      <c r="D174" s="65">
        <f>('Dry mt. new'!D239-'Dry mt. new'!D207)/30</f>
        <v>4.0003333333333293</v>
      </c>
      <c r="E174" s="31">
        <f t="shared" si="41"/>
        <v>14.785999999999998</v>
      </c>
      <c r="F174" s="31">
        <f t="shared" si="42"/>
        <v>4.9286666666666656</v>
      </c>
      <c r="G174" s="31" t="s">
        <v>109</v>
      </c>
      <c r="H174" s="31">
        <f>B166-1</f>
        <v>8</v>
      </c>
      <c r="I174" s="31">
        <f>((E169+E178)^2+(E170+E179)^2+(E171+E180)^2+(E172+E181)^2+(E173+E182)^2+(E174+E183)^2+(E175+E184)^2+(E176+E185)^2+(E177+E186)^2/6)-B189</f>
        <v>5328.9308357777791</v>
      </c>
      <c r="J174" s="31">
        <f t="shared" si="43"/>
        <v>666.11635447222238</v>
      </c>
      <c r="K174" s="31">
        <f>J174/$J$16</f>
        <v>422.98735718351634</v>
      </c>
      <c r="L174" s="31">
        <f>FINV(0.05,H174,$H$16)</f>
        <v>2.2253399674380931</v>
      </c>
      <c r="M174" s="31" t="str">
        <f>IF(K174&gt;=L174, "S", "NS")</f>
        <v>S</v>
      </c>
      <c r="N174" s="39"/>
      <c r="O174" s="33">
        <v>2</v>
      </c>
      <c r="P174" s="31">
        <f t="shared" ref="P174:P181" si="45">(F170+F179)/2</f>
        <v>5.8019999999999996</v>
      </c>
      <c r="Q174" s="49">
        <f t="shared" ref="Q174:Q181" si="46">RANK(P174,P$173:P$181,0)</f>
        <v>1</v>
      </c>
      <c r="R174" s="53">
        <v>5</v>
      </c>
    </row>
    <row r="175" spans="1:18" x14ac:dyDescent="0.25">
      <c r="A175" s="32" t="s">
        <v>101</v>
      </c>
      <c r="B175" s="65">
        <f>('Dry mt. new'!B240-'Dry mt. new'!B208)/30</f>
        <v>7.631000000000002</v>
      </c>
      <c r="C175" s="65">
        <f>('Dry mt. new'!C240-'Dry mt. new'!C208)/30</f>
        <v>8.1113333333333308</v>
      </c>
      <c r="D175" s="65">
        <f>('Dry mt. new'!D240-'Dry mt. new'!D208)/30</f>
        <v>-0.94466666666666776</v>
      </c>
      <c r="E175" s="31">
        <f t="shared" si="41"/>
        <v>14.797666666666665</v>
      </c>
      <c r="F175" s="31">
        <f t="shared" si="42"/>
        <v>4.9325555555555551</v>
      </c>
      <c r="G175" s="26" t="s">
        <v>110</v>
      </c>
      <c r="H175" s="31">
        <f>H173*H174</f>
        <v>8</v>
      </c>
      <c r="I175" s="31">
        <f>I172-(I173+I174)</f>
        <v>-5300.4839174156386</v>
      </c>
      <c r="J175" s="31">
        <f t="shared" si="43"/>
        <v>-662.56048967695483</v>
      </c>
      <c r="K175" s="44">
        <f>J175/$J$16</f>
        <v>-420.72936450377824</v>
      </c>
      <c r="L175" s="31">
        <f>FINV(0.05,H175,$H$16)</f>
        <v>2.2253399674380931</v>
      </c>
      <c r="M175" s="31" t="str">
        <f t="shared" ref="M175" si="47">IF(K175&gt;=L175, "S", "NS")</f>
        <v>NS</v>
      </c>
      <c r="N175" s="39"/>
      <c r="O175" s="33">
        <v>3</v>
      </c>
      <c r="P175" s="31">
        <f t="shared" si="45"/>
        <v>4.4057777777777778</v>
      </c>
      <c r="Q175" s="49">
        <f t="shared" si="46"/>
        <v>8</v>
      </c>
      <c r="R175" s="53">
        <v>2</v>
      </c>
    </row>
    <row r="176" spans="1:18" x14ac:dyDescent="0.25">
      <c r="A176" s="32" t="s">
        <v>102</v>
      </c>
      <c r="B176" s="65">
        <f>('Dry mt. new'!B241-'Dry mt. new'!B209)/30</f>
        <v>4.7759999999999989</v>
      </c>
      <c r="C176" s="65">
        <f>('Dry mt. new'!C241-'Dry mt. new'!C209)/30</f>
        <v>6.0333333333333297</v>
      </c>
      <c r="D176" s="65">
        <f>('Dry mt. new'!D241-'Dry mt. new'!D209)/30</f>
        <v>4.3356666666666648</v>
      </c>
      <c r="E176" s="31">
        <f t="shared" si="41"/>
        <v>15.144999999999992</v>
      </c>
      <c r="F176" s="31">
        <f t="shared" si="42"/>
        <v>5.0483333333333311</v>
      </c>
      <c r="G176" s="45" t="s">
        <v>23</v>
      </c>
      <c r="H176" s="31">
        <f>((B167-1)*(B165*B166-1))</f>
        <v>34</v>
      </c>
      <c r="I176" s="31">
        <f>D191</f>
        <v>387.26229225925863</v>
      </c>
      <c r="J176" s="31">
        <f t="shared" si="43"/>
        <v>11.390067419389959</v>
      </c>
      <c r="O176" s="33">
        <v>4</v>
      </c>
      <c r="P176" s="31">
        <f t="shared" si="45"/>
        <v>5.0615555555555556</v>
      </c>
      <c r="Q176" s="49">
        <f t="shared" si="46"/>
        <v>2</v>
      </c>
      <c r="R176" s="53">
        <v>7</v>
      </c>
    </row>
    <row r="177" spans="1:18" x14ac:dyDescent="0.25">
      <c r="A177" s="32" t="s">
        <v>103</v>
      </c>
      <c r="B177" s="65">
        <f>('Dry mt. new'!B242-'Dry mt. new'!B210)/30</f>
        <v>7.2883333333333322</v>
      </c>
      <c r="C177" s="65">
        <f>('Dry mt. new'!C242-'Dry mt. new'!C210)/30</f>
        <v>1.7230000000000019</v>
      </c>
      <c r="D177" s="65">
        <f>('Dry mt. new'!D242-'Dry mt. new'!D210)/30</f>
        <v>6.8236666666666679</v>
      </c>
      <c r="E177" s="31">
        <f t="shared" si="41"/>
        <v>15.835000000000003</v>
      </c>
      <c r="F177" s="31">
        <f t="shared" si="42"/>
        <v>5.2783333333333342</v>
      </c>
      <c r="G177" s="44" t="s">
        <v>4</v>
      </c>
      <c r="H177" s="31">
        <f>SUM(H171:H176)-H172</f>
        <v>53</v>
      </c>
      <c r="I177" s="31">
        <f>B190</f>
        <v>458.22262637037102</v>
      </c>
      <c r="K177" s="31" t="s">
        <v>111</v>
      </c>
      <c r="L177" s="41">
        <f>TINV(0.05,34)</f>
        <v>2.0322445093177191</v>
      </c>
      <c r="O177" s="33">
        <v>5</v>
      </c>
      <c r="P177" s="31">
        <f t="shared" si="45"/>
        <v>4.5348888888888901</v>
      </c>
      <c r="Q177" s="49">
        <f t="shared" si="46"/>
        <v>7</v>
      </c>
      <c r="R177" s="52">
        <v>3</v>
      </c>
    </row>
    <row r="178" spans="1:18" x14ac:dyDescent="0.25">
      <c r="A178" s="32" t="s">
        <v>86</v>
      </c>
      <c r="B178" s="65">
        <f>('Dry mt. new'!B243-'Dry mt. new'!B211)/30</f>
        <v>3.5463333333333349</v>
      </c>
      <c r="C178" s="65">
        <f>('Dry mt. new'!C243-'Dry mt. new'!C211)/30</f>
        <v>5.3906666666666672</v>
      </c>
      <c r="D178" s="65">
        <f>('Dry mt. new'!D243-'Dry mt. new'!D211)/30</f>
        <v>1.024333333333334</v>
      </c>
      <c r="E178" s="31">
        <f t="shared" si="41"/>
        <v>9.9613333333333358</v>
      </c>
      <c r="F178" s="31">
        <f t="shared" si="42"/>
        <v>3.3204444444444454</v>
      </c>
      <c r="G178" s="34" t="s">
        <v>14</v>
      </c>
      <c r="H178" s="31">
        <f>SQRT(J176/3)</f>
        <v>1.9485094661809199</v>
      </c>
      <c r="O178" s="33">
        <v>6</v>
      </c>
      <c r="P178" s="31">
        <f t="shared" si="45"/>
        <v>4.6051111111111105</v>
      </c>
      <c r="Q178" s="49">
        <f t="shared" si="46"/>
        <v>6</v>
      </c>
      <c r="R178" s="53">
        <v>1</v>
      </c>
    </row>
    <row r="179" spans="1:18" x14ac:dyDescent="0.25">
      <c r="A179" s="32" t="s">
        <v>87</v>
      </c>
      <c r="B179" s="65">
        <f>('Dry mt. new'!B244-'Dry mt. new'!B212)/30</f>
        <v>5.1680000000000028</v>
      </c>
      <c r="C179" s="65">
        <f>('Dry mt. new'!C244-'Dry mt. new'!C212)/30</f>
        <v>1.2240000000000009</v>
      </c>
      <c r="D179" s="65">
        <f>('Dry mt. new'!D244-'Dry mt. new'!D212)/30</f>
        <v>10.93333333333333</v>
      </c>
      <c r="E179" s="31">
        <f t="shared" si="41"/>
        <v>17.325333333333333</v>
      </c>
      <c r="F179" s="31">
        <f t="shared" si="42"/>
        <v>5.7751111111111113</v>
      </c>
      <c r="G179" s="34" t="s">
        <v>16</v>
      </c>
      <c r="H179" s="31">
        <f>(SQRT((2*J176)/3))*L177</f>
        <v>5.6000702713598995</v>
      </c>
      <c r="O179" s="33">
        <v>7</v>
      </c>
      <c r="P179" s="31">
        <f t="shared" si="45"/>
        <v>4.8839999999999995</v>
      </c>
      <c r="Q179" s="49">
        <f t="shared" si="46"/>
        <v>3</v>
      </c>
      <c r="R179" s="53">
        <v>6</v>
      </c>
    </row>
    <row r="180" spans="1:18" x14ac:dyDescent="0.25">
      <c r="A180" s="32" t="s">
        <v>88</v>
      </c>
      <c r="B180" s="65">
        <f>('Dry mt. new'!B245-'Dry mt. new'!B213)/30</f>
        <v>0.69033333333333458</v>
      </c>
      <c r="C180" s="65">
        <f>('Dry mt. new'!C245-'Dry mt. new'!C213)/30</f>
        <v>6.0796666666666663</v>
      </c>
      <c r="D180" s="65">
        <f>('Dry mt. new'!D245-'Dry mt. new'!D213)/30</f>
        <v>4.9523333333333346</v>
      </c>
      <c r="E180" s="31">
        <f t="shared" si="41"/>
        <v>11.722333333333335</v>
      </c>
      <c r="F180" s="31">
        <f t="shared" si="42"/>
        <v>3.9074444444444452</v>
      </c>
      <c r="G180" s="34" t="s">
        <v>29</v>
      </c>
      <c r="H180" s="31">
        <f>((SQRT(J176))/F187)*100</f>
        <v>72.531496474039358</v>
      </c>
      <c r="O180" s="33">
        <v>8</v>
      </c>
      <c r="P180" s="31">
        <f t="shared" si="45"/>
        <v>4.8038333333333325</v>
      </c>
      <c r="Q180" s="49">
        <f t="shared" si="46"/>
        <v>4</v>
      </c>
      <c r="R180" s="52">
        <v>4</v>
      </c>
    </row>
    <row r="181" spans="1:18" x14ac:dyDescent="0.25">
      <c r="A181" s="32" t="s">
        <v>89</v>
      </c>
      <c r="B181" s="65">
        <f>('Dry mt. new'!B246-'Dry mt. new'!B214)/30</f>
        <v>6.8129999999999997</v>
      </c>
      <c r="C181" s="65">
        <f>('Dry mt. new'!C246-'Dry mt. new'!C214)/30</f>
        <v>8.4573333333333345</v>
      </c>
      <c r="D181" s="65">
        <f>('Dry mt. new'!D246-'Dry mt. new'!D214)/30</f>
        <v>-0.3189999999999979</v>
      </c>
      <c r="E181" s="31">
        <f t="shared" si="41"/>
        <v>14.951333333333336</v>
      </c>
      <c r="F181" s="31">
        <f t="shared" si="42"/>
        <v>4.983777777777779</v>
      </c>
      <c r="O181" s="33">
        <v>9</v>
      </c>
      <c r="P181" s="31">
        <f t="shared" si="45"/>
        <v>4.7137777777777785</v>
      </c>
      <c r="Q181" s="49">
        <f t="shared" si="46"/>
        <v>5</v>
      </c>
      <c r="R181" s="53">
        <v>8</v>
      </c>
    </row>
    <row r="182" spans="1:18" x14ac:dyDescent="0.25">
      <c r="A182" s="32" t="s">
        <v>90</v>
      </c>
      <c r="B182" s="65">
        <f>('Dry mt. new'!B247-'Dry mt. new'!B215)/30</f>
        <v>6.2166666666666668</v>
      </c>
      <c r="C182" s="65">
        <f>('Dry mt. new'!C247-'Dry mt. new'!C215)/30</f>
        <v>5.2236666666666682</v>
      </c>
      <c r="D182" s="65">
        <f>('Dry mt. new'!D247-'Dry mt. new'!D215)/30</f>
        <v>0.76699999999999968</v>
      </c>
      <c r="E182" s="31">
        <f t="shared" si="41"/>
        <v>12.207333333333334</v>
      </c>
      <c r="F182" s="31">
        <f t="shared" si="42"/>
        <v>4.0691111111111118</v>
      </c>
      <c r="O182" s="30" t="s">
        <v>14</v>
      </c>
      <c r="P182" s="42">
        <f>SQRT(J176/(3*2))</f>
        <v>1.3778042567427082</v>
      </c>
      <c r="Q182" s="49"/>
    </row>
    <row r="183" spans="1:18" x14ac:dyDescent="0.25">
      <c r="A183" s="32" t="s">
        <v>91</v>
      </c>
      <c r="B183" s="65">
        <f>('Dry mt. new'!B248-'Dry mt. new'!B216)/30</f>
        <v>9.0999999999999961</v>
      </c>
      <c r="C183" s="65">
        <f>('Dry mt. new'!C248-'Dry mt. new'!C216)/30</f>
        <v>0.83400000000000318</v>
      </c>
      <c r="D183" s="65">
        <f>('Dry mt. new'!D248-'Dry mt. new'!D216)/30</f>
        <v>2.9106666666666645</v>
      </c>
      <c r="E183" s="31">
        <f t="shared" si="41"/>
        <v>12.844666666666663</v>
      </c>
      <c r="F183" s="31">
        <f t="shared" si="42"/>
        <v>4.2815555555555544</v>
      </c>
      <c r="N183" s="30" t="s">
        <v>109</v>
      </c>
      <c r="O183" s="30" t="s">
        <v>16</v>
      </c>
      <c r="P183" s="42">
        <f>SQRT((2*J176)/(3*2))*L177</f>
        <v>3.9598476639997742</v>
      </c>
      <c r="Q183" s="49"/>
    </row>
    <row r="184" spans="1:18" x14ac:dyDescent="0.25">
      <c r="A184" s="32" t="s">
        <v>92</v>
      </c>
      <c r="B184" s="65">
        <f>('Dry mt. new'!B249-'Dry mt. new'!B217)/30</f>
        <v>8.8443333333333349</v>
      </c>
      <c r="C184" s="65">
        <f>('Dry mt. new'!C249-'Dry mt. new'!C217)/30</f>
        <v>3.9003333333333332</v>
      </c>
      <c r="D184" s="65">
        <f>('Dry mt. new'!D249-'Dry mt. new'!D217)/30</f>
        <v>1.7616666666666636</v>
      </c>
      <c r="E184" s="31">
        <f t="shared" si="41"/>
        <v>14.50633333333333</v>
      </c>
      <c r="F184" s="31">
        <f>E184/3</f>
        <v>4.8354444444444438</v>
      </c>
      <c r="Q184" s="49"/>
    </row>
    <row r="185" spans="1:18" x14ac:dyDescent="0.25">
      <c r="A185" s="32" t="s">
        <v>93</v>
      </c>
      <c r="B185" s="65">
        <f>('Dry mt. new'!B250-'Dry mt. new'!B218)/30</f>
        <v>8.4126666666666665</v>
      </c>
      <c r="C185" s="65">
        <f>('Dry mt. new'!C250-'Dry mt. new'!C218)/30</f>
        <v>1.0096666666666692</v>
      </c>
      <c r="D185" s="65">
        <f>('Dry mt. new'!D250-'Dry mt. new'!D218)/30</f>
        <v>4.2556666666666656</v>
      </c>
      <c r="E185" s="31">
        <f t="shared" si="41"/>
        <v>13.678000000000001</v>
      </c>
      <c r="F185" s="31">
        <f t="shared" ref="F185:F186" si="48">E185/3</f>
        <v>4.5593333333333339</v>
      </c>
    </row>
    <row r="186" spans="1:18" x14ac:dyDescent="0.25">
      <c r="A186" s="32" t="s">
        <v>94</v>
      </c>
      <c r="B186" s="65">
        <f>('Dry mt. new'!B251-'Dry mt. new'!B219)/30</f>
        <v>7.1223333333333319</v>
      </c>
      <c r="C186" s="65">
        <f>('Dry mt. new'!C251-'Dry mt. new'!C219)/30</f>
        <v>4.3900000000000015</v>
      </c>
      <c r="D186" s="65">
        <f>('Dry mt. new'!D251-'Dry mt. new'!D219)/30</f>
        <v>0.93533333333333535</v>
      </c>
      <c r="E186" s="31">
        <f t="shared" si="41"/>
        <v>12.44766666666667</v>
      </c>
      <c r="F186" s="31">
        <f t="shared" si="48"/>
        <v>4.1492222222222237</v>
      </c>
    </row>
    <row r="187" spans="1:18" x14ac:dyDescent="0.25">
      <c r="A187" s="30" t="s">
        <v>4</v>
      </c>
      <c r="B187" s="31">
        <f>SUM(B169:B186)</f>
        <v>105.17166666666665</v>
      </c>
      <c r="C187" s="31">
        <f t="shared" ref="C187:D187" si="49">SUM(C169:C186)</f>
        <v>76.880666666666684</v>
      </c>
      <c r="D187" s="31">
        <f t="shared" si="49"/>
        <v>69.211666666666659</v>
      </c>
      <c r="E187" s="31">
        <f>SUM(E169:E186)</f>
        <v>251.26399999999992</v>
      </c>
      <c r="F187" s="31">
        <f>AVERAGE(B169:D186)</f>
        <v>4.6530370370370377</v>
      </c>
    </row>
    <row r="188" spans="1:18" x14ac:dyDescent="0.25">
      <c r="A188" s="30" t="s">
        <v>5</v>
      </c>
      <c r="B188" s="31">
        <f>B187/18</f>
        <v>5.8428703703703695</v>
      </c>
      <c r="C188" s="31">
        <f>C187/18</f>
        <v>4.271148148148149</v>
      </c>
      <c r="D188" s="31">
        <f>D187/18</f>
        <v>3.8450925925925921</v>
      </c>
    </row>
    <row r="189" spans="1:18" x14ac:dyDescent="0.25">
      <c r="A189" s="30" t="s">
        <v>26</v>
      </c>
      <c r="B189" s="31">
        <f>(E187*E187)/54</f>
        <v>1169.1406980740733</v>
      </c>
      <c r="C189" s="31"/>
      <c r="D189" s="31"/>
    </row>
    <row r="190" spans="1:18" x14ac:dyDescent="0.25">
      <c r="A190" s="30" t="s">
        <v>27</v>
      </c>
      <c r="B190" s="31">
        <f>SUMSQ(B169:D186)-B189</f>
        <v>458.22262637037102</v>
      </c>
      <c r="C190" s="30" t="s">
        <v>28</v>
      </c>
      <c r="D190" s="31">
        <f>(SUMSQ(B187:D187)/18)-B189</f>
        <v>39.857700777778518</v>
      </c>
    </row>
    <row r="191" spans="1:18" x14ac:dyDescent="0.25">
      <c r="A191" s="30" t="s">
        <v>30</v>
      </c>
      <c r="B191" s="31">
        <f>(SUMSQ(E169:E186)/3)-B189</f>
        <v>31.10263333333387</v>
      </c>
      <c r="C191" s="30" t="s">
        <v>31</v>
      </c>
      <c r="D191" s="31">
        <f>B190-B191-D190</f>
        <v>387.26229225925863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topLeftCell="A39" workbookViewId="0">
      <selection activeCell="R283" sqref="R283"/>
    </sheetView>
  </sheetViews>
  <sheetFormatPr defaultRowHeight="15" x14ac:dyDescent="0.25"/>
  <cols>
    <col min="1" max="1" width="16" bestFit="1" customWidth="1"/>
    <col min="2" max="2" width="13.7109375" bestFit="1" customWidth="1"/>
    <col min="3" max="3" width="9.5703125" bestFit="1" customWidth="1"/>
    <col min="4" max="4" width="15.85546875" customWidth="1"/>
    <col min="5" max="5" width="9.5703125" bestFit="1" customWidth="1"/>
    <col min="7" max="7" width="9.85546875" bestFit="1" customWidth="1"/>
    <col min="9" max="9" width="13.7109375" bestFit="1" customWidth="1"/>
    <col min="10" max="10" width="12.5703125" bestFit="1" customWidth="1"/>
  </cols>
  <sheetData>
    <row r="1" spans="1:15" x14ac:dyDescent="0.25">
      <c r="A1" s="3"/>
      <c r="B1" s="86" t="s">
        <v>40</v>
      </c>
      <c r="C1" s="87"/>
      <c r="D1" s="87"/>
      <c r="E1" s="87"/>
      <c r="F1" s="87"/>
      <c r="G1" s="87"/>
      <c r="H1" s="3"/>
      <c r="I1" s="3"/>
      <c r="J1" s="3"/>
      <c r="K1" s="3"/>
      <c r="L1" s="3"/>
      <c r="M1" s="3"/>
      <c r="N1" s="5"/>
      <c r="O1" s="3"/>
    </row>
    <row r="2" spans="1:15" ht="17.25" x14ac:dyDescent="0.25">
      <c r="A2" s="84" t="s">
        <v>53</v>
      </c>
      <c r="B2" s="85"/>
      <c r="C2" s="85"/>
      <c r="D2" s="22"/>
      <c r="E2" s="3"/>
      <c r="F2" s="3"/>
      <c r="G2" s="3"/>
      <c r="H2" s="3"/>
      <c r="I2" s="3"/>
      <c r="J2" s="3"/>
      <c r="K2" s="3"/>
      <c r="L2" s="3"/>
      <c r="M2" s="3"/>
      <c r="N2" s="5"/>
      <c r="O2" s="3"/>
    </row>
    <row r="3" spans="1:1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7"/>
      <c r="I3" s="6" t="s">
        <v>6</v>
      </c>
      <c r="J3" s="7"/>
      <c r="K3" s="7"/>
      <c r="L3" s="7"/>
      <c r="M3" s="7"/>
      <c r="N3" s="88" t="s">
        <v>7</v>
      </c>
      <c r="O3" s="89"/>
    </row>
    <row r="4" spans="1:15" ht="15.75" x14ac:dyDescent="0.3">
      <c r="A4" s="6" t="s">
        <v>33</v>
      </c>
      <c r="B4" s="8">
        <v>19.433322266400001</v>
      </c>
      <c r="C4" s="8">
        <v>13.078747684799998</v>
      </c>
      <c r="D4" s="8">
        <v>11.484912393500002</v>
      </c>
      <c r="E4" s="9">
        <f t="shared" ref="E4:E11" si="0">SUM(B4:D4)</f>
        <v>43.996982344700001</v>
      </c>
      <c r="F4" s="10">
        <f t="shared" ref="F4:F11" si="1">E4/3</f>
        <v>14.665660781566666</v>
      </c>
      <c r="G4" s="7"/>
      <c r="H4" s="7"/>
      <c r="I4" s="7"/>
      <c r="J4" s="7"/>
      <c r="K4" s="7"/>
      <c r="L4" s="7"/>
      <c r="M4" s="7"/>
      <c r="N4" s="11">
        <v>1</v>
      </c>
      <c r="O4" s="12">
        <f>SUM(F4:F7)/4</f>
        <v>13.0868778606125</v>
      </c>
    </row>
    <row r="5" spans="1:15" x14ac:dyDescent="0.25">
      <c r="A5" s="6" t="s">
        <v>32</v>
      </c>
      <c r="B5" s="8">
        <v>12.494016690399997</v>
      </c>
      <c r="C5" s="8">
        <v>9.0215639135999997</v>
      </c>
      <c r="D5" s="8">
        <v>16.260934956</v>
      </c>
      <c r="E5" s="9">
        <f t="shared" si="0"/>
        <v>37.776515559999993</v>
      </c>
      <c r="F5" s="10">
        <f t="shared" si="1"/>
        <v>12.592171853333332</v>
      </c>
      <c r="G5" s="7"/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7"/>
      <c r="N5" s="11">
        <v>0.75</v>
      </c>
      <c r="O5" s="12">
        <f>SUM(F8:F11)/4</f>
        <v>13.003285347775</v>
      </c>
    </row>
    <row r="6" spans="1:15" ht="15.75" x14ac:dyDescent="0.3">
      <c r="A6" s="6" t="s">
        <v>34</v>
      </c>
      <c r="B6" s="8">
        <v>14.280263712050001</v>
      </c>
      <c r="C6" s="8">
        <v>12.912148351200001</v>
      </c>
      <c r="D6" s="8">
        <v>14.431667273099999</v>
      </c>
      <c r="E6" s="9">
        <f t="shared" si="0"/>
        <v>41.62407933635</v>
      </c>
      <c r="F6" s="10">
        <f t="shared" si="1"/>
        <v>13.874693112116667</v>
      </c>
      <c r="G6" s="13" t="s">
        <v>13</v>
      </c>
      <c r="H6" s="7">
        <v>2</v>
      </c>
      <c r="I6" s="14">
        <f>D15</f>
        <v>20.211927028278751</v>
      </c>
      <c r="J6" s="14">
        <f t="shared" ref="J6:J11" si="2">I6/H6</f>
        <v>10.105963514139376</v>
      </c>
      <c r="K6" s="15">
        <f>J6/J11</f>
        <v>0.59903764727628661</v>
      </c>
      <c r="L6" s="14">
        <f>FINV(0.05,2,14)</f>
        <v>3.7388918324407361</v>
      </c>
      <c r="M6" s="1" t="str">
        <f>IF(K6&gt;=L6,"sig","ns")</f>
        <v>ns</v>
      </c>
      <c r="N6" s="13" t="s">
        <v>14</v>
      </c>
      <c r="O6" s="12">
        <f>SQRT(J11/(3*4))</f>
        <v>1.1856900664993089</v>
      </c>
    </row>
    <row r="7" spans="1:15" ht="15.75" x14ac:dyDescent="0.3">
      <c r="A7" s="6" t="s">
        <v>35</v>
      </c>
      <c r="B7" s="8">
        <v>10.850948262700001</v>
      </c>
      <c r="C7" s="8">
        <v>12.197451210000002</v>
      </c>
      <c r="D7" s="8">
        <v>10.5965576136</v>
      </c>
      <c r="E7" s="9">
        <f t="shared" si="0"/>
        <v>33.644957086300003</v>
      </c>
      <c r="F7" s="10">
        <f t="shared" si="1"/>
        <v>11.214985695433334</v>
      </c>
      <c r="G7" s="13" t="s">
        <v>15</v>
      </c>
      <c r="H7" s="7">
        <v>7</v>
      </c>
      <c r="I7" s="14">
        <f>B16</f>
        <v>42.849882337725376</v>
      </c>
      <c r="J7" s="14">
        <f t="shared" si="2"/>
        <v>6.1214117625321967</v>
      </c>
      <c r="K7" s="15">
        <f>J7/J11</f>
        <v>0.36285071632271299</v>
      </c>
      <c r="L7" s="14">
        <f>FINV(0.05,7,14)</f>
        <v>2.7641992567781792</v>
      </c>
      <c r="M7" s="1" t="str">
        <f>IF(K7&gt;=L7,"sig","ns")</f>
        <v>ns</v>
      </c>
      <c r="N7" s="13" t="s">
        <v>16</v>
      </c>
      <c r="O7" s="12">
        <f>SQRT((2*J11)/(3*4))*L12</f>
        <v>3.5964190109402878</v>
      </c>
    </row>
    <row r="8" spans="1:15" ht="15.75" x14ac:dyDescent="0.3">
      <c r="A8" s="6" t="s">
        <v>36</v>
      </c>
      <c r="B8" s="8">
        <v>10</v>
      </c>
      <c r="C8" s="8">
        <v>17.147714742200002</v>
      </c>
      <c r="D8" s="8">
        <v>12.4076837024</v>
      </c>
      <c r="E8" s="9">
        <f t="shared" si="0"/>
        <v>39.555398444600002</v>
      </c>
      <c r="F8" s="10">
        <f t="shared" si="1"/>
        <v>13.185132814866668</v>
      </c>
      <c r="G8" s="7" t="s">
        <v>17</v>
      </c>
      <c r="H8" s="7">
        <v>1</v>
      </c>
      <c r="I8" s="14">
        <f>((E4+E5+E6+E7)^2+(E8+E9+E10+E11)^2)/12-B14</f>
        <v>4.1926249215066491E-2</v>
      </c>
      <c r="J8" s="14">
        <f t="shared" si="2"/>
        <v>4.1926249215066491E-2</v>
      </c>
      <c r="K8" s="15">
        <f>J8/J11</f>
        <v>2.4852060522258398E-3</v>
      </c>
      <c r="L8" s="14">
        <f>FINV(0.05,1,14)</f>
        <v>4.6001099366694227</v>
      </c>
      <c r="M8" s="1" t="str">
        <f>IF(K8&gt;=L8,"sig","ns")</f>
        <v>ns</v>
      </c>
      <c r="N8" s="16" t="s">
        <v>18</v>
      </c>
      <c r="O8" s="12">
        <f>(F4+F8)/2</f>
        <v>13.925396798216667</v>
      </c>
    </row>
    <row r="9" spans="1:15" x14ac:dyDescent="0.25">
      <c r="A9" s="6" t="s">
        <v>37</v>
      </c>
      <c r="B9" s="8">
        <v>10.5126746158</v>
      </c>
      <c r="C9" s="8">
        <v>8.5761031954499991</v>
      </c>
      <c r="D9" s="8">
        <v>13.109197563</v>
      </c>
      <c r="E9" s="9">
        <f t="shared" si="0"/>
        <v>32.197975374249999</v>
      </c>
      <c r="F9" s="10">
        <f t="shared" si="1"/>
        <v>10.732658458083334</v>
      </c>
      <c r="G9" s="7" t="s">
        <v>19</v>
      </c>
      <c r="H9" s="7">
        <v>3</v>
      </c>
      <c r="I9" s="14">
        <f xml:space="preserve"> ((E4+E8)^2+(E5+E9)^2+(E6+E10)^2+(E7+E11)^2)/6-B14</f>
        <v>21.15208352255695</v>
      </c>
      <c r="J9" s="14">
        <f t="shared" si="2"/>
        <v>7.0506945075189833</v>
      </c>
      <c r="K9" s="15">
        <f>J9/J11</f>
        <v>0.41793456344253316</v>
      </c>
      <c r="L9" s="14">
        <f>FINV(0.05,3,14)</f>
        <v>3.3438886781189128</v>
      </c>
      <c r="M9" s="1" t="str">
        <f>IF(K9&gt;=L9,"sig","ns")</f>
        <v>ns</v>
      </c>
      <c r="N9" s="16" t="s">
        <v>20</v>
      </c>
      <c r="O9" s="12">
        <f>(F5+F9)/2</f>
        <v>11.662415155708333</v>
      </c>
    </row>
    <row r="10" spans="1:15" ht="15.75" x14ac:dyDescent="0.3">
      <c r="A10" s="6" t="s">
        <v>38</v>
      </c>
      <c r="B10" s="8">
        <v>9.7791358833000004</v>
      </c>
      <c r="C10" s="8">
        <v>22.898308406399998</v>
      </c>
      <c r="D10" s="8">
        <v>9.0570887715000001</v>
      </c>
      <c r="E10" s="9">
        <f t="shared" si="0"/>
        <v>41.734533061199997</v>
      </c>
      <c r="F10" s="10">
        <f t="shared" si="1"/>
        <v>13.911511020399999</v>
      </c>
      <c r="G10" s="17" t="s">
        <v>21</v>
      </c>
      <c r="H10" s="18">
        <v>3</v>
      </c>
      <c r="I10" s="14">
        <f>(I7-(I8+I9))</f>
        <v>21.655872565953359</v>
      </c>
      <c r="J10" s="14">
        <f t="shared" si="2"/>
        <v>7.2186241886511198</v>
      </c>
      <c r="K10" s="15">
        <f>J10/J11</f>
        <v>0.42788870595972184</v>
      </c>
      <c r="L10" s="14">
        <f>FINV(0.05,3,14)</f>
        <v>3.3438886781189128</v>
      </c>
      <c r="M10" s="1" t="str">
        <f>IF(K10&gt;=L10,"sig","ns")</f>
        <v>ns</v>
      </c>
      <c r="N10" s="16" t="s">
        <v>22</v>
      </c>
      <c r="O10" s="12">
        <f>(F6+F10)/2</f>
        <v>13.893102066258333</v>
      </c>
    </row>
    <row r="11" spans="1:15" ht="15.75" x14ac:dyDescent="0.3">
      <c r="A11" s="6" t="s">
        <v>39</v>
      </c>
      <c r="B11" s="8">
        <v>12.262200951000001</v>
      </c>
      <c r="C11" s="8">
        <v>18.898874404199997</v>
      </c>
      <c r="D11" s="8">
        <v>11.390441938050001</v>
      </c>
      <c r="E11" s="9">
        <f t="shared" si="0"/>
        <v>42.551517293250001</v>
      </c>
      <c r="F11" s="10">
        <f t="shared" si="1"/>
        <v>14.183839097750001</v>
      </c>
      <c r="G11" s="13" t="s">
        <v>23</v>
      </c>
      <c r="H11" s="7">
        <v>14</v>
      </c>
      <c r="I11" s="14">
        <f>D16</f>
        <v>236.18463687758276</v>
      </c>
      <c r="J11" s="14">
        <f t="shared" si="2"/>
        <v>16.870331205541625</v>
      </c>
      <c r="K11" s="14"/>
      <c r="L11" s="14"/>
      <c r="M11" s="7"/>
      <c r="N11" s="16" t="s">
        <v>24</v>
      </c>
      <c r="O11" s="12">
        <f>(F7+F11)/2</f>
        <v>12.699412396591669</v>
      </c>
    </row>
    <row r="12" spans="1:15" x14ac:dyDescent="0.25">
      <c r="A12" s="6" t="s">
        <v>4</v>
      </c>
      <c r="B12" s="9">
        <f>SUM(B4:B11)</f>
        <v>99.612562381649994</v>
      </c>
      <c r="C12" s="9">
        <f>SUM(C4:C11)</f>
        <v>114.73091190785001</v>
      </c>
      <c r="D12" s="9">
        <f>SUM(D4:D11)</f>
        <v>98.738484211149995</v>
      </c>
      <c r="E12" s="15">
        <f>SUM(E4:E11)</f>
        <v>313.08195850064999</v>
      </c>
      <c r="F12" s="19">
        <f>AVERAGE(B4:D11)</f>
        <v>13.045081604193749</v>
      </c>
      <c r="G12" s="13" t="s">
        <v>4</v>
      </c>
      <c r="H12" s="7">
        <v>23</v>
      </c>
      <c r="I12" s="14">
        <f>B15</f>
        <v>299.24644624358689</v>
      </c>
      <c r="J12" s="14"/>
      <c r="K12" s="7" t="s">
        <v>25</v>
      </c>
      <c r="L12" s="20">
        <f>TINV(0.05,14)</f>
        <v>2.1447866879178044</v>
      </c>
      <c r="M12" s="7"/>
      <c r="N12" s="13" t="s">
        <v>14</v>
      </c>
      <c r="O12" s="12">
        <f>SQRT(J11/(3*2))</f>
        <v>1.6768189728143794</v>
      </c>
    </row>
    <row r="13" spans="1:15" x14ac:dyDescent="0.25">
      <c r="A13" s="6" t="s">
        <v>5</v>
      </c>
      <c r="B13" s="9">
        <f>B12/8</f>
        <v>12.451570297706249</v>
      </c>
      <c r="C13" s="9">
        <f>C12/8</f>
        <v>14.341363988481252</v>
      </c>
      <c r="D13" s="9">
        <f>D12/8</f>
        <v>12.342310526393749</v>
      </c>
      <c r="E13" s="14"/>
      <c r="F13" s="14"/>
      <c r="G13" s="13" t="s">
        <v>14</v>
      </c>
      <c r="H13" s="12">
        <f>SQRT(J11/3)</f>
        <v>2.3713801329986177</v>
      </c>
      <c r="I13" s="7"/>
      <c r="J13" s="21"/>
      <c r="K13" s="7"/>
      <c r="L13" s="7"/>
      <c r="M13" s="7"/>
      <c r="N13" s="13" t="s">
        <v>16</v>
      </c>
      <c r="O13" s="12">
        <f>SQRT((2*J11)/(3*2))*L12</f>
        <v>5.0861045412481873</v>
      </c>
    </row>
    <row r="14" spans="1:15" x14ac:dyDescent="0.25">
      <c r="A14" s="7" t="s">
        <v>26</v>
      </c>
      <c r="B14" s="15">
        <f>(E12*E12)/24</f>
        <v>4084.1796974417798</v>
      </c>
      <c r="C14" s="14"/>
      <c r="D14" s="14"/>
      <c r="E14" s="14"/>
      <c r="F14" s="14"/>
      <c r="G14" s="13" t="s">
        <v>16</v>
      </c>
      <c r="H14" s="12">
        <f>(SQRT((2*J11)/3))*L12</f>
        <v>7.1928380218805756</v>
      </c>
      <c r="I14" s="7"/>
      <c r="J14" s="7"/>
      <c r="K14" s="7"/>
      <c r="L14" s="7"/>
      <c r="M14" s="7"/>
      <c r="N14" s="7"/>
      <c r="O14" s="7"/>
    </row>
    <row r="15" spans="1:15" x14ac:dyDescent="0.25">
      <c r="A15" s="7" t="s">
        <v>27</v>
      </c>
      <c r="B15" s="15">
        <f>SUMSQ(B4:D11)-B14</f>
        <v>299.24644624358689</v>
      </c>
      <c r="C15" s="7" t="s">
        <v>28</v>
      </c>
      <c r="D15" s="15">
        <f>(SUMSQ(B12:D12)/8)-B14</f>
        <v>20.211927028278751</v>
      </c>
      <c r="E15" s="14"/>
      <c r="F15" s="14"/>
      <c r="G15" s="13" t="s">
        <v>29</v>
      </c>
      <c r="H15" s="12">
        <f>((SQRT(J11))/F12)*100</f>
        <v>31.485819706122886</v>
      </c>
      <c r="I15" s="7"/>
      <c r="J15" s="21"/>
      <c r="K15" s="7"/>
      <c r="L15" s="7"/>
      <c r="M15" s="7"/>
      <c r="N15" s="7"/>
      <c r="O15" s="7"/>
    </row>
    <row r="16" spans="1:15" x14ac:dyDescent="0.25">
      <c r="A16" s="7" t="s">
        <v>30</v>
      </c>
      <c r="B16" s="15">
        <f>(SUMSQ(E4:E11)/3)-B14</f>
        <v>42.849882337725376</v>
      </c>
      <c r="C16" s="7" t="s">
        <v>31</v>
      </c>
      <c r="D16" s="15">
        <f>B15-B16-D15</f>
        <v>236.18463687758276</v>
      </c>
      <c r="E16" s="14"/>
      <c r="F16" s="14"/>
      <c r="G16" s="7"/>
      <c r="H16" s="7"/>
      <c r="I16" s="7"/>
      <c r="J16" s="7"/>
      <c r="K16" s="7"/>
      <c r="L16" s="7"/>
      <c r="M16" s="2"/>
      <c r="N16" s="7"/>
      <c r="O16" s="7"/>
    </row>
    <row r="18" spans="1:15" x14ac:dyDescent="0.25">
      <c r="A18" s="84" t="s">
        <v>54</v>
      </c>
      <c r="B18" s="85"/>
      <c r="C18" s="85"/>
      <c r="D18" s="22"/>
      <c r="E18" s="3"/>
      <c r="F18" s="3"/>
      <c r="G18" s="3"/>
      <c r="H18" s="3"/>
      <c r="I18" s="3"/>
      <c r="J18" s="3"/>
      <c r="K18" s="3"/>
      <c r="L18" s="3"/>
      <c r="M18" s="3"/>
      <c r="N18" s="5"/>
      <c r="O18" s="3"/>
    </row>
    <row r="19" spans="1:15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7"/>
      <c r="H19" s="7"/>
      <c r="I19" s="6" t="s">
        <v>6</v>
      </c>
      <c r="J19" s="7"/>
      <c r="K19" s="7"/>
      <c r="L19" s="7"/>
      <c r="M19" s="7"/>
      <c r="N19" s="88" t="s">
        <v>7</v>
      </c>
      <c r="O19" s="89"/>
    </row>
    <row r="20" spans="1:15" ht="15.75" x14ac:dyDescent="0.3">
      <c r="A20" s="6" t="s">
        <v>33</v>
      </c>
      <c r="B20" s="8">
        <v>142.35318058499999</v>
      </c>
      <c r="C20" s="8">
        <v>208.45683283599996</v>
      </c>
      <c r="D20" s="8">
        <v>229.20533317499996</v>
      </c>
      <c r="E20" s="9">
        <f t="shared" ref="E20:E27" si="3">SUM(B20:D20)</f>
        <v>580.01534659599997</v>
      </c>
      <c r="F20" s="10">
        <f t="shared" ref="F20:F27" si="4">E20/3</f>
        <v>193.33844886533333</v>
      </c>
      <c r="G20" s="7"/>
      <c r="H20" s="7"/>
      <c r="I20" s="7"/>
      <c r="J20" s="7"/>
      <c r="K20" s="7"/>
      <c r="L20" s="7"/>
      <c r="M20" s="7"/>
      <c r="N20" s="11">
        <v>1</v>
      </c>
      <c r="O20" s="12">
        <f>SUM(F20:F23)/4</f>
        <v>194.74455851865</v>
      </c>
    </row>
    <row r="21" spans="1:15" x14ac:dyDescent="0.25">
      <c r="A21" s="6" t="s">
        <v>32</v>
      </c>
      <c r="B21" s="8">
        <v>126.37661949149998</v>
      </c>
      <c r="C21" s="8">
        <v>181.68835657699998</v>
      </c>
      <c r="D21" s="8">
        <v>231.02357590199998</v>
      </c>
      <c r="E21" s="9">
        <f t="shared" si="3"/>
        <v>539.08855197049991</v>
      </c>
      <c r="F21" s="10">
        <f t="shared" si="4"/>
        <v>179.69618399016665</v>
      </c>
      <c r="G21" s="7"/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7"/>
      <c r="N21" s="11">
        <v>0.75</v>
      </c>
      <c r="O21" s="12">
        <f>SUM(F24:F27)/4</f>
        <v>162.82092857479165</v>
      </c>
    </row>
    <row r="22" spans="1:15" ht="15.75" x14ac:dyDescent="0.3">
      <c r="A22" s="6" t="s">
        <v>34</v>
      </c>
      <c r="B22" s="8">
        <v>163.69189522980002</v>
      </c>
      <c r="C22" s="8">
        <v>185.28050887499998</v>
      </c>
      <c r="D22" s="8">
        <v>240.18653924999998</v>
      </c>
      <c r="E22" s="9">
        <f t="shared" si="3"/>
        <v>589.15894335480004</v>
      </c>
      <c r="F22" s="10">
        <f t="shared" si="4"/>
        <v>196.38631445160001</v>
      </c>
      <c r="G22" s="13" t="s">
        <v>13</v>
      </c>
      <c r="H22" s="7">
        <v>2</v>
      </c>
      <c r="I22" s="14">
        <f>D31</f>
        <v>33453.555397973396</v>
      </c>
      <c r="J22" s="14">
        <f t="shared" ref="J22:J27" si="5">I22/H22</f>
        <v>16726.777698986698</v>
      </c>
      <c r="K22" s="15">
        <f>J22/J27</f>
        <v>22.528061464251511</v>
      </c>
      <c r="L22" s="14">
        <f>FINV(0.05,2,14)</f>
        <v>3.7388918324407361</v>
      </c>
      <c r="M22" s="1" t="str">
        <f>IF(K22&gt;=L22,"sig","ns")</f>
        <v>sig</v>
      </c>
      <c r="N22" s="13" t="s">
        <v>14</v>
      </c>
      <c r="O22" s="12">
        <f>SQRT(J27/(3*4))</f>
        <v>7.8659939555482374</v>
      </c>
    </row>
    <row r="23" spans="1:15" ht="15.75" x14ac:dyDescent="0.3">
      <c r="A23" s="6" t="s">
        <v>35</v>
      </c>
      <c r="B23" s="8">
        <v>187.87924848</v>
      </c>
      <c r="C23" s="8">
        <v>217.45413017999996</v>
      </c>
      <c r="D23" s="8">
        <v>223.33848164249997</v>
      </c>
      <c r="E23" s="9">
        <f t="shared" si="3"/>
        <v>628.67186030249991</v>
      </c>
      <c r="F23" s="10">
        <f t="shared" si="4"/>
        <v>209.55728676749996</v>
      </c>
      <c r="G23" s="13" t="s">
        <v>15</v>
      </c>
      <c r="H23" s="7">
        <v>7</v>
      </c>
      <c r="I23" s="14">
        <f>B32</f>
        <v>28143.504167660256</v>
      </c>
      <c r="J23" s="14">
        <f t="shared" si="5"/>
        <v>4020.5005953800364</v>
      </c>
      <c r="K23" s="15">
        <f>J23/J27</f>
        <v>5.4149153028600479</v>
      </c>
      <c r="L23" s="14">
        <f>FINV(0.05,7,14)</f>
        <v>2.7641992567781792</v>
      </c>
      <c r="M23" s="1" t="str">
        <f>IF(K23&gt;=L23,"sig","ns")</f>
        <v>sig</v>
      </c>
      <c r="N23" s="13" t="s">
        <v>16</v>
      </c>
      <c r="O23" s="12">
        <f>SQRT((2*J27)/(3*4))*L28</f>
        <v>23.859026065047637</v>
      </c>
    </row>
    <row r="24" spans="1:15" ht="15.75" x14ac:dyDescent="0.3">
      <c r="A24" s="6" t="s">
        <v>36</v>
      </c>
      <c r="B24" s="8">
        <v>0</v>
      </c>
      <c r="C24" s="8">
        <v>157.14003810399998</v>
      </c>
      <c r="D24" s="8">
        <v>151.27814488499999</v>
      </c>
      <c r="E24" s="9">
        <f t="shared" si="3"/>
        <v>308.418182989</v>
      </c>
      <c r="F24" s="10">
        <f t="shared" si="4"/>
        <v>102.80606099633333</v>
      </c>
      <c r="G24" s="7" t="s">
        <v>17</v>
      </c>
      <c r="H24" s="7">
        <v>1</v>
      </c>
      <c r="I24" s="14">
        <f>((E20+E21+E22+E23)^2+(E24+E25+E26+E27)^2)/12-B30</f>
        <v>6114.7088927546283</v>
      </c>
      <c r="J24" s="14">
        <f t="shared" si="5"/>
        <v>6114.7088927546283</v>
      </c>
      <c r="K24" s="15">
        <f>J24/J27</f>
        <v>8.2354497830342162</v>
      </c>
      <c r="L24" s="14">
        <f>FINV(0.05,1,14)</f>
        <v>4.6001099366694227</v>
      </c>
      <c r="M24" s="1" t="str">
        <f>IF(K24&gt;=L24,"sig","ns")</f>
        <v>sig</v>
      </c>
      <c r="N24" s="16" t="s">
        <v>18</v>
      </c>
      <c r="O24" s="12">
        <f>(F20+F24)/2</f>
        <v>148.07225493083334</v>
      </c>
    </row>
    <row r="25" spans="1:15" x14ac:dyDescent="0.25">
      <c r="A25" s="6" t="s">
        <v>37</v>
      </c>
      <c r="B25" s="8">
        <v>133.33021667699998</v>
      </c>
      <c r="C25" s="8">
        <v>125.90412138149998</v>
      </c>
      <c r="D25" s="8">
        <v>187.05150179099996</v>
      </c>
      <c r="E25" s="9">
        <f t="shared" si="3"/>
        <v>446.28583984949989</v>
      </c>
      <c r="F25" s="10">
        <f t="shared" si="4"/>
        <v>148.76194661649996</v>
      </c>
      <c r="G25" s="7" t="s">
        <v>19</v>
      </c>
      <c r="H25" s="7">
        <v>3</v>
      </c>
      <c r="I25" s="14">
        <f xml:space="preserve"> ((E20+E24)^2+(E21+E25)^2+(E22+E26)^2+(E23+E27)^2)/6-B30</f>
        <v>14252.844756245613</v>
      </c>
      <c r="J25" s="14">
        <f t="shared" si="5"/>
        <v>4750.948252081871</v>
      </c>
      <c r="K25" s="15">
        <f>J25/J27</f>
        <v>6.3987013017374226</v>
      </c>
      <c r="L25" s="14">
        <f>FINV(0.05,3,14)</f>
        <v>3.3438886781189128</v>
      </c>
      <c r="M25" s="1" t="str">
        <f>IF(K25&gt;=L25,"sig","ns")</f>
        <v>sig</v>
      </c>
      <c r="N25" s="16" t="s">
        <v>20</v>
      </c>
      <c r="O25" s="12">
        <f>(F21+F25)/2</f>
        <v>164.2290653033333</v>
      </c>
    </row>
    <row r="26" spans="1:15" ht="15.75" x14ac:dyDescent="0.3">
      <c r="A26" s="6" t="s">
        <v>38</v>
      </c>
      <c r="B26" s="8">
        <v>128.826901357</v>
      </c>
      <c r="C26" s="8">
        <v>212.21815112399997</v>
      </c>
      <c r="D26" s="8">
        <v>218.87162451</v>
      </c>
      <c r="E26" s="9">
        <f t="shared" si="3"/>
        <v>559.91667699100003</v>
      </c>
      <c r="F26" s="10">
        <f t="shared" si="4"/>
        <v>186.63889233033333</v>
      </c>
      <c r="G26" s="17" t="s">
        <v>21</v>
      </c>
      <c r="H26" s="18">
        <v>3</v>
      </c>
      <c r="I26" s="14">
        <f>(I23-(I24+I25))</f>
        <v>7775.9505186600145</v>
      </c>
      <c r="J26" s="14">
        <f t="shared" si="5"/>
        <v>2591.983506220005</v>
      </c>
      <c r="K26" s="15">
        <f>J26/J27</f>
        <v>3.4909511439246184</v>
      </c>
      <c r="L26" s="14">
        <f>FINV(0.05,3,14)</f>
        <v>3.3438886781189128</v>
      </c>
      <c r="M26" s="1" t="str">
        <f>IF(K26&gt;=L26,"sig","ns")</f>
        <v>sig</v>
      </c>
      <c r="N26" s="16" t="s">
        <v>22</v>
      </c>
      <c r="O26" s="12">
        <f>(F22+F26)/2</f>
        <v>191.51260339096666</v>
      </c>
    </row>
    <row r="27" spans="1:15" ht="15.75" x14ac:dyDescent="0.3">
      <c r="A27" s="6" t="s">
        <v>39</v>
      </c>
      <c r="B27" s="8">
        <v>147.93974157199997</v>
      </c>
      <c r="C27" s="8">
        <v>224.17176997600001</v>
      </c>
      <c r="D27" s="8">
        <v>267.11893151999999</v>
      </c>
      <c r="E27" s="9">
        <f t="shared" si="3"/>
        <v>639.23044306799989</v>
      </c>
      <c r="F27" s="10">
        <f t="shared" si="4"/>
        <v>213.07681435599997</v>
      </c>
      <c r="G27" s="13" t="s">
        <v>23</v>
      </c>
      <c r="H27" s="7">
        <v>14</v>
      </c>
      <c r="I27" s="14">
        <f>D32</f>
        <v>10394.808632665197</v>
      </c>
      <c r="J27" s="14">
        <f t="shared" si="5"/>
        <v>742.48633090465694</v>
      </c>
      <c r="K27" s="14"/>
      <c r="L27" s="14"/>
      <c r="M27" s="7"/>
      <c r="N27" s="16" t="s">
        <v>24</v>
      </c>
      <c r="O27" s="12">
        <f>(F23+F27)/2</f>
        <v>211.31705056174997</v>
      </c>
    </row>
    <row r="28" spans="1:15" x14ac:dyDescent="0.25">
      <c r="A28" s="6" t="s">
        <v>4</v>
      </c>
      <c r="B28" s="9">
        <f>SUM(B20:B27)</f>
        <v>1030.3978033922999</v>
      </c>
      <c r="C28" s="9">
        <f>SUM(C20:C27)</f>
        <v>1512.3139090534999</v>
      </c>
      <c r="D28" s="9">
        <f>SUM(D20:D27)</f>
        <v>1748.0741326754999</v>
      </c>
      <c r="E28" s="15">
        <f>SUM(E20:E27)</f>
        <v>4290.7858451212996</v>
      </c>
      <c r="F28" s="19">
        <f>AVERAGE(B20:D27)</f>
        <v>178.78274354672081</v>
      </c>
      <c r="G28" s="13" t="s">
        <v>4</v>
      </c>
      <c r="H28" s="7">
        <v>23</v>
      </c>
      <c r="I28" s="14">
        <f>B31</f>
        <v>71991.868198298849</v>
      </c>
      <c r="J28" s="14"/>
      <c r="K28" s="7" t="s">
        <v>25</v>
      </c>
      <c r="L28" s="20">
        <f>TINV(0.05,14)</f>
        <v>2.1447866879178044</v>
      </c>
      <c r="M28" s="7"/>
      <c r="N28" s="13" t="s">
        <v>14</v>
      </c>
      <c r="O28" s="12">
        <f>SQRT(J27/(3*2))</f>
        <v>11.124195333481106</v>
      </c>
    </row>
    <row r="29" spans="1:15" x14ac:dyDescent="0.25">
      <c r="A29" s="6" t="s">
        <v>5</v>
      </c>
      <c r="B29" s="9">
        <f>B28/8</f>
        <v>128.79972542403749</v>
      </c>
      <c r="C29" s="9">
        <f>C28/8</f>
        <v>189.03923863168748</v>
      </c>
      <c r="D29" s="9">
        <f>D28/8</f>
        <v>218.50926658443748</v>
      </c>
      <c r="E29" s="14"/>
      <c r="F29" s="14"/>
      <c r="G29" s="13" t="s">
        <v>14</v>
      </c>
      <c r="H29" s="12">
        <f>SQRT(J27/3)</f>
        <v>15.731987911096475</v>
      </c>
      <c r="I29" s="7"/>
      <c r="J29" s="21"/>
      <c r="K29" s="7"/>
      <c r="L29" s="7"/>
      <c r="M29" s="7"/>
      <c r="N29" s="13" t="s">
        <v>16</v>
      </c>
      <c r="O29" s="12">
        <f>SQRT((2*J27)/(3*2))*L28</f>
        <v>33.741758246203545</v>
      </c>
    </row>
    <row r="30" spans="1:15" x14ac:dyDescent="0.25">
      <c r="A30" s="7" t="s">
        <v>26</v>
      </c>
      <c r="B30" s="15">
        <f>(E28*E28)/24</f>
        <v>767118.465362221</v>
      </c>
      <c r="C30" s="14"/>
      <c r="D30" s="14"/>
      <c r="E30" s="14"/>
      <c r="F30" s="14"/>
      <c r="G30" s="13" t="s">
        <v>16</v>
      </c>
      <c r="H30" s="12">
        <f>(SQRT((2*J27)/3))*L28</f>
        <v>47.718052130095273</v>
      </c>
      <c r="I30" s="7"/>
      <c r="J30" s="7"/>
      <c r="K30" s="7"/>
      <c r="L30" s="7"/>
      <c r="M30" s="7"/>
      <c r="N30" s="7"/>
      <c r="O30" s="7"/>
    </row>
    <row r="31" spans="1:15" x14ac:dyDescent="0.25">
      <c r="A31" s="7" t="s">
        <v>27</v>
      </c>
      <c r="B31" s="15">
        <f>SUMSQ(B20:D27)-B30</f>
        <v>71991.868198298849</v>
      </c>
      <c r="C31" s="7" t="s">
        <v>28</v>
      </c>
      <c r="D31" s="15">
        <f>(SUMSQ(B28:D28)/8)-B30</f>
        <v>33453.555397973396</v>
      </c>
      <c r="E31" s="14"/>
      <c r="F31" s="14"/>
      <c r="G31" s="13" t="s">
        <v>29</v>
      </c>
      <c r="H31" s="12">
        <f>((SQRT(J27))/F28)*100</f>
        <v>15.241181461653575</v>
      </c>
      <c r="I31" s="7"/>
      <c r="J31" s="21"/>
      <c r="K31" s="7"/>
      <c r="L31" s="7"/>
      <c r="M31" s="7"/>
      <c r="N31" s="7"/>
      <c r="O31" s="7"/>
    </row>
    <row r="32" spans="1:15" x14ac:dyDescent="0.25">
      <c r="A32" s="7" t="s">
        <v>30</v>
      </c>
      <c r="B32" s="15">
        <f>(SUMSQ(E20:E27)/3)-B30</f>
        <v>28143.504167660256</v>
      </c>
      <c r="C32" s="7" t="s">
        <v>31</v>
      </c>
      <c r="D32" s="15">
        <f>B31-B32-D31</f>
        <v>10394.808632665197</v>
      </c>
      <c r="E32" s="14"/>
      <c r="F32" s="14"/>
      <c r="G32" s="7"/>
      <c r="H32" s="7"/>
      <c r="I32" s="7"/>
      <c r="J32" s="7"/>
      <c r="K32" s="7"/>
      <c r="L32" s="7"/>
      <c r="M32" s="2"/>
      <c r="N32" s="7"/>
      <c r="O32" s="7"/>
    </row>
    <row r="34" spans="1:15" x14ac:dyDescent="0.25">
      <c r="A34" s="84" t="s">
        <v>55</v>
      </c>
      <c r="B34" s="85"/>
      <c r="C34" s="85"/>
      <c r="D34" s="22"/>
      <c r="E34" s="3"/>
      <c r="F34" s="3"/>
      <c r="G34" s="3"/>
      <c r="H34" s="3"/>
      <c r="I34" s="3"/>
      <c r="J34" s="3"/>
      <c r="K34" s="3"/>
      <c r="L34" s="3"/>
      <c r="M34" s="3"/>
      <c r="N34" s="5"/>
      <c r="O34" s="3"/>
    </row>
    <row r="35" spans="1:15" x14ac:dyDescent="0.25">
      <c r="A35" s="6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7"/>
      <c r="H35" s="7"/>
      <c r="I35" s="6" t="s">
        <v>6</v>
      </c>
      <c r="J35" s="7"/>
      <c r="K35" s="7"/>
      <c r="L35" s="7"/>
      <c r="M35" s="7"/>
      <c r="N35" s="88" t="s">
        <v>7</v>
      </c>
      <c r="O35" s="89"/>
    </row>
    <row r="36" spans="1:15" ht="15.75" x14ac:dyDescent="0.3">
      <c r="A36" s="6" t="s">
        <v>33</v>
      </c>
      <c r="B36" s="8">
        <v>328.85868455999997</v>
      </c>
      <c r="C36" s="8">
        <v>252.27899088000001</v>
      </c>
      <c r="D36" s="8">
        <v>258.26980025</v>
      </c>
      <c r="E36" s="9">
        <f t="shared" ref="E36:E43" si="6">SUM(B36:D36)</f>
        <v>839.40747568999996</v>
      </c>
      <c r="F36" s="10">
        <f t="shared" ref="F36:F43" si="7">E36/3</f>
        <v>279.80249189666665</v>
      </c>
      <c r="G36" s="7"/>
      <c r="H36" s="7"/>
      <c r="I36" s="7"/>
      <c r="J36" s="7"/>
      <c r="K36" s="7"/>
      <c r="L36" s="7"/>
      <c r="M36" s="7"/>
      <c r="N36" s="11">
        <v>1</v>
      </c>
      <c r="O36" s="12">
        <f>SUM(F36:F39)/4</f>
        <v>328.58500509916666</v>
      </c>
    </row>
    <row r="37" spans="1:15" x14ac:dyDescent="0.25">
      <c r="A37" s="6" t="s">
        <v>32</v>
      </c>
      <c r="B37" s="8">
        <v>298.98630405000006</v>
      </c>
      <c r="C37" s="8">
        <v>297.73214239999999</v>
      </c>
      <c r="D37" s="8">
        <v>354.77608088999995</v>
      </c>
      <c r="E37" s="9">
        <f t="shared" si="6"/>
        <v>951.4945273400001</v>
      </c>
      <c r="F37" s="10">
        <f t="shared" si="7"/>
        <v>317.16484244666668</v>
      </c>
      <c r="G37" s="7"/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7"/>
      <c r="N37" s="11">
        <v>0.75</v>
      </c>
      <c r="O37" s="12">
        <f>SUM(F40:F43)/4</f>
        <v>329.04972546250002</v>
      </c>
    </row>
    <row r="38" spans="1:15" ht="15.75" x14ac:dyDescent="0.3">
      <c r="A38" s="6" t="s">
        <v>34</v>
      </c>
      <c r="B38" s="8">
        <v>360.17772594999997</v>
      </c>
      <c r="C38" s="8">
        <v>316.66123334999997</v>
      </c>
      <c r="D38" s="8">
        <v>360.35855856000001</v>
      </c>
      <c r="E38" s="9">
        <f t="shared" si="6"/>
        <v>1037.1975178600001</v>
      </c>
      <c r="F38" s="10">
        <f t="shared" si="7"/>
        <v>345.73250595333337</v>
      </c>
      <c r="G38" s="13" t="s">
        <v>13</v>
      </c>
      <c r="H38" s="7">
        <v>2</v>
      </c>
      <c r="I38" s="14">
        <f>D47</f>
        <v>-1109426.3226640602</v>
      </c>
      <c r="J38" s="14">
        <f t="shared" ref="J38:J43" si="8">I38/H38</f>
        <v>-554713.16133203008</v>
      </c>
      <c r="K38" s="15">
        <f>J38/J43</f>
        <v>-6.0064941049235614</v>
      </c>
      <c r="L38" s="14">
        <f>FINV(0.05,2,14)</f>
        <v>3.7388918324407361</v>
      </c>
      <c r="M38" s="1" t="str">
        <f>IF(K38&gt;=L38,"sig","ns")</f>
        <v>ns</v>
      </c>
      <c r="N38" s="13" t="s">
        <v>14</v>
      </c>
      <c r="O38" s="12">
        <f>SQRT(J43/(3*4))</f>
        <v>87.72696090564186</v>
      </c>
    </row>
    <row r="39" spans="1:15" ht="15.75" x14ac:dyDescent="0.3">
      <c r="A39" s="6" t="s">
        <v>35</v>
      </c>
      <c r="B39" s="8">
        <v>394.78675418</v>
      </c>
      <c r="C39" s="8">
        <v>309.16543000000001</v>
      </c>
      <c r="D39" s="8">
        <v>410.96835612000001</v>
      </c>
      <c r="E39" s="9">
        <f t="shared" si="6"/>
        <v>1114.9205403000001</v>
      </c>
      <c r="F39" s="10">
        <f t="shared" si="7"/>
        <v>371.64018010000001</v>
      </c>
      <c r="G39" s="13" t="s">
        <v>15</v>
      </c>
      <c r="H39" s="7">
        <v>7</v>
      </c>
      <c r="I39" s="14">
        <f>B48</f>
        <v>43086.058340367861</v>
      </c>
      <c r="J39" s="14">
        <f t="shared" si="8"/>
        <v>6155.1511914811226</v>
      </c>
      <c r="K39" s="15">
        <f>J39/J43</f>
        <v>6.6648642800842511E-2</v>
      </c>
      <c r="L39" s="14">
        <f>FINV(0.05,7,14)</f>
        <v>2.7641992567781792</v>
      </c>
      <c r="M39" s="1" t="str">
        <f>IF(K39&gt;=L39,"sig","ns")</f>
        <v>ns</v>
      </c>
      <c r="N39" s="13" t="s">
        <v>16</v>
      </c>
      <c r="O39" s="12">
        <f>SQRT((2*J43)/(3*4))*L44</f>
        <v>266.09222670185011</v>
      </c>
    </row>
    <row r="40" spans="1:15" ht="15.75" x14ac:dyDescent="0.3">
      <c r="A40" s="6" t="s">
        <v>36</v>
      </c>
      <c r="B40" s="8">
        <v>0</v>
      </c>
      <c r="C40" s="8">
        <v>267.25893095999999</v>
      </c>
      <c r="D40" s="8">
        <v>477.08892496999999</v>
      </c>
      <c r="E40" s="9">
        <f t="shared" si="6"/>
        <v>744.34785592999992</v>
      </c>
      <c r="F40" s="10">
        <f t="shared" si="7"/>
        <v>248.11595197666665</v>
      </c>
      <c r="G40" s="7" t="s">
        <v>17</v>
      </c>
      <c r="H40" s="7">
        <v>1</v>
      </c>
      <c r="I40" s="14">
        <f>((E36+E37+E38+E39)^2+(E40+E41+E42+E43)^2)/12-B46</f>
        <v>1.295790096744895</v>
      </c>
      <c r="J40" s="14">
        <f t="shared" si="8"/>
        <v>1.295790096744895</v>
      </c>
      <c r="K40" s="15">
        <f>J40/J43</f>
        <v>1.4030955311438597E-5</v>
      </c>
      <c r="L40" s="14">
        <f>FINV(0.05,1,14)</f>
        <v>4.6001099366694227</v>
      </c>
      <c r="M40" s="1" t="str">
        <f>IF(K40&gt;=L40,"sig","ns")</f>
        <v>ns</v>
      </c>
      <c r="N40" s="16" t="s">
        <v>18</v>
      </c>
      <c r="O40" s="12">
        <f>(F36+F40)/2</f>
        <v>263.95922193666667</v>
      </c>
    </row>
    <row r="41" spans="1:15" x14ac:dyDescent="0.25">
      <c r="A41" s="6" t="s">
        <v>37</v>
      </c>
      <c r="B41" s="8">
        <v>292.68632924999997</v>
      </c>
      <c r="C41" s="8">
        <v>367.86602852999999</v>
      </c>
      <c r="D41" s="8">
        <v>369.94852019999996</v>
      </c>
      <c r="E41" s="9">
        <f t="shared" si="6"/>
        <v>1030.50087798</v>
      </c>
      <c r="F41" s="10">
        <f t="shared" si="7"/>
        <v>343.50029266000001</v>
      </c>
      <c r="G41" s="7" t="s">
        <v>19</v>
      </c>
      <c r="H41" s="7">
        <v>3</v>
      </c>
      <c r="I41" s="14">
        <f xml:space="preserve"> ((E36+E40)^2+(E37+E41)^2+(E38+E42)^2+(E39+E43)^2)/6-B46</f>
        <v>40384.969376986846</v>
      </c>
      <c r="J41" s="14">
        <f t="shared" si="8"/>
        <v>13461.656458995616</v>
      </c>
      <c r="K41" s="15">
        <f>J41/J43</f>
        <v>0.14576427205963702</v>
      </c>
      <c r="L41" s="14">
        <f>FINV(0.05,3,14)</f>
        <v>3.3438886781189128</v>
      </c>
      <c r="M41" s="1" t="str">
        <f>IF(K41&gt;=L41,"sig","ns")</f>
        <v>ns</v>
      </c>
      <c r="N41" s="16" t="s">
        <v>20</v>
      </c>
      <c r="O41" s="12">
        <f>(F37+F41)/2</f>
        <v>330.33256755333332</v>
      </c>
    </row>
    <row r="42" spans="1:15" ht="15.75" x14ac:dyDescent="0.3">
      <c r="A42" s="6" t="s">
        <v>38</v>
      </c>
      <c r="B42" s="8">
        <v>248.83150466999999</v>
      </c>
      <c r="C42" s="8">
        <v>286.78885284000006</v>
      </c>
      <c r="D42" s="8">
        <v>493.76052494999999</v>
      </c>
      <c r="E42" s="9">
        <f t="shared" si="6"/>
        <v>1029.3808824600001</v>
      </c>
      <c r="F42" s="10">
        <f t="shared" si="7"/>
        <v>343.12696082000002</v>
      </c>
      <c r="G42" s="17" t="s">
        <v>21</v>
      </c>
      <c r="H42" s="18">
        <v>3</v>
      </c>
      <c r="I42" s="14">
        <f>(I39-(I40+I41))</f>
        <v>2699.7931732842699</v>
      </c>
      <c r="J42" s="14">
        <f t="shared" si="8"/>
        <v>899.93105776142329</v>
      </c>
      <c r="K42" s="15">
        <f>J42/J43</f>
        <v>9.7445508238917199E-3</v>
      </c>
      <c r="L42" s="14">
        <f>FINV(0.05,3,14)</f>
        <v>3.3438886781189128</v>
      </c>
      <c r="M42" s="1" t="str">
        <f>IF(K42&gt;=L42,"sig","ns")</f>
        <v>ns</v>
      </c>
      <c r="N42" s="16" t="s">
        <v>22</v>
      </c>
      <c r="O42" s="12">
        <f>(F38+F42)/2</f>
        <v>344.42973338666673</v>
      </c>
    </row>
    <row r="43" spans="1:15" ht="15.75" x14ac:dyDescent="0.3">
      <c r="A43" s="6" t="s">
        <v>39</v>
      </c>
      <c r="B43" s="8">
        <v>360.25355898000004</v>
      </c>
      <c r="C43" s="8">
        <v>483.81473139999997</v>
      </c>
      <c r="D43" s="8">
        <v>300.29879879999999</v>
      </c>
      <c r="E43" s="9">
        <f t="shared" si="6"/>
        <v>1144.36708918</v>
      </c>
      <c r="F43" s="10">
        <f t="shared" si="7"/>
        <v>381.45569639333331</v>
      </c>
      <c r="G43" s="13" t="s">
        <v>23</v>
      </c>
      <c r="H43" s="7">
        <v>14</v>
      </c>
      <c r="I43" s="14">
        <f>D48</f>
        <v>1292931.3045163224</v>
      </c>
      <c r="J43" s="14">
        <f t="shared" si="8"/>
        <v>92352.236036880175</v>
      </c>
      <c r="K43" s="14"/>
      <c r="L43" s="14"/>
      <c r="M43" s="7"/>
      <c r="N43" s="16" t="s">
        <v>24</v>
      </c>
      <c r="O43" s="12">
        <f>(F39+F43)/2</f>
        <v>376.54793824666666</v>
      </c>
    </row>
    <row r="44" spans="1:15" x14ac:dyDescent="0.25">
      <c r="A44" s="6" t="s">
        <v>4</v>
      </c>
      <c r="B44" s="9">
        <f>SUM(B36:B43)</f>
        <v>2284.58086164</v>
      </c>
      <c r="C44" s="9">
        <f>SUM(C36:C43)</f>
        <v>2581.5663403599997</v>
      </c>
      <c r="D44" s="9" t="s">
        <v>57</v>
      </c>
      <c r="E44" s="15">
        <f>SUM(E36:E43)</f>
        <v>7891.6167667400005</v>
      </c>
      <c r="F44" s="19">
        <f>AVERAGE(B36:D43)</f>
        <v>328.81736528083337</v>
      </c>
      <c r="G44" s="13" t="s">
        <v>4</v>
      </c>
      <c r="H44" s="7">
        <v>23</v>
      </c>
      <c r="I44" s="14">
        <f>B47</f>
        <v>226591.04019263014</v>
      </c>
      <c r="J44" s="14"/>
      <c r="K44" s="7" t="s">
        <v>25</v>
      </c>
      <c r="L44" s="20">
        <f>TINV(0.05,14)</f>
        <v>2.1447866879178044</v>
      </c>
      <c r="M44" s="7"/>
      <c r="N44" s="13" t="s">
        <v>14</v>
      </c>
      <c r="O44" s="12">
        <f>SQRT(J43/(3*2))</f>
        <v>124.06465789853301</v>
      </c>
    </row>
    <row r="45" spans="1:15" x14ac:dyDescent="0.25">
      <c r="A45" s="6" t="s">
        <v>5</v>
      </c>
      <c r="B45" s="9">
        <f>B44/8</f>
        <v>285.572607705</v>
      </c>
      <c r="C45" s="9">
        <f>C44/8</f>
        <v>322.69579254499996</v>
      </c>
      <c r="D45" s="9" t="e">
        <f>D44/8</f>
        <v>#VALUE!</v>
      </c>
      <c r="E45" s="14"/>
      <c r="F45" s="14"/>
      <c r="G45" s="13" t="s">
        <v>14</v>
      </c>
      <c r="H45" s="12">
        <f>SQRT(J43/3)</f>
        <v>175.45392181128372</v>
      </c>
      <c r="I45" s="7"/>
      <c r="J45" s="21"/>
      <c r="K45" s="7"/>
      <c r="L45" s="7"/>
      <c r="M45" s="7"/>
      <c r="N45" s="13" t="s">
        <v>16</v>
      </c>
      <c r="O45" s="12">
        <f>SQRT((2*J43)/(3*2))*L44</f>
        <v>376.3112358438126</v>
      </c>
    </row>
    <row r="46" spans="1:15" x14ac:dyDescent="0.25">
      <c r="A46" s="7" t="s">
        <v>26</v>
      </c>
      <c r="B46" s="15">
        <f>(E44*E44)/24</f>
        <v>2594900.633045496</v>
      </c>
      <c r="C46" s="14"/>
      <c r="D46" s="14"/>
      <c r="E46" s="14"/>
      <c r="F46" s="14"/>
      <c r="G46" s="13" t="s">
        <v>16</v>
      </c>
      <c r="H46" s="12">
        <f>(SQRT((2*J43)/3))*L44</f>
        <v>532.18445340370022</v>
      </c>
      <c r="I46" s="7"/>
      <c r="J46" s="7"/>
      <c r="K46" s="7"/>
      <c r="L46" s="7"/>
      <c r="M46" s="7"/>
      <c r="N46" s="7"/>
      <c r="O46" s="7"/>
    </row>
    <row r="47" spans="1:15" x14ac:dyDescent="0.25">
      <c r="A47" s="7" t="s">
        <v>27</v>
      </c>
      <c r="B47" s="15">
        <f>SUMSQ(B36:D43)-B46</f>
        <v>226591.04019263014</v>
      </c>
      <c r="C47" s="7" t="s">
        <v>28</v>
      </c>
      <c r="D47" s="15">
        <f>(SUMSQ(B44:D44)/8)-B46</f>
        <v>-1109426.3226640602</v>
      </c>
      <c r="E47" s="14"/>
      <c r="F47" s="14"/>
      <c r="G47" s="13" t="s">
        <v>29</v>
      </c>
      <c r="H47" s="12">
        <f>((SQRT(J43))/F44)*100</f>
        <v>92.420638035589334</v>
      </c>
      <c r="I47" s="7"/>
      <c r="J47" s="21"/>
      <c r="K47" s="7"/>
      <c r="L47" s="7"/>
      <c r="M47" s="7"/>
      <c r="N47" s="7"/>
      <c r="O47" s="7"/>
    </row>
    <row r="48" spans="1:15" x14ac:dyDescent="0.25">
      <c r="A48" s="7" t="s">
        <v>30</v>
      </c>
      <c r="B48" s="15">
        <f>(SUMSQ(E36:E43)/3)-B46</f>
        <v>43086.058340367861</v>
      </c>
      <c r="C48" s="7" t="s">
        <v>31</v>
      </c>
      <c r="D48" s="15">
        <f>B47-B48-D47</f>
        <v>1292931.3045163224</v>
      </c>
      <c r="E48" s="14"/>
      <c r="F48" s="14"/>
      <c r="G48" s="7"/>
      <c r="H48" s="7"/>
      <c r="I48" s="7"/>
      <c r="J48" s="7"/>
      <c r="K48" s="7"/>
      <c r="L48" s="7"/>
      <c r="M48" s="2"/>
      <c r="N48" s="7"/>
      <c r="O48" s="7"/>
    </row>
    <row r="50" spans="1:15" x14ac:dyDescent="0.25">
      <c r="A50" s="4" t="s">
        <v>56</v>
      </c>
      <c r="B50" s="23"/>
      <c r="C50" s="23"/>
      <c r="D50" s="22"/>
      <c r="E50" s="3"/>
      <c r="F50" s="3"/>
      <c r="G50" s="3"/>
      <c r="H50" s="3"/>
      <c r="I50" s="3"/>
      <c r="J50" s="3"/>
      <c r="K50" s="3"/>
      <c r="L50" s="3"/>
      <c r="M50" s="3"/>
      <c r="N50" s="5"/>
      <c r="O50" s="3"/>
    </row>
    <row r="51" spans="1:15" x14ac:dyDescent="0.25">
      <c r="A51" s="6" t="s">
        <v>0</v>
      </c>
      <c r="B51" s="6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7"/>
      <c r="H51" s="7"/>
      <c r="I51" s="6" t="s">
        <v>6</v>
      </c>
      <c r="J51" s="7"/>
      <c r="K51" s="7"/>
      <c r="L51" s="7"/>
      <c r="M51" s="7"/>
      <c r="N51" s="88" t="s">
        <v>7</v>
      </c>
      <c r="O51" s="89"/>
    </row>
    <row r="52" spans="1:15" ht="15.75" x14ac:dyDescent="0.3">
      <c r="A52" s="6" t="s">
        <v>33</v>
      </c>
      <c r="B52" s="8">
        <v>123.62008885099998</v>
      </c>
      <c r="C52" s="8">
        <v>167.72107911299997</v>
      </c>
      <c r="D52" s="8">
        <v>146.78007954399999</v>
      </c>
      <c r="E52" s="9">
        <f t="shared" ref="E52:E59" si="9">SUM(B52:D52)</f>
        <v>438.12124750799995</v>
      </c>
      <c r="F52" s="10">
        <f t="shared" ref="F52:F59" si="10">E52/3</f>
        <v>146.04041583599999</v>
      </c>
      <c r="G52" s="7"/>
      <c r="H52" s="7"/>
      <c r="I52" s="7"/>
      <c r="J52" s="7"/>
      <c r="K52" s="7"/>
      <c r="L52" s="7"/>
      <c r="M52" s="7"/>
      <c r="N52" s="11">
        <v>1</v>
      </c>
      <c r="O52" s="12">
        <f>SUM(F52:F55)/4</f>
        <v>147.07062699291666</v>
      </c>
    </row>
    <row r="53" spans="1:15" x14ac:dyDescent="0.25">
      <c r="A53" s="6" t="s">
        <v>32</v>
      </c>
      <c r="B53" s="8">
        <v>110.38080847499998</v>
      </c>
      <c r="C53" s="8">
        <v>104.808247432</v>
      </c>
      <c r="D53" s="8">
        <v>95.759616960000002</v>
      </c>
      <c r="E53" s="9">
        <f t="shared" si="9"/>
        <v>310.94867286699997</v>
      </c>
      <c r="F53" s="10">
        <f t="shared" si="10"/>
        <v>103.64955762233332</v>
      </c>
      <c r="G53" s="7"/>
      <c r="H53" s="13" t="s">
        <v>8</v>
      </c>
      <c r="I53" s="13" t="s">
        <v>9</v>
      </c>
      <c r="J53" s="13" t="s">
        <v>10</v>
      </c>
      <c r="K53" s="13" t="s">
        <v>11</v>
      </c>
      <c r="L53" s="13" t="s">
        <v>12</v>
      </c>
      <c r="M53" s="7"/>
      <c r="N53" s="11">
        <v>0.75</v>
      </c>
      <c r="O53" s="12">
        <f>SUM(F56:F59)/4</f>
        <v>127.43463609275</v>
      </c>
    </row>
    <row r="54" spans="1:15" ht="15.75" x14ac:dyDescent="0.3">
      <c r="A54" s="6" t="s">
        <v>34</v>
      </c>
      <c r="B54" s="8">
        <v>180.99127603199997</v>
      </c>
      <c r="C54" s="8">
        <v>224.72476776399995</v>
      </c>
      <c r="D54" s="8">
        <v>93.583792329999994</v>
      </c>
      <c r="E54" s="9">
        <f t="shared" si="9"/>
        <v>499.29983612599989</v>
      </c>
      <c r="F54" s="10">
        <f t="shared" si="10"/>
        <v>166.43327870866662</v>
      </c>
      <c r="G54" s="13" t="s">
        <v>13</v>
      </c>
      <c r="H54" s="7">
        <v>2</v>
      </c>
      <c r="I54" s="14">
        <f>D63</f>
        <v>4854.1439618137665</v>
      </c>
      <c r="J54" s="14">
        <f t="shared" ref="J54:J59" si="11">I54/H54</f>
        <v>2427.0719809068833</v>
      </c>
      <c r="K54" s="15">
        <f>J54/J59</f>
        <v>1.2385566069630185</v>
      </c>
      <c r="L54" s="14">
        <f>FINV(0.05,2,14)</f>
        <v>3.7388918324407361</v>
      </c>
      <c r="M54" s="1" t="str">
        <f>IF(K54&gt;=L54,"sig","ns")</f>
        <v>ns</v>
      </c>
      <c r="N54" s="13" t="s">
        <v>14</v>
      </c>
      <c r="O54" s="12">
        <f>SQRT(J59/(3*4))</f>
        <v>12.77887950523232</v>
      </c>
    </row>
    <row r="55" spans="1:15" ht="15.75" x14ac:dyDescent="0.3">
      <c r="A55" s="6" t="s">
        <v>35</v>
      </c>
      <c r="B55" s="8">
        <v>196.260548288</v>
      </c>
      <c r="C55" s="8">
        <v>182.31777072599999</v>
      </c>
      <c r="D55" s="8">
        <v>137.89944839999998</v>
      </c>
      <c r="E55" s="9">
        <f t="shared" si="9"/>
        <v>516.47776741400003</v>
      </c>
      <c r="F55" s="10">
        <f t="shared" si="10"/>
        <v>172.15925580466669</v>
      </c>
      <c r="G55" s="13" t="s">
        <v>15</v>
      </c>
      <c r="H55" s="7">
        <v>7</v>
      </c>
      <c r="I55" s="14">
        <f>B64</f>
        <v>37505.442812282068</v>
      </c>
      <c r="J55" s="14">
        <f t="shared" si="11"/>
        <v>5357.9204017545808</v>
      </c>
      <c r="K55" s="15">
        <f>J55/J59</f>
        <v>2.7341948509889233</v>
      </c>
      <c r="L55" s="14">
        <f>FINV(0.05,7,14)</f>
        <v>2.7641992567781792</v>
      </c>
      <c r="M55" s="1" t="str">
        <f>IF(K55&gt;=L55,"sig","ns")</f>
        <v>ns</v>
      </c>
      <c r="N55" s="13" t="s">
        <v>16</v>
      </c>
      <c r="O55" s="12">
        <f>SQRT((2*J59)/(3*4))*L60</f>
        <v>38.760723809403288</v>
      </c>
    </row>
    <row r="56" spans="1:15" ht="15.75" x14ac:dyDescent="0.3">
      <c r="A56" s="6" t="s">
        <v>36</v>
      </c>
      <c r="B56" s="8">
        <v>0</v>
      </c>
      <c r="C56" s="8">
        <v>153.53096920699997</v>
      </c>
      <c r="D56" s="8">
        <v>106.33657465199998</v>
      </c>
      <c r="E56" s="9">
        <f t="shared" si="9"/>
        <v>259.86754385899997</v>
      </c>
      <c r="F56" s="10">
        <f t="shared" si="10"/>
        <v>86.62251461966666</v>
      </c>
      <c r="G56" s="7" t="s">
        <v>17</v>
      </c>
      <c r="H56" s="7">
        <v>1</v>
      </c>
      <c r="I56" s="14">
        <f>((E52+E53+E54+E55)^2+(E56+E57+E58+E59)^2)/12-B62</f>
        <v>2313.4328317883774</v>
      </c>
      <c r="J56" s="14">
        <f t="shared" si="11"/>
        <v>2313.4328317883774</v>
      </c>
      <c r="K56" s="15">
        <f>J56/J59</f>
        <v>1.1805655296247231</v>
      </c>
      <c r="L56" s="14">
        <f>FINV(0.05,1,14)</f>
        <v>4.6001099366694227</v>
      </c>
      <c r="M56" s="1" t="str">
        <f>IF(K56&gt;=L56,"sig","ns")</f>
        <v>ns</v>
      </c>
      <c r="N56" s="16" t="s">
        <v>18</v>
      </c>
      <c r="O56" s="12">
        <f>(F52+F56)/2</f>
        <v>116.33146522783332</v>
      </c>
    </row>
    <row r="57" spans="1:15" x14ac:dyDescent="0.25">
      <c r="A57" s="6" t="s">
        <v>37</v>
      </c>
      <c r="B57" s="8">
        <v>76.964692139999997</v>
      </c>
      <c r="C57" s="8">
        <v>95.834283327999984</v>
      </c>
      <c r="D57" s="8">
        <v>107.75815229900002</v>
      </c>
      <c r="E57" s="9">
        <f t="shared" si="9"/>
        <v>280.557127767</v>
      </c>
      <c r="F57" s="10">
        <f t="shared" si="10"/>
        <v>93.519042588999994</v>
      </c>
      <c r="G57" s="7" t="s">
        <v>19</v>
      </c>
      <c r="H57" s="7">
        <v>3</v>
      </c>
      <c r="I57" s="14">
        <f xml:space="preserve"> ((E52+E56)^2+(E53+E57)^2+(E54+E58)^2+(E55+E59)^2)/6-B62</f>
        <v>27813.237087937188</v>
      </c>
      <c r="J57" s="14">
        <f t="shared" si="11"/>
        <v>9271.0790293123955</v>
      </c>
      <c r="K57" s="15">
        <f>J57/J59</f>
        <v>4.7311148065499848</v>
      </c>
      <c r="L57" s="14">
        <f>FINV(0.05,3,14)</f>
        <v>3.3438886781189128</v>
      </c>
      <c r="M57" s="1" t="str">
        <f>IF(K57&gt;=L57,"sig","ns")</f>
        <v>sig</v>
      </c>
      <c r="N57" s="16" t="s">
        <v>20</v>
      </c>
      <c r="O57" s="12">
        <f>(F53+F57)/2</f>
        <v>98.584300105666657</v>
      </c>
    </row>
    <row r="58" spans="1:15" ht="15.75" x14ac:dyDescent="0.3">
      <c r="A58" s="6" t="s">
        <v>38</v>
      </c>
      <c r="B58" s="8">
        <v>111.68163660500001</v>
      </c>
      <c r="C58" s="8">
        <v>112.80338211800003</v>
      </c>
      <c r="D58" s="8">
        <v>149.31465273900002</v>
      </c>
      <c r="E58" s="9">
        <f t="shared" si="9"/>
        <v>373.79967146200011</v>
      </c>
      <c r="F58" s="10">
        <f t="shared" si="10"/>
        <v>124.59989048733337</v>
      </c>
      <c r="G58" s="17" t="s">
        <v>21</v>
      </c>
      <c r="H58" s="18">
        <v>3</v>
      </c>
      <c r="I58" s="14">
        <f>(I55-(I56+I57))</f>
        <v>7378.7728925565025</v>
      </c>
      <c r="J58" s="14">
        <f t="shared" si="11"/>
        <v>2459.590964185501</v>
      </c>
      <c r="K58" s="15">
        <f>J58/J59</f>
        <v>1.2551513358825961</v>
      </c>
      <c r="L58" s="14">
        <f>FINV(0.05,3,14)</f>
        <v>3.3438886781189128</v>
      </c>
      <c r="M58" s="1" t="str">
        <f>IF(K58&gt;=L58,"sig","ns")</f>
        <v>ns</v>
      </c>
      <c r="N58" s="16" t="s">
        <v>22</v>
      </c>
      <c r="O58" s="12">
        <f>(F54+F58)/2</f>
        <v>145.51658459800001</v>
      </c>
    </row>
    <row r="59" spans="1:15" ht="15.75" x14ac:dyDescent="0.3">
      <c r="A59" s="6" t="s">
        <v>39</v>
      </c>
      <c r="B59" s="8">
        <v>259.57646168999997</v>
      </c>
      <c r="C59" s="8">
        <v>210.83915663999997</v>
      </c>
      <c r="D59" s="8">
        <v>144.57567169499998</v>
      </c>
      <c r="E59" s="9">
        <f t="shared" si="9"/>
        <v>614.9912900249999</v>
      </c>
      <c r="F59" s="10">
        <f t="shared" si="10"/>
        <v>204.99709667499997</v>
      </c>
      <c r="G59" s="13" t="s">
        <v>23</v>
      </c>
      <c r="H59" s="7">
        <v>14</v>
      </c>
      <c r="I59" s="14">
        <f>D64</f>
        <v>27434.359916753427</v>
      </c>
      <c r="J59" s="14">
        <f t="shared" si="11"/>
        <v>1959.5971369109591</v>
      </c>
      <c r="K59" s="14"/>
      <c r="L59" s="14"/>
      <c r="M59" s="7"/>
      <c r="N59" s="16" t="s">
        <v>24</v>
      </c>
      <c r="O59" s="12">
        <f>(F55+F59)/2</f>
        <v>188.57817623983334</v>
      </c>
    </row>
    <row r="60" spans="1:15" x14ac:dyDescent="0.25">
      <c r="A60" s="6" t="s">
        <v>4</v>
      </c>
      <c r="B60" s="9">
        <f>SUM(B52:B59)</f>
        <v>1059.475512081</v>
      </c>
      <c r="C60" s="9">
        <f>SUM(C52:C59)</f>
        <v>1252.5796563280001</v>
      </c>
      <c r="D60" s="9">
        <f>SUM(D52:D59)</f>
        <v>982.007988619</v>
      </c>
      <c r="E60" s="15">
        <f>SUM(E52:E59)</f>
        <v>3294.0631570280002</v>
      </c>
      <c r="F60" s="19">
        <f>AVERAGE(B52:D59)</f>
        <v>137.25263154283334</v>
      </c>
      <c r="G60" s="13" t="s">
        <v>4</v>
      </c>
      <c r="H60" s="7">
        <v>23</v>
      </c>
      <c r="I60" s="14">
        <f>B63</f>
        <v>69793.946690849261</v>
      </c>
      <c r="J60" s="14"/>
      <c r="K60" s="7" t="s">
        <v>25</v>
      </c>
      <c r="L60" s="20">
        <f>TINV(0.05,14)</f>
        <v>2.1447866879178044</v>
      </c>
      <c r="M60" s="7"/>
      <c r="N60" s="13" t="s">
        <v>14</v>
      </c>
      <c r="O60" s="12">
        <f>SQRT(J59/(3*2))</f>
        <v>18.072064708231132</v>
      </c>
    </row>
    <row r="61" spans="1:15" x14ac:dyDescent="0.25">
      <c r="A61" s="6" t="s">
        <v>5</v>
      </c>
      <c r="B61" s="9">
        <f>B60/8</f>
        <v>132.434439010125</v>
      </c>
      <c r="C61" s="9">
        <f>C60/8</f>
        <v>156.57245704100001</v>
      </c>
      <c r="D61" s="9">
        <f>D60/8</f>
        <v>122.750998577375</v>
      </c>
      <c r="E61" s="14"/>
      <c r="F61" s="14"/>
      <c r="G61" s="13" t="s">
        <v>14</v>
      </c>
      <c r="H61" s="12">
        <f>SQRT(J59/3)</f>
        <v>25.55775901046464</v>
      </c>
      <c r="I61" s="7"/>
      <c r="J61" s="21"/>
      <c r="K61" s="7"/>
      <c r="L61" s="7"/>
      <c r="M61" s="7"/>
      <c r="N61" s="13" t="s">
        <v>16</v>
      </c>
      <c r="O61" s="12">
        <f>SQRT((2*J59)/(3*2))*L60</f>
        <v>54.815941298655872</v>
      </c>
    </row>
    <row r="62" spans="1:15" x14ac:dyDescent="0.25">
      <c r="A62" s="7" t="s">
        <v>26</v>
      </c>
      <c r="B62" s="15">
        <f>(E60*E60)/24</f>
        <v>452118.83677038649</v>
      </c>
      <c r="C62" s="14"/>
      <c r="D62" s="14"/>
      <c r="E62" s="14"/>
      <c r="F62" s="14"/>
      <c r="G62" s="13" t="s">
        <v>16</v>
      </c>
      <c r="H62" s="12">
        <f>(SQRT((2*J59)/3))*L60</f>
        <v>77.521447618806576</v>
      </c>
      <c r="I62" s="7"/>
      <c r="J62" s="7"/>
      <c r="K62" s="7"/>
      <c r="L62" s="7"/>
      <c r="M62" s="7"/>
      <c r="N62" s="7"/>
      <c r="O62" s="7"/>
    </row>
    <row r="63" spans="1:15" x14ac:dyDescent="0.25">
      <c r="A63" s="7" t="s">
        <v>27</v>
      </c>
      <c r="B63" s="15">
        <f>SUMSQ(B52:D59)-B62</f>
        <v>69793.946690849261</v>
      </c>
      <c r="C63" s="7" t="s">
        <v>28</v>
      </c>
      <c r="D63" s="15">
        <f>(SUMSQ(B60:D60)/8)-B62</f>
        <v>4854.1439618137665</v>
      </c>
      <c r="E63" s="14"/>
      <c r="F63" s="14"/>
      <c r="G63" s="13" t="s">
        <v>29</v>
      </c>
      <c r="H63" s="12">
        <f>((SQRT(J59))/F60)*100</f>
        <v>32.252450562240206</v>
      </c>
      <c r="I63" s="7"/>
      <c r="J63" s="21"/>
      <c r="K63" s="7"/>
      <c r="L63" s="7"/>
      <c r="M63" s="7"/>
      <c r="N63" s="7"/>
      <c r="O63" s="7"/>
    </row>
    <row r="64" spans="1:15" x14ac:dyDescent="0.25">
      <c r="A64" s="7" t="s">
        <v>30</v>
      </c>
      <c r="B64" s="15">
        <f>(SUMSQ(E52:E59)/3)-B62</f>
        <v>37505.442812282068</v>
      </c>
      <c r="C64" s="7" t="s">
        <v>31</v>
      </c>
      <c r="D64" s="15">
        <f>B63-B64-D63</f>
        <v>27434.359916753427</v>
      </c>
      <c r="E64" s="14"/>
      <c r="F64" s="14"/>
      <c r="G64" s="7"/>
      <c r="H64" s="7"/>
      <c r="I64" s="7"/>
      <c r="J64" s="7"/>
      <c r="K64" s="7"/>
      <c r="L64" s="7"/>
      <c r="M64" s="2"/>
      <c r="N64" s="7"/>
      <c r="O64" s="7"/>
    </row>
    <row r="66" spans="1:15" x14ac:dyDescent="0.25">
      <c r="A66" s="84" t="s">
        <v>58</v>
      </c>
      <c r="B66" s="85"/>
      <c r="C66" s="85"/>
      <c r="D66" s="22"/>
      <c r="E66" s="3"/>
      <c r="F66" s="3"/>
      <c r="G66" s="3"/>
      <c r="H66" s="3"/>
      <c r="I66" s="3"/>
      <c r="J66" s="3"/>
      <c r="K66" s="3"/>
      <c r="L66" s="3"/>
      <c r="M66" s="3"/>
      <c r="N66" s="5"/>
      <c r="O66" s="3"/>
    </row>
    <row r="67" spans="1:15" x14ac:dyDescent="0.2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7"/>
      <c r="H67" s="7"/>
      <c r="I67" s="6" t="s">
        <v>6</v>
      </c>
      <c r="J67" s="7"/>
      <c r="K67" s="7"/>
      <c r="L67" s="7"/>
      <c r="M67" s="7"/>
      <c r="N67" s="88" t="s">
        <v>7</v>
      </c>
      <c r="O67" s="89"/>
    </row>
    <row r="68" spans="1:15" ht="15.75" x14ac:dyDescent="0.3">
      <c r="A68" s="6" t="s">
        <v>33</v>
      </c>
      <c r="B68" s="8"/>
      <c r="C68" s="8"/>
      <c r="D68" s="8"/>
      <c r="E68" s="9">
        <f t="shared" ref="E68:E75" si="12">SUM(B68:D68)</f>
        <v>0</v>
      </c>
      <c r="F68" s="10">
        <f t="shared" ref="F68:F75" si="13">E68/3</f>
        <v>0</v>
      </c>
      <c r="G68" s="7"/>
      <c r="H68" s="7"/>
      <c r="I68" s="7"/>
      <c r="J68" s="7"/>
      <c r="K68" s="7"/>
      <c r="L68" s="7"/>
      <c r="M68" s="7"/>
      <c r="N68" s="11">
        <v>1</v>
      </c>
      <c r="O68" s="12">
        <f>SUM(F68:F71)/4</f>
        <v>0</v>
      </c>
    </row>
    <row r="69" spans="1:15" x14ac:dyDescent="0.25">
      <c r="A69" s="6" t="s">
        <v>32</v>
      </c>
      <c r="B69" s="8"/>
      <c r="C69" s="8"/>
      <c r="D69" s="8"/>
      <c r="E69" s="9">
        <f t="shared" si="12"/>
        <v>0</v>
      </c>
      <c r="F69" s="10">
        <f t="shared" si="13"/>
        <v>0</v>
      </c>
      <c r="G69" s="7"/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7"/>
      <c r="N69" s="11">
        <v>0.75</v>
      </c>
      <c r="O69" s="12">
        <f>SUM(F72:F75)/4</f>
        <v>0</v>
      </c>
    </row>
    <row r="70" spans="1:15" ht="15.75" x14ac:dyDescent="0.3">
      <c r="A70" s="6" t="s">
        <v>34</v>
      </c>
      <c r="B70" s="8"/>
      <c r="C70" s="8"/>
      <c r="D70" s="8"/>
      <c r="E70" s="9">
        <f t="shared" si="12"/>
        <v>0</v>
      </c>
      <c r="F70" s="10">
        <f t="shared" si="13"/>
        <v>0</v>
      </c>
      <c r="G70" s="13" t="s">
        <v>13</v>
      </c>
      <c r="H70" s="7">
        <v>2</v>
      </c>
      <c r="I70" s="14">
        <f>D79</f>
        <v>0</v>
      </c>
      <c r="J70" s="14">
        <f t="shared" ref="J70:J75" si="14">I70/H70</f>
        <v>0</v>
      </c>
      <c r="K70" s="15" t="e">
        <f>J70/J75</f>
        <v>#DIV/0!</v>
      </c>
      <c r="L70" s="14">
        <f>FINV(0.05,2,14)</f>
        <v>3.7388918324407361</v>
      </c>
      <c r="M70" s="1" t="e">
        <f>IF(K70&gt;=L70,"sig","ns")</f>
        <v>#DIV/0!</v>
      </c>
      <c r="N70" s="13" t="s">
        <v>14</v>
      </c>
      <c r="O70" s="12">
        <f>SQRT(J75/(3*4))</f>
        <v>0</v>
      </c>
    </row>
    <row r="71" spans="1:15" ht="15.75" x14ac:dyDescent="0.3">
      <c r="A71" s="6" t="s">
        <v>35</v>
      </c>
      <c r="B71" s="8"/>
      <c r="C71" s="8"/>
      <c r="D71" s="8"/>
      <c r="E71" s="9">
        <f t="shared" si="12"/>
        <v>0</v>
      </c>
      <c r="F71" s="10">
        <f t="shared" si="13"/>
        <v>0</v>
      </c>
      <c r="G71" s="13" t="s">
        <v>15</v>
      </c>
      <c r="H71" s="7">
        <v>7</v>
      </c>
      <c r="I71" s="14">
        <f>B80</f>
        <v>0</v>
      </c>
      <c r="J71" s="14">
        <f t="shared" si="14"/>
        <v>0</v>
      </c>
      <c r="K71" s="15" t="e">
        <f>J71/J75</f>
        <v>#DIV/0!</v>
      </c>
      <c r="L71" s="14">
        <f>FINV(0.05,7,14)</f>
        <v>2.7641992567781792</v>
      </c>
      <c r="M71" s="1" t="e">
        <f>IF(K71&gt;=L71,"sig","ns")</f>
        <v>#DIV/0!</v>
      </c>
      <c r="N71" s="13" t="s">
        <v>16</v>
      </c>
      <c r="O71" s="12">
        <f>SQRT((2*J75)/(3*4))*L76</f>
        <v>0</v>
      </c>
    </row>
    <row r="72" spans="1:15" ht="15.75" x14ac:dyDescent="0.3">
      <c r="A72" s="6" t="s">
        <v>36</v>
      </c>
      <c r="B72" s="8"/>
      <c r="C72" s="8"/>
      <c r="D72" s="8"/>
      <c r="E72" s="9">
        <f t="shared" si="12"/>
        <v>0</v>
      </c>
      <c r="F72" s="10">
        <f t="shared" si="13"/>
        <v>0</v>
      </c>
      <c r="G72" s="7" t="s">
        <v>17</v>
      </c>
      <c r="H72" s="7">
        <v>1</v>
      </c>
      <c r="I72" s="14">
        <f>((E68+E69+E70+E71)^2+(E72+E73+E74+E75)^2)/12-B78</f>
        <v>0</v>
      </c>
      <c r="J72" s="14">
        <f t="shared" si="14"/>
        <v>0</v>
      </c>
      <c r="K72" s="15" t="e">
        <f>J72/J75</f>
        <v>#DIV/0!</v>
      </c>
      <c r="L72" s="14">
        <f>FINV(0.05,1,14)</f>
        <v>4.6001099366694227</v>
      </c>
      <c r="M72" s="1" t="e">
        <f>IF(K72&gt;=L72,"sig","ns")</f>
        <v>#DIV/0!</v>
      </c>
      <c r="N72" s="16" t="s">
        <v>18</v>
      </c>
      <c r="O72" s="12">
        <f>(F68+F72)/2</f>
        <v>0</v>
      </c>
    </row>
    <row r="73" spans="1:15" x14ac:dyDescent="0.25">
      <c r="A73" s="6" t="s">
        <v>37</v>
      </c>
      <c r="B73" s="8"/>
      <c r="C73" s="8"/>
      <c r="D73" s="8"/>
      <c r="E73" s="9">
        <f t="shared" si="12"/>
        <v>0</v>
      </c>
      <c r="F73" s="10">
        <f t="shared" si="13"/>
        <v>0</v>
      </c>
      <c r="G73" s="7" t="s">
        <v>19</v>
      </c>
      <c r="H73" s="7">
        <v>3</v>
      </c>
      <c r="I73" s="14">
        <f xml:space="preserve"> ((E68+E72)^2+(E69+E73)^2+(E70+E74)^2+(E71+E75)^2)/6-B78</f>
        <v>0</v>
      </c>
      <c r="J73" s="14">
        <f t="shared" si="14"/>
        <v>0</v>
      </c>
      <c r="K73" s="15" t="e">
        <f>J73/J75</f>
        <v>#DIV/0!</v>
      </c>
      <c r="L73" s="14">
        <f>FINV(0.05,3,14)</f>
        <v>3.3438886781189128</v>
      </c>
      <c r="M73" s="1" t="e">
        <f>IF(K73&gt;=L73,"sig","ns")</f>
        <v>#DIV/0!</v>
      </c>
      <c r="N73" s="16" t="s">
        <v>20</v>
      </c>
      <c r="O73" s="12">
        <f>(F69+F73)/2</f>
        <v>0</v>
      </c>
    </row>
    <row r="74" spans="1:15" ht="15.75" x14ac:dyDescent="0.3">
      <c r="A74" s="6" t="s">
        <v>38</v>
      </c>
      <c r="B74" s="8"/>
      <c r="C74" s="8"/>
      <c r="D74" s="8"/>
      <c r="E74" s="9">
        <f t="shared" si="12"/>
        <v>0</v>
      </c>
      <c r="F74" s="10">
        <f t="shared" si="13"/>
        <v>0</v>
      </c>
      <c r="G74" s="17" t="s">
        <v>21</v>
      </c>
      <c r="H74" s="18">
        <v>3</v>
      </c>
      <c r="I74" s="14">
        <f>(I71-(I72+I73))</f>
        <v>0</v>
      </c>
      <c r="J74" s="14">
        <f t="shared" si="14"/>
        <v>0</v>
      </c>
      <c r="K74" s="15" t="e">
        <f>J74/J75</f>
        <v>#DIV/0!</v>
      </c>
      <c r="L74" s="14">
        <f>FINV(0.05,3,14)</f>
        <v>3.3438886781189128</v>
      </c>
      <c r="M74" s="1" t="e">
        <f>IF(K74&gt;=L74,"sig","ns")</f>
        <v>#DIV/0!</v>
      </c>
      <c r="N74" s="16" t="s">
        <v>22</v>
      </c>
      <c r="O74" s="12">
        <f>(F70+F74)/2</f>
        <v>0</v>
      </c>
    </row>
    <row r="75" spans="1:15" ht="15.75" x14ac:dyDescent="0.3">
      <c r="A75" s="6" t="s">
        <v>39</v>
      </c>
      <c r="B75" s="8"/>
      <c r="C75" s="8"/>
      <c r="D75" s="8"/>
      <c r="E75" s="9">
        <f t="shared" si="12"/>
        <v>0</v>
      </c>
      <c r="F75" s="10">
        <f t="shared" si="13"/>
        <v>0</v>
      </c>
      <c r="G75" s="13" t="s">
        <v>23</v>
      </c>
      <c r="H75" s="7">
        <v>14</v>
      </c>
      <c r="I75" s="14">
        <f>D80</f>
        <v>0</v>
      </c>
      <c r="J75" s="14">
        <f t="shared" si="14"/>
        <v>0</v>
      </c>
      <c r="K75" s="14"/>
      <c r="L75" s="14"/>
      <c r="M75" s="7"/>
      <c r="N75" s="16" t="s">
        <v>24</v>
      </c>
      <c r="O75" s="12">
        <f>(F71+F75)/2</f>
        <v>0</v>
      </c>
    </row>
    <row r="76" spans="1:15" x14ac:dyDescent="0.25">
      <c r="A76" s="6" t="s">
        <v>4</v>
      </c>
      <c r="B76" s="9">
        <f>SUM(B68:B75)</f>
        <v>0</v>
      </c>
      <c r="C76" s="9">
        <f>SUM(C68:C75)</f>
        <v>0</v>
      </c>
      <c r="D76" s="9">
        <f>SUM(D68:D75)</f>
        <v>0</v>
      </c>
      <c r="E76" s="15">
        <f>SUM(E68:E75)</f>
        <v>0</v>
      </c>
      <c r="F76" s="19" t="e">
        <f>AVERAGE(B68:D75)</f>
        <v>#DIV/0!</v>
      </c>
      <c r="G76" s="13" t="s">
        <v>4</v>
      </c>
      <c r="H76" s="7">
        <v>23</v>
      </c>
      <c r="I76" s="14">
        <f>B79</f>
        <v>0</v>
      </c>
      <c r="J76" s="14"/>
      <c r="K76" s="7" t="s">
        <v>25</v>
      </c>
      <c r="L76" s="20">
        <f>TINV(0.05,14)</f>
        <v>2.1447866879178044</v>
      </c>
      <c r="M76" s="7"/>
      <c r="N76" s="13" t="s">
        <v>14</v>
      </c>
      <c r="O76" s="12">
        <f>SQRT(J75/(3*2))</f>
        <v>0</v>
      </c>
    </row>
    <row r="77" spans="1:15" x14ac:dyDescent="0.25">
      <c r="A77" s="6" t="s">
        <v>5</v>
      </c>
      <c r="B77" s="9">
        <f>B76/8</f>
        <v>0</v>
      </c>
      <c r="C77" s="9">
        <f>C76/8</f>
        <v>0</v>
      </c>
      <c r="D77" s="9">
        <f>D76/8</f>
        <v>0</v>
      </c>
      <c r="E77" s="14"/>
      <c r="F77" s="14"/>
      <c r="G77" s="13" t="s">
        <v>14</v>
      </c>
      <c r="H77" s="12">
        <f>SQRT(J75/3)</f>
        <v>0</v>
      </c>
      <c r="I77" s="7"/>
      <c r="J77" s="21"/>
      <c r="K77" s="7"/>
      <c r="L77" s="7"/>
      <c r="M77" s="7"/>
      <c r="N77" s="13" t="s">
        <v>16</v>
      </c>
      <c r="O77" s="12">
        <f>SQRT((2*J75)/(3*2))*L76</f>
        <v>0</v>
      </c>
    </row>
    <row r="78" spans="1:15" x14ac:dyDescent="0.25">
      <c r="A78" s="7" t="s">
        <v>26</v>
      </c>
      <c r="B78" s="15">
        <f>(E76*E76)/24</f>
        <v>0</v>
      </c>
      <c r="C78" s="14"/>
      <c r="D78" s="14"/>
      <c r="E78" s="14"/>
      <c r="F78" s="14"/>
      <c r="G78" s="13" t="s">
        <v>16</v>
      </c>
      <c r="H78" s="12">
        <f>(SQRT((2*J75)/3))*L76</f>
        <v>0</v>
      </c>
      <c r="I78" s="7"/>
      <c r="J78" s="7"/>
      <c r="K78" s="7"/>
      <c r="L78" s="7"/>
      <c r="M78" s="7"/>
      <c r="N78" s="7"/>
      <c r="O78" s="7"/>
    </row>
    <row r="79" spans="1:15" x14ac:dyDescent="0.25">
      <c r="A79" s="7" t="s">
        <v>27</v>
      </c>
      <c r="B79" s="15">
        <f>SUMSQ(B68:D75)-B78</f>
        <v>0</v>
      </c>
      <c r="C79" s="7" t="s">
        <v>28</v>
      </c>
      <c r="D79" s="15">
        <f>(SUMSQ(B76:D76)/8)-B78</f>
        <v>0</v>
      </c>
      <c r="E79" s="14"/>
      <c r="F79" s="14"/>
      <c r="G79" s="13" t="s">
        <v>29</v>
      </c>
      <c r="H79" s="12" t="e">
        <f>((SQRT(J75))/F76)*100</f>
        <v>#DIV/0!</v>
      </c>
      <c r="I79" s="7"/>
      <c r="J79" s="21"/>
      <c r="K79" s="7"/>
      <c r="L79" s="7"/>
      <c r="M79" s="7"/>
      <c r="N79" s="7"/>
      <c r="O79" s="7"/>
    </row>
    <row r="80" spans="1:15" x14ac:dyDescent="0.25">
      <c r="A80" s="7" t="s">
        <v>30</v>
      </c>
      <c r="B80" s="15">
        <f>(SUMSQ(E68:E75)/3)-B78</f>
        <v>0</v>
      </c>
      <c r="C80" s="7" t="s">
        <v>31</v>
      </c>
      <c r="D80" s="15">
        <f>B79-B80-D79</f>
        <v>0</v>
      </c>
      <c r="E80" s="14"/>
      <c r="F80" s="14"/>
      <c r="G80" s="7"/>
      <c r="H80" s="7"/>
      <c r="I80" s="7"/>
      <c r="J80" s="7"/>
      <c r="K80" s="7"/>
      <c r="L80" s="7"/>
      <c r="M80" s="2"/>
      <c r="N80" s="7"/>
      <c r="O80" s="7"/>
    </row>
    <row r="82" spans="1:15" x14ac:dyDescent="0.25">
      <c r="A82" s="84" t="s">
        <v>83</v>
      </c>
      <c r="B82" s="85"/>
      <c r="C82" s="85"/>
      <c r="D82" s="22"/>
      <c r="E82" s="3"/>
      <c r="F82" s="3"/>
      <c r="G82" s="3"/>
      <c r="H82" s="3"/>
      <c r="I82" s="3"/>
      <c r="J82" s="3"/>
      <c r="K82" s="3"/>
      <c r="L82" s="3"/>
      <c r="M82" s="3"/>
      <c r="N82" s="5"/>
      <c r="O82" s="3"/>
    </row>
    <row r="83" spans="1:15" x14ac:dyDescent="0.25">
      <c r="A83" s="6" t="s">
        <v>0</v>
      </c>
      <c r="B83" s="6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7"/>
      <c r="H83" s="7"/>
      <c r="I83" s="6" t="s">
        <v>6</v>
      </c>
      <c r="J83" s="7"/>
      <c r="K83" s="7"/>
      <c r="L83" s="7"/>
      <c r="M83" s="7"/>
      <c r="N83" s="88" t="s">
        <v>7</v>
      </c>
      <c r="O83" s="89"/>
    </row>
    <row r="84" spans="1:15" ht="15.75" x14ac:dyDescent="0.3">
      <c r="A84" s="6" t="s">
        <v>33</v>
      </c>
      <c r="B84" s="8">
        <f t="shared" ref="B84:D91" si="15">B52+B68</f>
        <v>123.62008885099998</v>
      </c>
      <c r="C84" s="8">
        <f t="shared" si="15"/>
        <v>167.72107911299997</v>
      </c>
      <c r="D84" s="8">
        <f t="shared" si="15"/>
        <v>146.78007954399999</v>
      </c>
      <c r="E84" s="9">
        <f t="shared" ref="E84:E91" si="16">SUM(B84:D84)</f>
        <v>438.12124750799995</v>
      </c>
      <c r="F84" s="10">
        <f t="shared" ref="F84:F91" si="17">E84/3</f>
        <v>146.04041583599999</v>
      </c>
      <c r="G84" s="7"/>
      <c r="H84" s="7"/>
      <c r="I84" s="7"/>
      <c r="J84" s="7"/>
      <c r="K84" s="7"/>
      <c r="L84" s="7"/>
      <c r="M84" s="7"/>
      <c r="N84" s="11">
        <v>1</v>
      </c>
      <c r="O84" s="12">
        <f>SUM(F84:F87)/4</f>
        <v>147.07062699291666</v>
      </c>
    </row>
    <row r="85" spans="1:15" x14ac:dyDescent="0.25">
      <c r="A85" s="6" t="s">
        <v>32</v>
      </c>
      <c r="B85" s="8">
        <f t="shared" si="15"/>
        <v>110.38080847499998</v>
      </c>
      <c r="C85" s="8">
        <f t="shared" si="15"/>
        <v>104.808247432</v>
      </c>
      <c r="D85" s="8">
        <f t="shared" si="15"/>
        <v>95.759616960000002</v>
      </c>
      <c r="E85" s="9">
        <f t="shared" si="16"/>
        <v>310.94867286699997</v>
      </c>
      <c r="F85" s="10">
        <f t="shared" si="17"/>
        <v>103.64955762233332</v>
      </c>
      <c r="G85" s="7"/>
      <c r="H85" s="13" t="s">
        <v>8</v>
      </c>
      <c r="I85" s="13" t="s">
        <v>9</v>
      </c>
      <c r="J85" s="13" t="s">
        <v>10</v>
      </c>
      <c r="K85" s="13" t="s">
        <v>11</v>
      </c>
      <c r="L85" s="13" t="s">
        <v>12</v>
      </c>
      <c r="M85" s="7"/>
      <c r="N85" s="11">
        <v>0.75</v>
      </c>
      <c r="O85" s="12">
        <f>SUM(F88:F91)/4</f>
        <v>127.43463609275</v>
      </c>
    </row>
    <row r="86" spans="1:15" ht="15.75" x14ac:dyDescent="0.3">
      <c r="A86" s="6" t="s">
        <v>34</v>
      </c>
      <c r="B86" s="8">
        <f t="shared" si="15"/>
        <v>180.99127603199997</v>
      </c>
      <c r="C86" s="8">
        <f t="shared" si="15"/>
        <v>224.72476776399995</v>
      </c>
      <c r="D86" s="8">
        <f t="shared" si="15"/>
        <v>93.583792329999994</v>
      </c>
      <c r="E86" s="9">
        <f t="shared" si="16"/>
        <v>499.29983612599989</v>
      </c>
      <c r="F86" s="10">
        <f t="shared" si="17"/>
        <v>166.43327870866662</v>
      </c>
      <c r="G86" s="13" t="s">
        <v>13</v>
      </c>
      <c r="H86" s="7">
        <v>2</v>
      </c>
      <c r="I86" s="14">
        <f>D95</f>
        <v>4854.1439618137665</v>
      </c>
      <c r="J86" s="14">
        <f t="shared" ref="J86:J91" si="18">I86/H86</f>
        <v>2427.0719809068833</v>
      </c>
      <c r="K86" s="15">
        <f>J86/J91</f>
        <v>1.2385566069630185</v>
      </c>
      <c r="L86" s="14">
        <f>FINV(0.05,2,14)</f>
        <v>3.7388918324407361</v>
      </c>
      <c r="M86" s="1" t="str">
        <f>IF(K86&gt;=L86,"sig","ns")</f>
        <v>ns</v>
      </c>
      <c r="N86" s="13" t="s">
        <v>14</v>
      </c>
      <c r="O86" s="12">
        <f>SQRT(J91/(3*4))</f>
        <v>12.77887950523232</v>
      </c>
    </row>
    <row r="87" spans="1:15" ht="15.75" x14ac:dyDescent="0.3">
      <c r="A87" s="6" t="s">
        <v>35</v>
      </c>
      <c r="B87" s="8">
        <f t="shared" si="15"/>
        <v>196.260548288</v>
      </c>
      <c r="C87" s="8">
        <f t="shared" si="15"/>
        <v>182.31777072599999</v>
      </c>
      <c r="D87" s="8">
        <f t="shared" si="15"/>
        <v>137.89944839999998</v>
      </c>
      <c r="E87" s="9">
        <f t="shared" si="16"/>
        <v>516.47776741400003</v>
      </c>
      <c r="F87" s="10">
        <f t="shared" si="17"/>
        <v>172.15925580466669</v>
      </c>
      <c r="G87" s="13" t="s">
        <v>15</v>
      </c>
      <c r="H87" s="7">
        <v>7</v>
      </c>
      <c r="I87" s="14">
        <f>B96</f>
        <v>37505.442812282068</v>
      </c>
      <c r="J87" s="14">
        <f t="shared" si="18"/>
        <v>5357.9204017545808</v>
      </c>
      <c r="K87" s="15">
        <f>J87/J91</f>
        <v>2.7341948509889233</v>
      </c>
      <c r="L87" s="14">
        <f>FINV(0.05,7,14)</f>
        <v>2.7641992567781792</v>
      </c>
      <c r="M87" s="1" t="str">
        <f>IF(K87&gt;=L87,"sig","ns")</f>
        <v>ns</v>
      </c>
      <c r="N87" s="13" t="s">
        <v>16</v>
      </c>
      <c r="O87" s="12">
        <f>SQRT((2*J91)/(3*4))*L92</f>
        <v>38.760723809403288</v>
      </c>
    </row>
    <row r="88" spans="1:15" ht="15.75" x14ac:dyDescent="0.3">
      <c r="A88" s="6" t="s">
        <v>36</v>
      </c>
      <c r="B88" s="8">
        <v>0</v>
      </c>
      <c r="C88" s="8">
        <f t="shared" si="15"/>
        <v>153.53096920699997</v>
      </c>
      <c r="D88" s="8">
        <f t="shared" si="15"/>
        <v>106.33657465199998</v>
      </c>
      <c r="E88" s="9">
        <f t="shared" si="16"/>
        <v>259.86754385899997</v>
      </c>
      <c r="F88" s="10">
        <f t="shared" si="17"/>
        <v>86.62251461966666</v>
      </c>
      <c r="G88" s="7" t="s">
        <v>17</v>
      </c>
      <c r="H88" s="7">
        <v>1</v>
      </c>
      <c r="I88" s="14">
        <f>((E84+E85+E86+E87)^2+(E88+E89+E90+E91)^2)/12-B94</f>
        <v>2313.4328317883774</v>
      </c>
      <c r="J88" s="14">
        <f t="shared" si="18"/>
        <v>2313.4328317883774</v>
      </c>
      <c r="K88" s="15">
        <f>J88/J91</f>
        <v>1.1805655296247231</v>
      </c>
      <c r="L88" s="14">
        <f>FINV(0.05,1,14)</f>
        <v>4.6001099366694227</v>
      </c>
      <c r="M88" s="1" t="str">
        <f>IF(K88&gt;=L88,"sig","ns")</f>
        <v>ns</v>
      </c>
      <c r="N88" s="16" t="s">
        <v>18</v>
      </c>
      <c r="O88" s="12">
        <f>(F84+F88)/2</f>
        <v>116.33146522783332</v>
      </c>
    </row>
    <row r="89" spans="1:15" x14ac:dyDescent="0.25">
      <c r="A89" s="6" t="s">
        <v>37</v>
      </c>
      <c r="B89" s="8">
        <f t="shared" si="15"/>
        <v>76.964692139999997</v>
      </c>
      <c r="C89" s="8">
        <f t="shared" si="15"/>
        <v>95.834283327999984</v>
      </c>
      <c r="D89" s="8">
        <f t="shared" si="15"/>
        <v>107.75815229900002</v>
      </c>
      <c r="E89" s="9">
        <f t="shared" si="16"/>
        <v>280.557127767</v>
      </c>
      <c r="F89" s="10">
        <f t="shared" si="17"/>
        <v>93.519042588999994</v>
      </c>
      <c r="G89" s="7" t="s">
        <v>19</v>
      </c>
      <c r="H89" s="7">
        <v>3</v>
      </c>
      <c r="I89" s="14">
        <f xml:space="preserve"> ((E84+E88)^2+(E85+E89)^2+(E86+E90)^2+(E87+E91)^2)/6-B94</f>
        <v>27813.237087937188</v>
      </c>
      <c r="J89" s="14">
        <f t="shared" si="18"/>
        <v>9271.0790293123955</v>
      </c>
      <c r="K89" s="15">
        <f>J89/J91</f>
        <v>4.7311148065499848</v>
      </c>
      <c r="L89" s="14">
        <f>FINV(0.05,3,14)</f>
        <v>3.3438886781189128</v>
      </c>
      <c r="M89" s="1" t="str">
        <f>IF(K89&gt;=L89,"sig","ns")</f>
        <v>sig</v>
      </c>
      <c r="N89" s="16" t="s">
        <v>20</v>
      </c>
      <c r="O89" s="12">
        <f>(F85+F89)/2</f>
        <v>98.584300105666657</v>
      </c>
    </row>
    <row r="90" spans="1:15" ht="15.75" x14ac:dyDescent="0.3">
      <c r="A90" s="6" t="s">
        <v>38</v>
      </c>
      <c r="B90" s="8">
        <f t="shared" si="15"/>
        <v>111.68163660500001</v>
      </c>
      <c r="C90" s="8">
        <f t="shared" si="15"/>
        <v>112.80338211800003</v>
      </c>
      <c r="D90" s="8">
        <f t="shared" si="15"/>
        <v>149.31465273900002</v>
      </c>
      <c r="E90" s="9">
        <f t="shared" si="16"/>
        <v>373.79967146200011</v>
      </c>
      <c r="F90" s="10">
        <f t="shared" si="17"/>
        <v>124.59989048733337</v>
      </c>
      <c r="G90" s="17" t="s">
        <v>21</v>
      </c>
      <c r="H90" s="18">
        <v>3</v>
      </c>
      <c r="I90" s="14">
        <f>(I87-(I88+I89))</f>
        <v>7378.7728925565025</v>
      </c>
      <c r="J90" s="14">
        <f t="shared" si="18"/>
        <v>2459.590964185501</v>
      </c>
      <c r="K90" s="15">
        <f>J90/J91</f>
        <v>1.2551513358825961</v>
      </c>
      <c r="L90" s="14">
        <f>FINV(0.05,3,14)</f>
        <v>3.3438886781189128</v>
      </c>
      <c r="M90" s="1" t="str">
        <f>IF(K90&gt;=L90,"sig","ns")</f>
        <v>ns</v>
      </c>
      <c r="N90" s="16" t="s">
        <v>22</v>
      </c>
      <c r="O90" s="12">
        <f>(F86+F90)/2</f>
        <v>145.51658459800001</v>
      </c>
    </row>
    <row r="91" spans="1:15" ht="15.75" x14ac:dyDescent="0.3">
      <c r="A91" s="6" t="s">
        <v>39</v>
      </c>
      <c r="B91" s="8">
        <f t="shared" si="15"/>
        <v>259.57646168999997</v>
      </c>
      <c r="C91" s="8">
        <f t="shared" si="15"/>
        <v>210.83915663999997</v>
      </c>
      <c r="D91" s="8">
        <f t="shared" si="15"/>
        <v>144.57567169499998</v>
      </c>
      <c r="E91" s="9">
        <f t="shared" si="16"/>
        <v>614.9912900249999</v>
      </c>
      <c r="F91" s="10">
        <f t="shared" si="17"/>
        <v>204.99709667499997</v>
      </c>
      <c r="G91" s="13" t="s">
        <v>23</v>
      </c>
      <c r="H91" s="7">
        <v>14</v>
      </c>
      <c r="I91" s="14">
        <f>D96</f>
        <v>27434.359916753427</v>
      </c>
      <c r="J91" s="14">
        <f t="shared" si="18"/>
        <v>1959.5971369109591</v>
      </c>
      <c r="K91" s="14"/>
      <c r="L91" s="14"/>
      <c r="M91" s="7"/>
      <c r="N91" s="16" t="s">
        <v>24</v>
      </c>
      <c r="O91" s="12">
        <f>(F87+F91)/2</f>
        <v>188.57817623983334</v>
      </c>
    </row>
    <row r="92" spans="1:15" x14ac:dyDescent="0.25">
      <c r="A92" s="6" t="s">
        <v>4</v>
      </c>
      <c r="B92" s="9">
        <f>SUM(B84:B91)</f>
        <v>1059.475512081</v>
      </c>
      <c r="C92" s="9">
        <f>SUM(C84:C91)</f>
        <v>1252.5796563280001</v>
      </c>
      <c r="D92" s="9">
        <f>SUM(D84:D91)</f>
        <v>982.007988619</v>
      </c>
      <c r="E92" s="15">
        <f>SUM(E84:E91)</f>
        <v>3294.0631570280002</v>
      </c>
      <c r="F92" s="19">
        <f>AVERAGE(B84:D91)</f>
        <v>137.25263154283334</v>
      </c>
      <c r="G92" s="13" t="s">
        <v>4</v>
      </c>
      <c r="H92" s="7">
        <v>23</v>
      </c>
      <c r="I92" s="14">
        <f>B95</f>
        <v>69793.946690849261</v>
      </c>
      <c r="J92" s="14"/>
      <c r="K92" s="7" t="s">
        <v>25</v>
      </c>
      <c r="L92" s="20">
        <f>TINV(0.05,14)</f>
        <v>2.1447866879178044</v>
      </c>
      <c r="M92" s="7"/>
      <c r="N92" s="13" t="s">
        <v>14</v>
      </c>
      <c r="O92" s="12">
        <f>SQRT(J91/(3*2))</f>
        <v>18.072064708231132</v>
      </c>
    </row>
    <row r="93" spans="1:15" x14ac:dyDescent="0.25">
      <c r="A93" s="6" t="s">
        <v>5</v>
      </c>
      <c r="B93" s="9">
        <f>B92/8</f>
        <v>132.434439010125</v>
      </c>
      <c r="C93" s="9">
        <f>C92/8</f>
        <v>156.57245704100001</v>
      </c>
      <c r="D93" s="9">
        <f>D92/8</f>
        <v>122.750998577375</v>
      </c>
      <c r="E93" s="14"/>
      <c r="F93" s="14"/>
      <c r="G93" s="13" t="s">
        <v>14</v>
      </c>
      <c r="H93" s="12">
        <f>SQRT(J91/3)</f>
        <v>25.55775901046464</v>
      </c>
      <c r="I93" s="7"/>
      <c r="J93" s="21"/>
      <c r="K93" s="7"/>
      <c r="L93" s="7"/>
      <c r="M93" s="7"/>
      <c r="N93" s="13" t="s">
        <v>16</v>
      </c>
      <c r="O93" s="12">
        <f>SQRT((2*J91)/(3*2))*L92</f>
        <v>54.815941298655872</v>
      </c>
    </row>
    <row r="94" spans="1:15" x14ac:dyDescent="0.25">
      <c r="A94" s="7" t="s">
        <v>26</v>
      </c>
      <c r="B94" s="15">
        <f>(E92*E92)/24</f>
        <v>452118.83677038649</v>
      </c>
      <c r="C94" s="14"/>
      <c r="D94" s="14"/>
      <c r="E94" s="14"/>
      <c r="F94" s="14"/>
      <c r="G94" s="13" t="s">
        <v>16</v>
      </c>
      <c r="H94" s="12">
        <f>(SQRT((2*J91)/3))*L92</f>
        <v>77.521447618806576</v>
      </c>
      <c r="I94" s="7"/>
      <c r="J94" s="7"/>
      <c r="K94" s="7"/>
      <c r="L94" s="7"/>
      <c r="M94" s="7"/>
      <c r="N94" s="7"/>
      <c r="O94" s="7"/>
    </row>
    <row r="95" spans="1:15" x14ac:dyDescent="0.25">
      <c r="A95" s="7" t="s">
        <v>27</v>
      </c>
      <c r="B95" s="15">
        <f>SUMSQ(B84:D91)-B94</f>
        <v>69793.946690849261</v>
      </c>
      <c r="C95" s="7" t="s">
        <v>28</v>
      </c>
      <c r="D95" s="15">
        <f>(SUMSQ(B92:D92)/8)-B94</f>
        <v>4854.1439618137665</v>
      </c>
      <c r="E95" s="14"/>
      <c r="F95" s="14"/>
      <c r="G95" s="13" t="s">
        <v>29</v>
      </c>
      <c r="H95" s="12">
        <f>((SQRT(J91))/F92)*100</f>
        <v>32.252450562240206</v>
      </c>
      <c r="I95" s="7"/>
      <c r="J95" s="21"/>
      <c r="K95" s="7"/>
      <c r="L95" s="7"/>
      <c r="M95" s="7"/>
      <c r="N95" s="7"/>
      <c r="O95" s="7"/>
    </row>
    <row r="96" spans="1:15" x14ac:dyDescent="0.25">
      <c r="A96" s="7" t="s">
        <v>30</v>
      </c>
      <c r="B96" s="15">
        <f>(SUMSQ(E84:E91)/3)-B94</f>
        <v>37505.442812282068</v>
      </c>
      <c r="C96" s="7" t="s">
        <v>31</v>
      </c>
      <c r="D96" s="15">
        <f>B95-B96-D95</f>
        <v>27434.359916753427</v>
      </c>
      <c r="E96" s="14"/>
      <c r="F96" s="14"/>
      <c r="G96" s="7"/>
      <c r="H96" s="7"/>
      <c r="I96" s="7"/>
      <c r="J96" s="7"/>
      <c r="K96" s="7"/>
      <c r="L96" s="7"/>
      <c r="M96" s="2"/>
      <c r="N96" s="7"/>
      <c r="O96" s="7"/>
    </row>
    <row r="98" spans="1:15" x14ac:dyDescent="0.25">
      <c r="A98" s="84" t="s">
        <v>59</v>
      </c>
      <c r="B98" s="85"/>
      <c r="C98" s="85"/>
      <c r="D98" s="22"/>
      <c r="E98" s="3"/>
      <c r="F98" s="3"/>
      <c r="G98" s="3"/>
      <c r="H98" s="3"/>
      <c r="I98" s="3"/>
      <c r="J98" s="3"/>
      <c r="K98" s="3"/>
      <c r="L98" s="3"/>
      <c r="M98" s="3"/>
      <c r="N98" s="5"/>
      <c r="O98" s="3"/>
    </row>
    <row r="99" spans="1:15" x14ac:dyDescent="0.25">
      <c r="A99" s="6" t="s">
        <v>0</v>
      </c>
      <c r="B99" s="6" t="s">
        <v>1</v>
      </c>
      <c r="C99" s="6" t="s">
        <v>2</v>
      </c>
      <c r="D99" s="6" t="s">
        <v>3</v>
      </c>
      <c r="E99" s="6" t="s">
        <v>4</v>
      </c>
      <c r="F99" s="6" t="s">
        <v>5</v>
      </c>
      <c r="G99" s="7"/>
      <c r="H99" s="7"/>
      <c r="I99" s="6" t="s">
        <v>6</v>
      </c>
      <c r="J99" s="7"/>
      <c r="K99" s="7"/>
      <c r="L99" s="7"/>
      <c r="M99" s="7"/>
      <c r="N99" s="88" t="s">
        <v>7</v>
      </c>
      <c r="O99" s="89"/>
    </row>
    <row r="100" spans="1:15" ht="15.75" x14ac:dyDescent="0.3">
      <c r="A100" s="6" t="s">
        <v>33</v>
      </c>
      <c r="B100" s="25">
        <v>3.9854252347058821</v>
      </c>
      <c r="C100" s="25">
        <v>2.0964622023529413</v>
      </c>
      <c r="D100" s="25">
        <v>2.0558741294117651</v>
      </c>
      <c r="E100" s="9">
        <f t="shared" ref="E100:E107" si="19">SUM(B100:D100)</f>
        <v>8.1377615664705871</v>
      </c>
      <c r="F100" s="10">
        <f t="shared" ref="F100:F107" si="20">E100/3</f>
        <v>2.7125871888235289</v>
      </c>
      <c r="G100" s="7"/>
      <c r="H100" s="7"/>
      <c r="I100" s="7"/>
      <c r="J100" s="7"/>
      <c r="K100" s="7"/>
      <c r="L100" s="7"/>
      <c r="M100" s="7"/>
      <c r="N100" s="11">
        <v>1</v>
      </c>
      <c r="O100" s="12">
        <f>SUM(F100:F103)/4</f>
        <v>2.3490939532598039</v>
      </c>
    </row>
    <row r="101" spans="1:15" x14ac:dyDescent="0.25">
      <c r="A101" s="6" t="s">
        <v>32</v>
      </c>
      <c r="B101" s="25">
        <v>2.3687160152941171</v>
      </c>
      <c r="C101" s="25">
        <v>1.8426396882352947</v>
      </c>
      <c r="D101" s="25">
        <v>2.896311944117647</v>
      </c>
      <c r="E101" s="9">
        <f t="shared" si="19"/>
        <v>7.1076676476470588</v>
      </c>
      <c r="F101" s="10">
        <f t="shared" si="20"/>
        <v>2.3692225492156864</v>
      </c>
      <c r="G101" s="7"/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7"/>
      <c r="N101" s="11">
        <v>0.75</v>
      </c>
      <c r="O101" s="12">
        <f>SUM(F104:F107)/4</f>
        <v>1.9441997395098043</v>
      </c>
    </row>
    <row r="102" spans="1:15" ht="15.75" x14ac:dyDescent="0.3">
      <c r="A102" s="6" t="s">
        <v>34</v>
      </c>
      <c r="B102" s="25">
        <v>2.5836171164705881</v>
      </c>
      <c r="C102" s="25">
        <v>2.0934475085294126</v>
      </c>
      <c r="D102" s="25">
        <v>2.5666564000000007</v>
      </c>
      <c r="E102" s="9">
        <f t="shared" si="19"/>
        <v>7.243721025000001</v>
      </c>
      <c r="F102" s="10">
        <f t="shared" si="20"/>
        <v>2.4145736750000002</v>
      </c>
      <c r="G102" s="13" t="s">
        <v>13</v>
      </c>
      <c r="H102" s="7">
        <v>2</v>
      </c>
      <c r="I102" s="14">
        <f>D111</f>
        <v>0.42107967427261883</v>
      </c>
      <c r="J102" s="14">
        <f t="shared" ref="J102:J107" si="21">I102/H102</f>
        <v>0.21053983713630942</v>
      </c>
      <c r="K102" s="15">
        <f>J102/J107</f>
        <v>0.30168468423869749</v>
      </c>
      <c r="L102" s="14">
        <f>FINV(0.05,2,14)</f>
        <v>3.7388918324407361</v>
      </c>
      <c r="M102" s="1" t="str">
        <f>IF(K102&gt;=L102,"sig","ns")</f>
        <v>ns</v>
      </c>
      <c r="N102" s="13" t="s">
        <v>14</v>
      </c>
      <c r="O102" s="12">
        <f>SQRT(J107/(3*4))</f>
        <v>0.24115700797033224</v>
      </c>
    </row>
    <row r="103" spans="1:15" ht="15.75" x14ac:dyDescent="0.3">
      <c r="A103" s="6" t="s">
        <v>35</v>
      </c>
      <c r="B103" s="25">
        <v>2.0379330247058824</v>
      </c>
      <c r="C103" s="25">
        <v>2.0499918000000004</v>
      </c>
      <c r="D103" s="25">
        <v>1.6120523752941178</v>
      </c>
      <c r="E103" s="9">
        <f t="shared" si="19"/>
        <v>5.6999772000000011</v>
      </c>
      <c r="F103" s="10">
        <f t="shared" si="20"/>
        <v>1.8999924000000004</v>
      </c>
      <c r="G103" s="13" t="s">
        <v>15</v>
      </c>
      <c r="H103" s="7">
        <v>7</v>
      </c>
      <c r="I103" s="14">
        <f>B112</f>
        <v>3.5708349904093097</v>
      </c>
      <c r="J103" s="14">
        <f t="shared" si="21"/>
        <v>0.51011928434418707</v>
      </c>
      <c r="K103" s="15">
        <f>J103/J107</f>
        <v>0.73095513568679327</v>
      </c>
      <c r="L103" s="14">
        <f>FINV(0.05,7,14)</f>
        <v>2.7641992567781792</v>
      </c>
      <c r="M103" s="1" t="str">
        <f>IF(K103&gt;=L103,"sig","ns")</f>
        <v>ns</v>
      </c>
      <c r="N103" s="13" t="s">
        <v>16</v>
      </c>
      <c r="O103" s="12">
        <f>SQRT((2*J107)/(3*4))*L108</f>
        <v>0.73147416225443007</v>
      </c>
    </row>
    <row r="104" spans="1:15" ht="15.75" x14ac:dyDescent="0.3">
      <c r="A104" s="6" t="s">
        <v>36</v>
      </c>
      <c r="B104" s="25">
        <v>0</v>
      </c>
      <c r="C104" s="25">
        <v>2.7630526732352938</v>
      </c>
      <c r="D104" s="25">
        <v>1.5866603200000002</v>
      </c>
      <c r="E104" s="9">
        <f t="shared" si="19"/>
        <v>4.3497129932352943</v>
      </c>
      <c r="F104" s="10">
        <f t="shared" si="20"/>
        <v>1.4499043310784314</v>
      </c>
      <c r="G104" s="7" t="s">
        <v>17</v>
      </c>
      <c r="H104" s="7">
        <v>1</v>
      </c>
      <c r="I104" s="14">
        <f>((E100+E101+E102+E103)^2+(E104+E105+E106+E107)^2)/12-B110</f>
        <v>0.98363594596941084</v>
      </c>
      <c r="J104" s="14">
        <f t="shared" si="21"/>
        <v>0.98363594596941084</v>
      </c>
      <c r="K104" s="15">
        <f>J104/J107</f>
        <v>1.4094619992200872</v>
      </c>
      <c r="L104" s="14">
        <f>FINV(0.05,1,14)</f>
        <v>4.6001099366694227</v>
      </c>
      <c r="M104" s="1" t="str">
        <f>IF(K104&gt;=L104,"sig","ns")</f>
        <v>ns</v>
      </c>
      <c r="N104" s="16" t="s">
        <v>18</v>
      </c>
      <c r="O104" s="12">
        <f>(F100+F104)/2</f>
        <v>2.0812457599509804</v>
      </c>
    </row>
    <row r="105" spans="1:15" x14ac:dyDescent="0.25">
      <c r="A105" s="6" t="s">
        <v>37</v>
      </c>
      <c r="B105" s="25">
        <v>2.5592054494117646</v>
      </c>
      <c r="C105" s="25">
        <v>1.3634504285294116</v>
      </c>
      <c r="D105" s="25">
        <v>1.4743813573529412</v>
      </c>
      <c r="E105" s="9">
        <f t="shared" si="19"/>
        <v>5.3970372352941176</v>
      </c>
      <c r="F105" s="10">
        <f t="shared" si="20"/>
        <v>1.7990124117647059</v>
      </c>
      <c r="G105" s="7" t="s">
        <v>19</v>
      </c>
      <c r="H105" s="7">
        <v>3</v>
      </c>
      <c r="I105" s="14">
        <f xml:space="preserve"> ((E100+E104)^2+(E101+E105)^2+(E102+E106)^2+(E103+E107)^2)/6-B110</f>
        <v>0.12414503628055229</v>
      </c>
      <c r="J105" s="14">
        <f t="shared" si="21"/>
        <v>4.1381678760184094E-2</v>
      </c>
      <c r="K105" s="15">
        <f>J105/J107</f>
        <v>5.929623039439666E-2</v>
      </c>
      <c r="L105" s="14">
        <f>FINV(0.05,3,14)</f>
        <v>3.3438886781189128</v>
      </c>
      <c r="M105" s="1" t="str">
        <f>IF(K105&gt;=L105,"sig","ns")</f>
        <v>ns</v>
      </c>
      <c r="N105" s="16" t="s">
        <v>20</v>
      </c>
      <c r="O105" s="12">
        <f>(F101+F105)/2</f>
        <v>2.0841174804901961</v>
      </c>
    </row>
    <row r="106" spans="1:15" ht="15.75" x14ac:dyDescent="0.3">
      <c r="A106" s="6" t="s">
        <v>38</v>
      </c>
      <c r="B106" s="25">
        <v>1.5000675291176473</v>
      </c>
      <c r="C106" s="25">
        <v>3.1843009882352953</v>
      </c>
      <c r="D106" s="25">
        <v>1.6144543264705888</v>
      </c>
      <c r="E106" s="9">
        <f t="shared" si="19"/>
        <v>6.2988228438235314</v>
      </c>
      <c r="F106" s="10">
        <f t="shared" si="20"/>
        <v>2.099607614607844</v>
      </c>
      <c r="G106" s="17" t="s">
        <v>21</v>
      </c>
      <c r="H106" s="18">
        <v>3</v>
      </c>
      <c r="I106" s="14">
        <f>(I103-(I104+I105))</f>
        <v>2.4630540081593466</v>
      </c>
      <c r="J106" s="14">
        <f t="shared" si="21"/>
        <v>0.8210180027197822</v>
      </c>
      <c r="K106" s="15">
        <f>J106/J107</f>
        <v>1.1764450864680922</v>
      </c>
      <c r="L106" s="14">
        <f>FINV(0.05,3,14)</f>
        <v>3.3438886781189128</v>
      </c>
      <c r="M106" s="1" t="str">
        <f>IF(K106&gt;=L106,"sig","ns")</f>
        <v>ns</v>
      </c>
      <c r="N106" s="16" t="s">
        <v>22</v>
      </c>
      <c r="O106" s="12">
        <f>(F102+F106)/2</f>
        <v>2.2570906448039221</v>
      </c>
    </row>
    <row r="107" spans="1:15" ht="15.75" x14ac:dyDescent="0.3">
      <c r="A107" s="6" t="s">
        <v>39</v>
      </c>
      <c r="B107" s="25">
        <v>2.6430041338235295</v>
      </c>
      <c r="C107" s="25">
        <v>2.7494007670588236</v>
      </c>
      <c r="D107" s="25">
        <v>1.8924189008823529</v>
      </c>
      <c r="E107" s="9">
        <f t="shared" si="19"/>
        <v>7.2848238017647056</v>
      </c>
      <c r="F107" s="10">
        <f t="shared" si="20"/>
        <v>2.4282746005882352</v>
      </c>
      <c r="G107" s="13" t="s">
        <v>23</v>
      </c>
      <c r="H107" s="7">
        <v>14</v>
      </c>
      <c r="I107" s="14">
        <f>D112</f>
        <v>9.7703260188580856</v>
      </c>
      <c r="J107" s="14">
        <f t="shared" si="21"/>
        <v>0.69788042991843469</v>
      </c>
      <c r="K107" s="14"/>
      <c r="L107" s="14"/>
      <c r="M107" s="7"/>
      <c r="N107" s="16" t="s">
        <v>24</v>
      </c>
      <c r="O107" s="12">
        <f>(F103+F107)/2</f>
        <v>2.1641335002941178</v>
      </c>
    </row>
    <row r="108" spans="1:15" x14ac:dyDescent="0.25">
      <c r="A108" s="6" t="s">
        <v>4</v>
      </c>
      <c r="B108" s="9">
        <f>SUM(B100:B107)</f>
        <v>17.677968503529414</v>
      </c>
      <c r="C108" s="9">
        <f>SUM(C100:C107)</f>
        <v>18.142746056176474</v>
      </c>
      <c r="D108" s="9">
        <f>SUM(D100:D107)</f>
        <v>15.698809753529414</v>
      </c>
      <c r="E108" s="15">
        <f>SUM(E100:E107)</f>
        <v>51.519524313235294</v>
      </c>
      <c r="F108" s="19">
        <f>AVERAGE(B100:D107)</f>
        <v>2.1466468463848041</v>
      </c>
      <c r="G108" s="13" t="s">
        <v>4</v>
      </c>
      <c r="H108" s="7">
        <v>23</v>
      </c>
      <c r="I108" s="14">
        <f>B111</f>
        <v>13.762240683540014</v>
      </c>
      <c r="J108" s="14"/>
      <c r="K108" s="7" t="s">
        <v>25</v>
      </c>
      <c r="L108" s="20">
        <f>TINV(0.05,14)</f>
        <v>2.1447866879178044</v>
      </c>
      <c r="M108" s="7"/>
      <c r="N108" s="13" t="s">
        <v>14</v>
      </c>
      <c r="O108" s="12">
        <f>SQRT(J107/(3*2))</f>
        <v>0.34104751133296046</v>
      </c>
    </row>
    <row r="109" spans="1:15" x14ac:dyDescent="0.25">
      <c r="A109" s="6" t="s">
        <v>5</v>
      </c>
      <c r="B109" s="9">
        <f>B108/8</f>
        <v>2.2097460629411767</v>
      </c>
      <c r="C109" s="9">
        <f>C108/8</f>
        <v>2.2678432570220592</v>
      </c>
      <c r="D109" s="9">
        <f>D108/8</f>
        <v>1.9623512191911767</v>
      </c>
      <c r="E109" s="14"/>
      <c r="F109" s="14"/>
      <c r="G109" s="13" t="s">
        <v>14</v>
      </c>
      <c r="H109" s="12">
        <f>SQRT(J107/3)</f>
        <v>0.48231401594066448</v>
      </c>
      <c r="I109" s="7"/>
      <c r="J109" s="21"/>
      <c r="K109" s="7"/>
      <c r="L109" s="7"/>
      <c r="M109" s="7"/>
      <c r="N109" s="13" t="s">
        <v>16</v>
      </c>
      <c r="O109" s="12">
        <f>SQRT((2*J107)/(3*2))*L108</f>
        <v>1.0344606807857128</v>
      </c>
    </row>
    <row r="110" spans="1:15" x14ac:dyDescent="0.25">
      <c r="A110" s="7" t="s">
        <v>26</v>
      </c>
      <c r="B110" s="15">
        <f>(E108*E108)/24</f>
        <v>110.59422439425178</v>
      </c>
      <c r="C110" s="14"/>
      <c r="D110" s="14"/>
      <c r="E110" s="14"/>
      <c r="F110" s="14"/>
      <c r="G110" s="13" t="s">
        <v>16</v>
      </c>
      <c r="H110" s="12">
        <f>(SQRT((2*J107)/3))*L108</f>
        <v>1.4629483245088601</v>
      </c>
      <c r="I110" s="7"/>
      <c r="J110" s="7"/>
      <c r="K110" s="7"/>
      <c r="L110" s="7"/>
      <c r="M110" s="7"/>
      <c r="N110" s="7"/>
      <c r="O110" s="7"/>
    </row>
    <row r="111" spans="1:15" x14ac:dyDescent="0.25">
      <c r="A111" s="7" t="s">
        <v>27</v>
      </c>
      <c r="B111" s="15">
        <f>SUMSQ(B100:D107)-B110</f>
        <v>13.762240683540014</v>
      </c>
      <c r="C111" s="7" t="s">
        <v>28</v>
      </c>
      <c r="D111" s="15">
        <f>(SUMSQ(B108:D108)/8)-B110</f>
        <v>0.42107967427261883</v>
      </c>
      <c r="E111" s="14"/>
      <c r="F111" s="14"/>
      <c r="G111" s="13" t="s">
        <v>29</v>
      </c>
      <c r="H111" s="12">
        <f>((SQRT(J107))/F108)*100</f>
        <v>38.916153452008722</v>
      </c>
      <c r="I111" s="7"/>
      <c r="J111" s="21"/>
      <c r="K111" s="7"/>
      <c r="L111" s="7"/>
      <c r="M111" s="7"/>
      <c r="N111" s="7"/>
      <c r="O111" s="7"/>
    </row>
    <row r="112" spans="1:15" x14ac:dyDescent="0.25">
      <c r="A112" s="7" t="s">
        <v>30</v>
      </c>
      <c r="B112" s="15">
        <f>(SUMSQ(E100:E107)/3)-B110</f>
        <v>3.5708349904093097</v>
      </c>
      <c r="C112" s="7" t="s">
        <v>31</v>
      </c>
      <c r="D112" s="15">
        <f>B111-B112-D111</f>
        <v>9.7703260188580856</v>
      </c>
      <c r="E112" s="14"/>
      <c r="F112" s="14"/>
      <c r="G112" s="7"/>
      <c r="H112" s="7"/>
      <c r="I112" s="7"/>
      <c r="J112" s="7"/>
      <c r="K112" s="7"/>
      <c r="L112" s="7"/>
      <c r="M112" s="2"/>
      <c r="N112" s="7"/>
      <c r="O112" s="7"/>
    </row>
    <row r="114" spans="1:15" x14ac:dyDescent="0.25">
      <c r="A114" s="84" t="s">
        <v>60</v>
      </c>
      <c r="B114" s="85"/>
      <c r="C114" s="85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5"/>
      <c r="O114" s="3"/>
    </row>
    <row r="115" spans="1:15" x14ac:dyDescent="0.25">
      <c r="A115" s="6" t="s">
        <v>0</v>
      </c>
      <c r="B115" s="6" t="s">
        <v>1</v>
      </c>
      <c r="C115" s="6" t="s">
        <v>2</v>
      </c>
      <c r="D115" s="6" t="s">
        <v>3</v>
      </c>
      <c r="E115" s="6" t="s">
        <v>4</v>
      </c>
      <c r="F115" s="6" t="s">
        <v>5</v>
      </c>
      <c r="G115" s="7"/>
      <c r="H115" s="7"/>
      <c r="I115" s="6" t="s">
        <v>6</v>
      </c>
      <c r="J115" s="7"/>
      <c r="K115" s="7"/>
      <c r="L115" s="7"/>
      <c r="M115" s="7"/>
      <c r="N115" s="88" t="s">
        <v>7</v>
      </c>
      <c r="O115" s="89"/>
    </row>
    <row r="116" spans="1:15" ht="15.75" x14ac:dyDescent="0.3">
      <c r="A116" s="6" t="s">
        <v>33</v>
      </c>
      <c r="B116" s="8">
        <v>21.749913000000006</v>
      </c>
      <c r="C116" s="8">
        <v>27.771457541176471</v>
      </c>
      <c r="D116" s="8">
        <v>30.817523788235295</v>
      </c>
      <c r="E116" s="9">
        <f t="shared" ref="E116:E123" si="22">SUM(B116:D116)</f>
        <v>80.338894329411772</v>
      </c>
      <c r="F116" s="10">
        <f t="shared" ref="F116:F123" si="23">E116/3</f>
        <v>26.779631443137259</v>
      </c>
      <c r="G116" s="7"/>
      <c r="H116" s="7"/>
      <c r="I116" s="7"/>
      <c r="J116" s="7"/>
      <c r="K116" s="7"/>
      <c r="L116" s="7"/>
      <c r="M116" s="7"/>
      <c r="N116" s="11">
        <v>1</v>
      </c>
      <c r="O116" s="12">
        <f>SUM(F116:F119)/4</f>
        <v>27.695951307254905</v>
      </c>
    </row>
    <row r="117" spans="1:15" x14ac:dyDescent="0.25">
      <c r="A117" s="6" t="s">
        <v>32</v>
      </c>
      <c r="B117" s="8">
        <v>19.367569588235295</v>
      </c>
      <c r="C117" s="8">
        <v>27.102832764705887</v>
      </c>
      <c r="D117" s="8">
        <v>35.179271047058826</v>
      </c>
      <c r="E117" s="9">
        <f t="shared" si="22"/>
        <v>81.649673400000012</v>
      </c>
      <c r="F117" s="10">
        <f t="shared" si="23"/>
        <v>27.216557800000004</v>
      </c>
      <c r="G117" s="7"/>
      <c r="H117" s="13" t="s">
        <v>8</v>
      </c>
      <c r="I117" s="13" t="s">
        <v>9</v>
      </c>
      <c r="J117" s="13" t="s">
        <v>10</v>
      </c>
      <c r="K117" s="13" t="s">
        <v>11</v>
      </c>
      <c r="L117" s="13" t="s">
        <v>12</v>
      </c>
      <c r="M117" s="7"/>
      <c r="N117" s="11">
        <v>0.75</v>
      </c>
      <c r="O117" s="12">
        <f>SUM(F120:F123)/4</f>
        <v>22.543721099264708</v>
      </c>
    </row>
    <row r="118" spans="1:15" ht="15.75" x14ac:dyDescent="0.3">
      <c r="A118" s="6" t="s">
        <v>34</v>
      </c>
      <c r="B118" s="8">
        <v>18.651690098823533</v>
      </c>
      <c r="C118" s="8">
        <v>27.580772029411769</v>
      </c>
      <c r="D118" s="8">
        <v>29.779292647058824</v>
      </c>
      <c r="E118" s="9">
        <f t="shared" si="22"/>
        <v>76.011754775294122</v>
      </c>
      <c r="F118" s="10">
        <f t="shared" si="23"/>
        <v>25.337251591764709</v>
      </c>
      <c r="G118" s="13" t="s">
        <v>13</v>
      </c>
      <c r="H118" s="7">
        <v>2</v>
      </c>
      <c r="I118" s="14">
        <f>D127</f>
        <v>705.00546029872748</v>
      </c>
      <c r="J118" s="14">
        <f t="shared" ref="J118:J123" si="24">I118/H118</f>
        <v>352.50273014936374</v>
      </c>
      <c r="K118" s="15">
        <f>J118/J123</f>
        <v>12.099676268216124</v>
      </c>
      <c r="L118" s="14">
        <f>FINV(0.05,2,14)</f>
        <v>3.7388918324407361</v>
      </c>
      <c r="M118" s="1" t="str">
        <f>IF(K118&gt;=L118,"sig","ns")</f>
        <v>sig</v>
      </c>
      <c r="N118" s="13" t="s">
        <v>14</v>
      </c>
      <c r="O118" s="12">
        <f>SQRT(J123/(3*4))</f>
        <v>1.5581301958847023</v>
      </c>
    </row>
    <row r="119" spans="1:15" ht="15.75" x14ac:dyDescent="0.3">
      <c r="A119" s="6" t="s">
        <v>35</v>
      </c>
      <c r="B119" s="8">
        <v>23.294024470588237</v>
      </c>
      <c r="C119" s="8">
        <v>40.393956070588231</v>
      </c>
      <c r="D119" s="8">
        <v>30.663112641176472</v>
      </c>
      <c r="E119" s="9">
        <f t="shared" si="22"/>
        <v>94.35109318235294</v>
      </c>
      <c r="F119" s="10">
        <f t="shared" si="23"/>
        <v>31.450364394117646</v>
      </c>
      <c r="G119" s="13" t="s">
        <v>15</v>
      </c>
      <c r="H119" s="7">
        <v>7</v>
      </c>
      <c r="I119" s="14">
        <f>B128</f>
        <v>388.1658933253002</v>
      </c>
      <c r="J119" s="14">
        <f t="shared" si="24"/>
        <v>55.452270475042887</v>
      </c>
      <c r="K119" s="15">
        <f>J119/J123</f>
        <v>1.9034023390436685</v>
      </c>
      <c r="L119" s="14">
        <f>FINV(0.05,7,14)</f>
        <v>2.7641992567781792</v>
      </c>
      <c r="M119" s="1" t="str">
        <f>IF(K119&gt;=L119,"sig","ns")</f>
        <v>ns</v>
      </c>
      <c r="N119" s="13" t="s">
        <v>16</v>
      </c>
      <c r="O119" s="12">
        <f>SQRT((2*J123)/(3*4))*L124</f>
        <v>4.7260993545678192</v>
      </c>
    </row>
    <row r="120" spans="1:15" ht="15.75" x14ac:dyDescent="0.3">
      <c r="A120" s="6" t="s">
        <v>36</v>
      </c>
      <c r="B120" s="8">
        <v>0</v>
      </c>
      <c r="C120" s="8">
        <v>26.672442329411766</v>
      </c>
      <c r="D120" s="8">
        <v>26.999892000000003</v>
      </c>
      <c r="E120" s="9">
        <f t="shared" si="22"/>
        <v>53.672334329411768</v>
      </c>
      <c r="F120" s="10">
        <f t="shared" si="23"/>
        <v>17.890778109803922</v>
      </c>
      <c r="G120" s="7" t="s">
        <v>17</v>
      </c>
      <c r="H120" s="7">
        <v>1</v>
      </c>
      <c r="I120" s="14">
        <f>((E116+E117+E118+E119)^2+(E120+E121+E122+E123)^2)/12-B126</f>
        <v>159.27285669676166</v>
      </c>
      <c r="J120" s="14">
        <f t="shared" si="24"/>
        <v>159.27285669676166</v>
      </c>
      <c r="K120" s="15">
        <f>J120/J123</f>
        <v>5.4670498680342572</v>
      </c>
      <c r="L120" s="14">
        <f>FINV(0.05,1,14)</f>
        <v>4.6001099366694227</v>
      </c>
      <c r="M120" s="1" t="str">
        <f>IF(K120&gt;=L120,"sig","ns")</f>
        <v>sig</v>
      </c>
      <c r="N120" s="16" t="s">
        <v>18</v>
      </c>
      <c r="O120" s="12">
        <f>(F116+F120)/2</f>
        <v>22.33520477647059</v>
      </c>
    </row>
    <row r="121" spans="1:15" x14ac:dyDescent="0.25">
      <c r="A121" s="6" t="s">
        <v>37</v>
      </c>
      <c r="B121" s="8">
        <v>20.816583399999999</v>
      </c>
      <c r="C121" s="8">
        <v>19.174433105882354</v>
      </c>
      <c r="D121" s="8">
        <v>20.446977035294118</v>
      </c>
      <c r="E121" s="9">
        <f t="shared" si="22"/>
        <v>60.437993541176475</v>
      </c>
      <c r="F121" s="10">
        <f t="shared" si="23"/>
        <v>20.145997847058826</v>
      </c>
      <c r="G121" s="7" t="s">
        <v>19</v>
      </c>
      <c r="H121" s="7">
        <v>3</v>
      </c>
      <c r="I121" s="14">
        <f xml:space="preserve"> ((E116+E120)^2+(E117+E121)^2+(E118+E122)^2+(E119+E123)^2)/6-B126</f>
        <v>169.0547511681707</v>
      </c>
      <c r="J121" s="14">
        <f t="shared" si="24"/>
        <v>56.351583722723568</v>
      </c>
      <c r="K121" s="15">
        <f>J121/J123</f>
        <v>1.9342713174372361</v>
      </c>
      <c r="L121" s="14">
        <f>FINV(0.05,3,14)</f>
        <v>3.3438886781189128</v>
      </c>
      <c r="M121" s="1" t="str">
        <f>IF(K121&gt;=L121,"sig","ns")</f>
        <v>ns</v>
      </c>
      <c r="N121" s="16" t="s">
        <v>20</v>
      </c>
      <c r="O121" s="12">
        <f>(F117+F121)/2</f>
        <v>23.681277823529413</v>
      </c>
    </row>
    <row r="122" spans="1:15" ht="15.75" x14ac:dyDescent="0.3">
      <c r="A122" s="6" t="s">
        <v>38</v>
      </c>
      <c r="B122" s="8">
        <v>15.630819829411767</v>
      </c>
      <c r="C122" s="8">
        <v>32.993985670588231</v>
      </c>
      <c r="D122" s="8">
        <v>25.720485352941179</v>
      </c>
      <c r="E122" s="9">
        <f t="shared" si="22"/>
        <v>74.345290852941176</v>
      </c>
      <c r="F122" s="10">
        <f t="shared" si="23"/>
        <v>24.781763617647059</v>
      </c>
      <c r="G122" s="17" t="s">
        <v>21</v>
      </c>
      <c r="H122" s="18">
        <v>3</v>
      </c>
      <c r="I122" s="14">
        <f>(I119-(I120+I121))</f>
        <v>59.838285460367842</v>
      </c>
      <c r="J122" s="14">
        <f t="shared" si="24"/>
        <v>19.946095153455946</v>
      </c>
      <c r="K122" s="15">
        <f>J122/J123</f>
        <v>0.68465085098657119</v>
      </c>
      <c r="L122" s="14">
        <f>FINV(0.05,3,14)</f>
        <v>3.3438886781189128</v>
      </c>
      <c r="M122" s="1" t="str">
        <f>IF(K122&gt;=L122,"sig","ns")</f>
        <v>ns</v>
      </c>
      <c r="N122" s="16" t="s">
        <v>22</v>
      </c>
      <c r="O122" s="12">
        <f>(F118+F122)/2</f>
        <v>25.059507604705885</v>
      </c>
    </row>
    <row r="123" spans="1:15" ht="15.75" x14ac:dyDescent="0.3">
      <c r="A123" s="6" t="s">
        <v>39</v>
      </c>
      <c r="B123" s="8">
        <v>20.168791873529411</v>
      </c>
      <c r="C123" s="8">
        <v>27.995966447058827</v>
      </c>
      <c r="D123" s="8">
        <v>33.90427614705883</v>
      </c>
      <c r="E123" s="9">
        <f t="shared" si="22"/>
        <v>82.069034467647072</v>
      </c>
      <c r="F123" s="10">
        <f t="shared" si="23"/>
        <v>27.356344822549023</v>
      </c>
      <c r="G123" s="13" t="s">
        <v>23</v>
      </c>
      <c r="H123" s="7">
        <v>14</v>
      </c>
      <c r="I123" s="14">
        <f>D128</f>
        <v>407.86531083105365</v>
      </c>
      <c r="J123" s="14">
        <f t="shared" si="24"/>
        <v>29.133236487932404</v>
      </c>
      <c r="K123" s="14"/>
      <c r="L123" s="14"/>
      <c r="M123" s="7"/>
      <c r="N123" s="16" t="s">
        <v>24</v>
      </c>
      <c r="O123" s="12">
        <f>(F119+F123)/2</f>
        <v>29.403354608333334</v>
      </c>
    </row>
    <row r="124" spans="1:15" x14ac:dyDescent="0.25">
      <c r="A124" s="6" t="s">
        <v>4</v>
      </c>
      <c r="B124" s="9">
        <f>SUM(B116:B123)</f>
        <v>139.67939226058826</v>
      </c>
      <c r="C124" s="9">
        <f>SUM(C116:C123)</f>
        <v>229.68584595882351</v>
      </c>
      <c r="D124" s="9">
        <f>SUM(D116:D123)</f>
        <v>233.51083065882352</v>
      </c>
      <c r="E124" s="15">
        <f>SUM(E116:E123)</f>
        <v>602.8760688782354</v>
      </c>
      <c r="F124" s="19">
        <f>AVERAGE(B116:D123)</f>
        <v>25.119836203259805</v>
      </c>
      <c r="G124" s="13" t="s">
        <v>4</v>
      </c>
      <c r="H124" s="7">
        <v>23</v>
      </c>
      <c r="I124" s="14">
        <f>B127</f>
        <v>1501.0366644550813</v>
      </c>
      <c r="J124" s="14"/>
      <c r="K124" s="7" t="s">
        <v>25</v>
      </c>
      <c r="L124" s="20">
        <f>TINV(0.05,14)</f>
        <v>2.1447866879178044</v>
      </c>
      <c r="M124" s="7"/>
      <c r="N124" s="13" t="s">
        <v>14</v>
      </c>
      <c r="O124" s="12">
        <f>SQRT(J123/(3*2))</f>
        <v>2.2035288549631931</v>
      </c>
    </row>
    <row r="125" spans="1:15" x14ac:dyDescent="0.25">
      <c r="A125" s="6" t="s">
        <v>5</v>
      </c>
      <c r="B125" s="9">
        <f>B124/8</f>
        <v>17.459924032573532</v>
      </c>
      <c r="C125" s="9">
        <f>C124/8</f>
        <v>28.710730744852938</v>
      </c>
      <c r="D125" s="9">
        <f>D124/8</f>
        <v>29.18885383235294</v>
      </c>
      <c r="E125" s="14"/>
      <c r="F125" s="14"/>
      <c r="G125" s="13" t="s">
        <v>14</v>
      </c>
      <c r="H125" s="12">
        <f>SQRT(J123/3)</f>
        <v>3.1162603917694045</v>
      </c>
      <c r="I125" s="7"/>
      <c r="J125" s="21"/>
      <c r="K125" s="7"/>
      <c r="L125" s="7"/>
      <c r="M125" s="7"/>
      <c r="N125" s="13" t="s">
        <v>16</v>
      </c>
      <c r="O125" s="12">
        <f>SQRT((2*J123)/(3*2))*L124</f>
        <v>6.6837138043525401</v>
      </c>
    </row>
    <row r="126" spans="1:15" x14ac:dyDescent="0.25">
      <c r="A126" s="7" t="s">
        <v>26</v>
      </c>
      <c r="B126" s="15">
        <f>(E124*E124)/24</f>
        <v>15144.148101086452</v>
      </c>
      <c r="C126" s="14"/>
      <c r="D126" s="14"/>
      <c r="E126" s="14"/>
      <c r="F126" s="14"/>
      <c r="G126" s="13" t="s">
        <v>16</v>
      </c>
      <c r="H126" s="12">
        <f>(SQRT((2*J123)/3))*L124</f>
        <v>9.4521987091356383</v>
      </c>
      <c r="I126" s="7"/>
      <c r="J126" s="7"/>
      <c r="K126" s="7"/>
      <c r="L126" s="7"/>
      <c r="M126" s="7"/>
      <c r="N126" s="7"/>
      <c r="O126" s="7"/>
    </row>
    <row r="127" spans="1:15" x14ac:dyDescent="0.25">
      <c r="A127" s="7" t="s">
        <v>27</v>
      </c>
      <c r="B127" s="15">
        <f>SUMSQ(B116:D123)-B126</f>
        <v>1501.0366644550813</v>
      </c>
      <c r="C127" s="7" t="s">
        <v>28</v>
      </c>
      <c r="D127" s="15">
        <f>(SUMSQ(B124:D124)/8)-B126</f>
        <v>705.00546029872748</v>
      </c>
      <c r="E127" s="14"/>
      <c r="F127" s="14"/>
      <c r="G127" s="13" t="s">
        <v>29</v>
      </c>
      <c r="H127" s="12">
        <f>((SQRT(J123))/F124)*100</f>
        <v>21.487088070497311</v>
      </c>
      <c r="I127" s="7"/>
      <c r="J127" s="21"/>
      <c r="K127" s="7"/>
      <c r="L127" s="7"/>
      <c r="M127" s="7"/>
      <c r="N127" s="7"/>
      <c r="O127" s="7"/>
    </row>
    <row r="128" spans="1:15" x14ac:dyDescent="0.25">
      <c r="A128" s="7" t="s">
        <v>30</v>
      </c>
      <c r="B128" s="15">
        <f>(SUMSQ(E116:E123)/3)-B126</f>
        <v>388.1658933253002</v>
      </c>
      <c r="C128" s="7" t="s">
        <v>31</v>
      </c>
      <c r="D128" s="15">
        <f>B127-B128-D127</f>
        <v>407.86531083105365</v>
      </c>
      <c r="E128" s="14"/>
      <c r="F128" s="14"/>
      <c r="G128" s="7"/>
      <c r="H128" s="7"/>
      <c r="I128" s="7"/>
      <c r="J128" s="7"/>
      <c r="K128" s="7"/>
      <c r="L128" s="7"/>
      <c r="M128" s="2"/>
      <c r="N128" s="7"/>
      <c r="O128" s="7"/>
    </row>
    <row r="130" spans="1:15" x14ac:dyDescent="0.25">
      <c r="A130" s="84" t="s">
        <v>61</v>
      </c>
      <c r="B130" s="85"/>
      <c r="C130" s="85"/>
      <c r="D130" s="22"/>
      <c r="E130" s="3"/>
      <c r="F130" s="3"/>
      <c r="G130" s="3"/>
      <c r="H130" s="3"/>
      <c r="I130" s="3"/>
      <c r="J130" s="3"/>
      <c r="K130" s="3"/>
      <c r="L130" s="3"/>
      <c r="M130" s="3"/>
      <c r="N130" s="5"/>
      <c r="O130" s="3"/>
    </row>
    <row r="131" spans="1:15" s="24" customFormat="1" x14ac:dyDescent="0.25">
      <c r="A131" s="6" t="s">
        <v>0</v>
      </c>
      <c r="B131" s="6" t="s">
        <v>1</v>
      </c>
      <c r="C131" s="6" t="s">
        <v>2</v>
      </c>
      <c r="D131" s="6" t="s">
        <v>3</v>
      </c>
      <c r="E131" s="6" t="s">
        <v>4</v>
      </c>
      <c r="F131" s="6" t="s">
        <v>5</v>
      </c>
      <c r="G131" s="7"/>
      <c r="H131" s="7"/>
      <c r="I131" s="6" t="s">
        <v>6</v>
      </c>
      <c r="J131" s="7"/>
      <c r="K131" s="7"/>
      <c r="L131" s="7"/>
      <c r="M131" s="7"/>
      <c r="N131" s="88" t="s">
        <v>7</v>
      </c>
      <c r="O131" s="89"/>
    </row>
    <row r="132" spans="1:15" ht="15.75" x14ac:dyDescent="0.3">
      <c r="A132" s="6" t="s">
        <v>33</v>
      </c>
      <c r="B132" s="8">
        <v>58.367413588235294</v>
      </c>
      <c r="C132" s="8">
        <v>45.999816000000003</v>
      </c>
      <c r="D132" s="8">
        <v>46.323344117647068</v>
      </c>
      <c r="E132" s="9">
        <f t="shared" ref="E132:E139" si="25">SUM(B132:D132)</f>
        <v>150.69057370588234</v>
      </c>
      <c r="F132" s="10">
        <f t="shared" ref="F132:F139" si="26">E132/3</f>
        <v>50.230191235294114</v>
      </c>
      <c r="G132" s="7"/>
      <c r="H132" s="7"/>
      <c r="I132" s="7"/>
      <c r="J132" s="7"/>
      <c r="K132" s="7"/>
      <c r="L132" s="7"/>
      <c r="M132" s="7"/>
      <c r="N132" s="11">
        <v>1</v>
      </c>
      <c r="O132" s="12">
        <f>SUM(F132:F135)/4</f>
        <v>59.014469823529417</v>
      </c>
    </row>
    <row r="133" spans="1:15" x14ac:dyDescent="0.25">
      <c r="A133" s="6" t="s">
        <v>32</v>
      </c>
      <c r="B133" s="8">
        <v>61.087990941176479</v>
      </c>
      <c r="C133" s="8">
        <v>54.588016941176477</v>
      </c>
      <c r="D133" s="8">
        <v>59.421330941176478</v>
      </c>
      <c r="E133" s="9">
        <f t="shared" si="25"/>
        <v>175.09733882352944</v>
      </c>
      <c r="F133" s="10">
        <f t="shared" si="26"/>
        <v>58.365779607843145</v>
      </c>
      <c r="G133" s="7"/>
      <c r="H133" s="13" t="s">
        <v>8</v>
      </c>
      <c r="I133" s="13" t="s">
        <v>9</v>
      </c>
      <c r="J133" s="13" t="s">
        <v>10</v>
      </c>
      <c r="K133" s="13" t="s">
        <v>11</v>
      </c>
      <c r="L133" s="13" t="s">
        <v>12</v>
      </c>
      <c r="M133" s="7"/>
      <c r="N133" s="11">
        <v>0.75</v>
      </c>
      <c r="O133" s="12">
        <f>SUM(F136:F139)/4</f>
        <v>58.20524103431373</v>
      </c>
    </row>
    <row r="134" spans="1:15" ht="15.75" x14ac:dyDescent="0.3">
      <c r="A134" s="6" t="s">
        <v>34</v>
      </c>
      <c r="B134" s="8">
        <v>76.524203705882371</v>
      </c>
      <c r="C134" s="8">
        <v>65.676207882352941</v>
      </c>
      <c r="D134" s="8">
        <v>55.058603294117646</v>
      </c>
      <c r="E134" s="9">
        <f t="shared" si="25"/>
        <v>197.25901488235297</v>
      </c>
      <c r="F134" s="10">
        <f t="shared" si="26"/>
        <v>65.753004960784324</v>
      </c>
      <c r="G134" s="13" t="s">
        <v>13</v>
      </c>
      <c r="H134" s="7">
        <v>2</v>
      </c>
      <c r="I134" s="14">
        <f>D143</f>
        <v>165.03703233264969</v>
      </c>
      <c r="J134" s="14">
        <f t="shared" ref="J134:J139" si="27">I134/H134</f>
        <v>82.518516166324844</v>
      </c>
      <c r="K134" s="15">
        <f>J134/J139</f>
        <v>0.24965926063282068</v>
      </c>
      <c r="L134" s="14">
        <f>FINV(0.05,2,14)</f>
        <v>3.7388918324407361</v>
      </c>
      <c r="M134" s="1" t="str">
        <f>IF(K134&gt;=L134,"sig","ns")</f>
        <v>ns</v>
      </c>
      <c r="N134" s="13" t="s">
        <v>14</v>
      </c>
      <c r="O134" s="12">
        <f>SQRT(J139/(3*4))</f>
        <v>5.248210453549202</v>
      </c>
    </row>
    <row r="135" spans="1:15" ht="15.75" x14ac:dyDescent="0.3">
      <c r="A135" s="6" t="s">
        <v>35</v>
      </c>
      <c r="B135" s="8">
        <v>65.382091411764719</v>
      </c>
      <c r="C135" s="8">
        <v>57.156634117647066</v>
      </c>
      <c r="D135" s="8">
        <v>62.587984941176472</v>
      </c>
      <c r="E135" s="9">
        <f t="shared" si="25"/>
        <v>185.12671047058825</v>
      </c>
      <c r="F135" s="10">
        <f t="shared" si="26"/>
        <v>61.708903490196086</v>
      </c>
      <c r="G135" s="13" t="s">
        <v>15</v>
      </c>
      <c r="H135" s="7">
        <v>7</v>
      </c>
      <c r="I135" s="14">
        <f>B144</f>
        <v>1809.6162088975543</v>
      </c>
      <c r="J135" s="14">
        <f t="shared" si="27"/>
        <v>258.5166012710792</v>
      </c>
      <c r="K135" s="15">
        <f>J135/J139</f>
        <v>0.78214037931266189</v>
      </c>
      <c r="L135" s="14">
        <f>FINV(0.05,7,14)</f>
        <v>2.7641992567781792</v>
      </c>
      <c r="M135" s="1" t="str">
        <f>IF(K135&gt;=L135,"sig","ns")</f>
        <v>ns</v>
      </c>
      <c r="N135" s="13" t="s">
        <v>16</v>
      </c>
      <c r="O135" s="12">
        <f>SQRT((2*J139)/(3*4))*L140</f>
        <v>15.918800689868901</v>
      </c>
    </row>
    <row r="136" spans="1:15" ht="15.75" x14ac:dyDescent="0.3">
      <c r="A136" s="6" t="s">
        <v>36</v>
      </c>
      <c r="B136" s="8">
        <v>0</v>
      </c>
      <c r="C136" s="8">
        <v>45.097858823529414</v>
      </c>
      <c r="D136" s="8">
        <v>80.46046247058824</v>
      </c>
      <c r="E136" s="9">
        <f t="shared" si="25"/>
        <v>125.55832129411766</v>
      </c>
      <c r="F136" s="10">
        <f t="shared" si="26"/>
        <v>41.852773764705887</v>
      </c>
      <c r="G136" s="7" t="s">
        <v>17</v>
      </c>
      <c r="H136" s="7">
        <v>1</v>
      </c>
      <c r="I136" s="14">
        <f>((E132+E133+E134+E135)^2+(E136+E137+E138+E139)^2)/12-B142</f>
        <v>3.9291073997883359</v>
      </c>
      <c r="J136" s="14">
        <f t="shared" si="27"/>
        <v>3.9291073997883359</v>
      </c>
      <c r="K136" s="15">
        <f>J136/J139</f>
        <v>1.1887490153130184E-2</v>
      </c>
      <c r="L136" s="14">
        <f>FINV(0.05,1,14)</f>
        <v>4.6001099366694227</v>
      </c>
      <c r="M136" s="1" t="str">
        <f>IF(K136&gt;=L136,"sig","ns")</f>
        <v>ns</v>
      </c>
      <c r="N136" s="16" t="s">
        <v>18</v>
      </c>
      <c r="O136" s="12">
        <f>(F132+F136)/2</f>
        <v>46.041482500000001</v>
      </c>
    </row>
    <row r="137" spans="1:15" x14ac:dyDescent="0.25">
      <c r="A137" s="6" t="s">
        <v>37</v>
      </c>
      <c r="B137" s="8">
        <v>63.401707176470588</v>
      </c>
      <c r="C137" s="8">
        <v>73.602646764705881</v>
      </c>
      <c r="D137" s="8">
        <v>55.588012941176473</v>
      </c>
      <c r="E137" s="9">
        <f t="shared" si="25"/>
        <v>192.59236688235296</v>
      </c>
      <c r="F137" s="10">
        <f t="shared" si="26"/>
        <v>64.197455627450992</v>
      </c>
      <c r="G137" s="7" t="s">
        <v>19</v>
      </c>
      <c r="H137" s="7">
        <v>3</v>
      </c>
      <c r="I137" s="14">
        <f xml:space="preserve"> ((E132+E136)^2+(E133+E137)^2+(E134+E138)^2+(E135+E139)^2)/6-B142</f>
        <v>1376.8438997588528</v>
      </c>
      <c r="J137" s="14">
        <f t="shared" si="27"/>
        <v>458.94796658628428</v>
      </c>
      <c r="K137" s="15">
        <f>J137/J139</f>
        <v>1.3885442362526104</v>
      </c>
      <c r="L137" s="14">
        <f>FINV(0.05,3,14)</f>
        <v>3.3438886781189128</v>
      </c>
      <c r="M137" s="1" t="str">
        <f>IF(K137&gt;=L137,"sig","ns")</f>
        <v>ns</v>
      </c>
      <c r="N137" s="16" t="s">
        <v>20</v>
      </c>
      <c r="O137" s="12">
        <f>(F133+F137)/2</f>
        <v>61.281617617647072</v>
      </c>
    </row>
    <row r="138" spans="1:15" ht="15.75" x14ac:dyDescent="0.3">
      <c r="A138" s="6" t="s">
        <v>38</v>
      </c>
      <c r="B138" s="8">
        <v>41.646892235294118</v>
      </c>
      <c r="C138" s="8">
        <v>52.999787999999995</v>
      </c>
      <c r="D138" s="8">
        <v>72.793826470588229</v>
      </c>
      <c r="E138" s="9">
        <f t="shared" si="25"/>
        <v>167.44050670588234</v>
      </c>
      <c r="F138" s="10">
        <f t="shared" si="26"/>
        <v>55.813502235294116</v>
      </c>
      <c r="G138" s="17" t="s">
        <v>21</v>
      </c>
      <c r="H138" s="18">
        <v>3</v>
      </c>
      <c r="I138" s="14">
        <f>(I135-(I136+I137))</f>
        <v>428.84320173891319</v>
      </c>
      <c r="J138" s="14">
        <f t="shared" si="27"/>
        <v>142.94773391297107</v>
      </c>
      <c r="K138" s="15">
        <f>J138/J139</f>
        <v>0.43248748542589072</v>
      </c>
      <c r="L138" s="14">
        <f>FINV(0.05,3,14)</f>
        <v>3.3438886781189128</v>
      </c>
      <c r="M138" s="1" t="str">
        <f>IF(K138&gt;=L138,"sig","ns")</f>
        <v>ns</v>
      </c>
      <c r="N138" s="16" t="s">
        <v>22</v>
      </c>
      <c r="O138" s="12">
        <f>(F134+F138)/2</f>
        <v>60.783253598039224</v>
      </c>
    </row>
    <row r="139" spans="1:15" ht="15.75" x14ac:dyDescent="0.3">
      <c r="A139" s="6" t="s">
        <v>39</v>
      </c>
      <c r="B139" s="8">
        <v>72.999707999999998</v>
      </c>
      <c r="C139" s="8">
        <v>85.519265764705892</v>
      </c>
      <c r="D139" s="8">
        <v>54.3527237647059</v>
      </c>
      <c r="E139" s="9">
        <f t="shared" si="25"/>
        <v>212.87169752941179</v>
      </c>
      <c r="F139" s="10">
        <f t="shared" si="26"/>
        <v>70.95723250980393</v>
      </c>
      <c r="G139" s="13" t="s">
        <v>23</v>
      </c>
      <c r="H139" s="7">
        <v>14</v>
      </c>
      <c r="I139" s="14">
        <f>D144</f>
        <v>4627.3437780768436</v>
      </c>
      <c r="J139" s="14">
        <f t="shared" si="27"/>
        <v>330.52455557691741</v>
      </c>
      <c r="K139" s="14"/>
      <c r="L139" s="14"/>
      <c r="M139" s="7"/>
      <c r="N139" s="16" t="s">
        <v>24</v>
      </c>
      <c r="O139" s="12">
        <f>(F135+F139)/2</f>
        <v>66.333068000000011</v>
      </c>
    </row>
    <row r="140" spans="1:15" x14ac:dyDescent="0.25">
      <c r="A140" s="6" t="s">
        <v>4</v>
      </c>
      <c r="B140" s="9">
        <f>SUM(B132:B139)</f>
        <v>439.41000705882357</v>
      </c>
      <c r="C140" s="9">
        <f>SUM(C132:C139)</f>
        <v>480.6402342941177</v>
      </c>
      <c r="D140" s="9">
        <f>SUM(D132:D139)</f>
        <v>486.58628894117652</v>
      </c>
      <c r="E140" s="15">
        <f>SUM(E132:E139)</f>
        <v>1406.6365302941176</v>
      </c>
      <c r="F140" s="19">
        <f>AVERAGE(B132:D139)</f>
        <v>58.609855428921584</v>
      </c>
      <c r="G140" s="13" t="s">
        <v>4</v>
      </c>
      <c r="H140" s="7">
        <v>23</v>
      </c>
      <c r="I140" s="14">
        <f>B143</f>
        <v>6601.9970193070476</v>
      </c>
      <c r="J140" s="14"/>
      <c r="K140" s="7" t="s">
        <v>25</v>
      </c>
      <c r="L140" s="20">
        <f>TINV(0.05,14)</f>
        <v>2.1447866879178044</v>
      </c>
      <c r="M140" s="7"/>
      <c r="N140" s="13" t="s">
        <v>14</v>
      </c>
      <c r="O140" s="12">
        <f>SQRT(J139/(3*2))</f>
        <v>7.4220904015975337</v>
      </c>
    </row>
    <row r="141" spans="1:15" x14ac:dyDescent="0.25">
      <c r="A141" s="6" t="s">
        <v>5</v>
      </c>
      <c r="B141" s="9">
        <f>B140/8</f>
        <v>54.926250882352946</v>
      </c>
      <c r="C141" s="9">
        <f>C140/8</f>
        <v>60.080029286764713</v>
      </c>
      <c r="D141" s="9">
        <f>D140/8</f>
        <v>60.823286117647065</v>
      </c>
      <c r="E141" s="14"/>
      <c r="F141" s="14"/>
      <c r="G141" s="13" t="s">
        <v>14</v>
      </c>
      <c r="H141" s="12">
        <f>SQRT(J139/3)</f>
        <v>10.496420907098404</v>
      </c>
      <c r="I141" s="7"/>
      <c r="J141" s="21"/>
      <c r="K141" s="7"/>
      <c r="L141" s="7"/>
      <c r="M141" s="7"/>
      <c r="N141" s="13" t="s">
        <v>16</v>
      </c>
      <c r="O141" s="12">
        <f>SQRT((2*J139)/(3*2))*L140</f>
        <v>22.512583832326783</v>
      </c>
    </row>
    <row r="142" spans="1:15" x14ac:dyDescent="0.25">
      <c r="A142" s="7" t="s">
        <v>26</v>
      </c>
      <c r="B142" s="15">
        <f>(E140*E140)/24</f>
        <v>82442.763681578086</v>
      </c>
      <c r="C142" s="14"/>
      <c r="D142" s="14"/>
      <c r="E142" s="14"/>
      <c r="F142" s="14"/>
      <c r="G142" s="13" t="s">
        <v>16</v>
      </c>
      <c r="H142" s="12">
        <f>(SQRT((2*J139)/3))*L140</f>
        <v>31.837601379737801</v>
      </c>
      <c r="I142" s="7"/>
      <c r="J142" s="7"/>
      <c r="K142" s="7"/>
      <c r="L142" s="7"/>
      <c r="M142" s="7"/>
      <c r="N142" s="7"/>
      <c r="O142" s="7"/>
    </row>
    <row r="143" spans="1:15" x14ac:dyDescent="0.25">
      <c r="A143" s="7" t="s">
        <v>27</v>
      </c>
      <c r="B143" s="15">
        <f>SUMSQ(B132:D139)-B142</f>
        <v>6601.9970193070476</v>
      </c>
      <c r="C143" s="7" t="s">
        <v>28</v>
      </c>
      <c r="D143" s="15">
        <f>(SUMSQ(B140:D140)/8)-B142</f>
        <v>165.03703233264969</v>
      </c>
      <c r="E143" s="14"/>
      <c r="F143" s="14"/>
      <c r="G143" s="13" t="s">
        <v>29</v>
      </c>
      <c r="H143" s="12">
        <f>((SQRT(J139))/F140)*100</f>
        <v>31.01924441832249</v>
      </c>
      <c r="I143" s="7"/>
      <c r="J143" s="21"/>
      <c r="K143" s="7"/>
      <c r="L143" s="7"/>
      <c r="M143" s="7"/>
      <c r="N143" s="7"/>
      <c r="O143" s="7"/>
    </row>
    <row r="144" spans="1:15" x14ac:dyDescent="0.25">
      <c r="A144" s="7" t="s">
        <v>30</v>
      </c>
      <c r="B144" s="15">
        <f>(SUMSQ(E132:E139)/3)-B142</f>
        <v>1809.6162088975543</v>
      </c>
      <c r="C144" s="7" t="s">
        <v>31</v>
      </c>
      <c r="D144" s="15">
        <f>B143-B144-D143</f>
        <v>4627.3437780768436</v>
      </c>
      <c r="E144" s="14"/>
      <c r="F144" s="14"/>
      <c r="G144" s="7"/>
      <c r="H144" s="7"/>
      <c r="I144" s="7"/>
      <c r="J144" s="7"/>
      <c r="K144" s="7"/>
      <c r="L144" s="7"/>
      <c r="M144" s="2"/>
      <c r="N144" s="7"/>
      <c r="O144" s="7"/>
    </row>
    <row r="146" spans="1:15" x14ac:dyDescent="0.25">
      <c r="A146" s="84" t="s">
        <v>62</v>
      </c>
      <c r="B146" s="85"/>
      <c r="C146" s="85"/>
      <c r="D146" s="22"/>
      <c r="E146" s="3"/>
      <c r="F146" s="3"/>
      <c r="G146" s="3"/>
      <c r="H146" s="3"/>
      <c r="I146" s="3"/>
      <c r="J146" s="3"/>
      <c r="K146" s="3"/>
      <c r="L146" s="3"/>
      <c r="M146" s="3"/>
      <c r="N146" s="5"/>
      <c r="O146" s="3"/>
    </row>
    <row r="147" spans="1:15" x14ac:dyDescent="0.25">
      <c r="A147" s="6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7"/>
      <c r="H147" s="7"/>
      <c r="I147" s="6" t="s">
        <v>6</v>
      </c>
      <c r="J147" s="7"/>
      <c r="K147" s="7"/>
      <c r="L147" s="7"/>
      <c r="M147" s="7"/>
      <c r="N147" s="88" t="s">
        <v>7</v>
      </c>
      <c r="O147" s="89"/>
    </row>
    <row r="148" spans="1:15" ht="15.75" x14ac:dyDescent="0.3">
      <c r="A148" s="6" t="s">
        <v>33</v>
      </c>
      <c r="B148" s="8">
        <v>82.589114086666669</v>
      </c>
      <c r="C148" s="8">
        <v>15.04743981</v>
      </c>
      <c r="D148" s="8">
        <v>24.61101266666666</v>
      </c>
      <c r="E148" s="9">
        <f t="shared" ref="E148:E155" si="28">SUM(B148:D148)</f>
        <v>122.24756656333332</v>
      </c>
      <c r="F148" s="10">
        <f t="shared" ref="F148:F155" si="29">E148/3</f>
        <v>40.749188854444441</v>
      </c>
      <c r="G148" s="7"/>
      <c r="H148" s="7"/>
      <c r="I148" s="7"/>
      <c r="J148" s="7"/>
      <c r="K148" s="7"/>
      <c r="L148" s="7"/>
      <c r="M148" s="7"/>
      <c r="N148" s="11">
        <v>1</v>
      </c>
      <c r="O148" s="12">
        <f>SUM(F148:F151)/4</f>
        <v>28.748472968611111</v>
      </c>
    </row>
    <row r="149" spans="1:15" x14ac:dyDescent="0.25">
      <c r="A149" s="6" t="s">
        <v>32</v>
      </c>
      <c r="B149" s="8">
        <v>37.844848620000015</v>
      </c>
      <c r="C149" s="8">
        <v>19.558810653333339</v>
      </c>
      <c r="D149" s="8">
        <v>14.566608400000007</v>
      </c>
      <c r="E149" s="9">
        <f t="shared" si="28"/>
        <v>71.970267673333353</v>
      </c>
      <c r="F149" s="10">
        <f t="shared" si="29"/>
        <v>23.99008922444445</v>
      </c>
      <c r="G149" s="7"/>
      <c r="H149" s="13" t="s">
        <v>8</v>
      </c>
      <c r="I149" s="13" t="s">
        <v>9</v>
      </c>
      <c r="J149" s="13" t="s">
        <v>10</v>
      </c>
      <c r="K149" s="13" t="s">
        <v>11</v>
      </c>
      <c r="L149" s="13" t="s">
        <v>12</v>
      </c>
      <c r="M149" s="7"/>
      <c r="N149" s="11">
        <v>0.75</v>
      </c>
      <c r="O149" s="12">
        <f>SUM(F152:F155)/4</f>
        <v>18.506592640000004</v>
      </c>
    </row>
    <row r="150" spans="1:15" ht="15.75" x14ac:dyDescent="0.3">
      <c r="A150" s="6" t="s">
        <v>34</v>
      </c>
      <c r="B150" s="8">
        <v>26.453227520000006</v>
      </c>
      <c r="C150" s="8">
        <v>33.79319816000001</v>
      </c>
      <c r="D150" s="8">
        <v>18.263815833333329</v>
      </c>
      <c r="E150" s="9">
        <f t="shared" si="28"/>
        <v>78.510241513333341</v>
      </c>
      <c r="F150" s="10">
        <f t="shared" si="29"/>
        <v>26.170080504444446</v>
      </c>
      <c r="G150" s="13" t="s">
        <v>13</v>
      </c>
      <c r="H150" s="7">
        <v>2</v>
      </c>
      <c r="I150" s="14">
        <f>D159</f>
        <v>358.83378057281334</v>
      </c>
      <c r="J150" s="14">
        <f t="shared" ref="J150:J155" si="30">I150/H150</f>
        <v>179.41689028640667</v>
      </c>
      <c r="K150" s="15">
        <f>J150/J155</f>
        <v>0.78794174045898457</v>
      </c>
      <c r="L150" s="14">
        <f>FINV(0.05,2,14)</f>
        <v>3.7388918324407361</v>
      </c>
      <c r="M150" s="1" t="str">
        <f>IF(K150&gt;=L150,"sig","ns")</f>
        <v>ns</v>
      </c>
      <c r="N150" s="13" t="s">
        <v>14</v>
      </c>
      <c r="O150" s="12">
        <f>SQRT(J155/(3*4))</f>
        <v>4.3560613313923122</v>
      </c>
    </row>
    <row r="151" spans="1:15" ht="15.75" x14ac:dyDescent="0.3">
      <c r="A151" s="6" t="s">
        <v>35</v>
      </c>
      <c r="B151" s="8">
        <v>24.198792093333342</v>
      </c>
      <c r="C151" s="8">
        <v>26.713226480000014</v>
      </c>
      <c r="D151" s="8">
        <v>21.341581300000001</v>
      </c>
      <c r="E151" s="9">
        <f t="shared" si="28"/>
        <v>72.253599873333357</v>
      </c>
      <c r="F151" s="10">
        <f t="shared" si="29"/>
        <v>24.084533291111118</v>
      </c>
      <c r="G151" s="13" t="s">
        <v>15</v>
      </c>
      <c r="H151" s="7">
        <v>7</v>
      </c>
      <c r="I151" s="14">
        <f>B160</f>
        <v>1329.5791117054141</v>
      </c>
      <c r="J151" s="14">
        <f t="shared" si="30"/>
        <v>189.93987310077344</v>
      </c>
      <c r="K151" s="15">
        <f>J151/J155</f>
        <v>0.83415532369708578</v>
      </c>
      <c r="L151" s="14">
        <f>FINV(0.05,7,14)</f>
        <v>2.7641992567781792</v>
      </c>
      <c r="M151" s="1" t="str">
        <f>IF(K151&gt;=L151,"sig","ns")</f>
        <v>ns</v>
      </c>
      <c r="N151" s="13" t="s">
        <v>16</v>
      </c>
      <c r="O151" s="12">
        <f>SQRT((2*J155)/(3*4))*L156</f>
        <v>13.212746085741376</v>
      </c>
    </row>
    <row r="152" spans="1:15" ht="15.75" x14ac:dyDescent="0.3">
      <c r="A152" s="6" t="s">
        <v>36</v>
      </c>
      <c r="B152" s="8">
        <v>0</v>
      </c>
      <c r="C152" s="8">
        <v>23.683516376666674</v>
      </c>
      <c r="D152" s="8">
        <v>16.878821373333338</v>
      </c>
      <c r="E152" s="9">
        <f t="shared" si="28"/>
        <v>40.562337750000012</v>
      </c>
      <c r="F152" s="10">
        <f t="shared" si="29"/>
        <v>13.520779250000004</v>
      </c>
      <c r="G152" s="7" t="s">
        <v>17</v>
      </c>
      <c r="H152" s="7">
        <v>1</v>
      </c>
      <c r="I152" s="14">
        <f>((E148+E149+E150+E151)^2+(E152+E153+E154+E155)^2)/12-B158</f>
        <v>629.37667599354063</v>
      </c>
      <c r="J152" s="14">
        <f t="shared" si="30"/>
        <v>629.37667599354063</v>
      </c>
      <c r="K152" s="15">
        <f>J152/J155</f>
        <v>2.7640215628250306</v>
      </c>
      <c r="L152" s="14">
        <f>FINV(0.05,1,14)</f>
        <v>4.6001099366694227</v>
      </c>
      <c r="M152" s="1" t="str">
        <f>IF(K152&gt;=L152,"sig","ns")</f>
        <v>ns</v>
      </c>
      <c r="N152" s="16" t="s">
        <v>18</v>
      </c>
      <c r="O152" s="12">
        <f>(F148+F152)/2</f>
        <v>27.134984052222222</v>
      </c>
    </row>
    <row r="153" spans="1:15" x14ac:dyDescent="0.25">
      <c r="A153" s="6" t="s">
        <v>37</v>
      </c>
      <c r="B153" s="8">
        <v>20.36102966666666</v>
      </c>
      <c r="C153" s="8">
        <v>11.408843253333334</v>
      </c>
      <c r="D153" s="8">
        <v>24.352124813333329</v>
      </c>
      <c r="E153" s="9">
        <f t="shared" si="28"/>
        <v>56.121997733333323</v>
      </c>
      <c r="F153" s="10">
        <f t="shared" si="29"/>
        <v>18.707332577777773</v>
      </c>
      <c r="G153" s="7" t="s">
        <v>19</v>
      </c>
      <c r="H153" s="7">
        <v>3</v>
      </c>
      <c r="I153" s="14">
        <f xml:space="preserve"> ((E148+E152)^2+(E149+E153)^2+(E150+E154)^2+(E151+E155)^2)/6-B158</f>
        <v>109.50594023772464</v>
      </c>
      <c r="J153" s="14">
        <f t="shared" si="30"/>
        <v>36.501980079241548</v>
      </c>
      <c r="K153" s="15">
        <f>J153/J155</f>
        <v>0.16030505081168409</v>
      </c>
      <c r="L153" s="14">
        <f>FINV(0.05,3,14)</f>
        <v>3.3438886781189128</v>
      </c>
      <c r="M153" s="1" t="str">
        <f>IF(K153&gt;=L153,"sig","ns")</f>
        <v>ns</v>
      </c>
      <c r="N153" s="16" t="s">
        <v>20</v>
      </c>
      <c r="O153" s="12">
        <f>(F149+F153)/2</f>
        <v>21.348710901111112</v>
      </c>
    </row>
    <row r="154" spans="1:15" ht="15.75" x14ac:dyDescent="0.3">
      <c r="A154" s="6" t="s">
        <v>38</v>
      </c>
      <c r="B154" s="8">
        <v>21.272692686666669</v>
      </c>
      <c r="C154" s="8">
        <v>14.728552196666671</v>
      </c>
      <c r="D154" s="8">
        <v>23.70073853000001</v>
      </c>
      <c r="E154" s="9">
        <f t="shared" si="28"/>
        <v>59.701983413333352</v>
      </c>
      <c r="F154" s="10">
        <f t="shared" si="29"/>
        <v>19.900661137777785</v>
      </c>
      <c r="G154" s="17" t="s">
        <v>21</v>
      </c>
      <c r="H154" s="18">
        <v>3</v>
      </c>
      <c r="I154" s="14">
        <f>(I151-(I152+I153))</f>
        <v>590.69649547414883</v>
      </c>
      <c r="J154" s="14">
        <f t="shared" si="30"/>
        <v>196.89883182471627</v>
      </c>
      <c r="K154" s="15">
        <f>J154/J155</f>
        <v>0.86471685020650602</v>
      </c>
      <c r="L154" s="14">
        <f>FINV(0.05,3,14)</f>
        <v>3.3438886781189128</v>
      </c>
      <c r="M154" s="1" t="str">
        <f>IF(K154&gt;=L154,"sig","ns")</f>
        <v>ns</v>
      </c>
      <c r="N154" s="16" t="s">
        <v>22</v>
      </c>
      <c r="O154" s="12">
        <f>(F150+F154)/2</f>
        <v>23.035370821111115</v>
      </c>
    </row>
    <row r="155" spans="1:15" ht="15.75" x14ac:dyDescent="0.3">
      <c r="A155" s="6" t="s">
        <v>39</v>
      </c>
      <c r="B155" s="8">
        <v>19.967420130000008</v>
      </c>
      <c r="C155" s="8">
        <v>24.542124053333335</v>
      </c>
      <c r="D155" s="8">
        <v>21.18324860000001</v>
      </c>
      <c r="E155" s="9">
        <f t="shared" si="28"/>
        <v>65.69279278333336</v>
      </c>
      <c r="F155" s="10">
        <f t="shared" si="29"/>
        <v>21.897597594444452</v>
      </c>
      <c r="G155" s="13" t="s">
        <v>23</v>
      </c>
      <c r="H155" s="7">
        <v>14</v>
      </c>
      <c r="I155" s="14">
        <f>D160</f>
        <v>3187.8454142390292</v>
      </c>
      <c r="J155" s="14">
        <f t="shared" si="30"/>
        <v>227.70324387421638</v>
      </c>
      <c r="K155" s="14"/>
      <c r="L155" s="14"/>
      <c r="M155" s="7"/>
      <c r="N155" s="16" t="s">
        <v>24</v>
      </c>
      <c r="O155" s="12">
        <f>(F151+F155)/2</f>
        <v>22.991065442777785</v>
      </c>
    </row>
    <row r="156" spans="1:15" x14ac:dyDescent="0.25">
      <c r="A156" s="6" t="s">
        <v>4</v>
      </c>
      <c r="B156" s="9">
        <f>SUM(B148:B155)</f>
        <v>232.68712480333335</v>
      </c>
      <c r="C156" s="9">
        <f>SUM(C148:C155)</f>
        <v>169.47571098333339</v>
      </c>
      <c r="D156" s="9">
        <f>SUM(D148:D155)</f>
        <v>164.89795151666669</v>
      </c>
      <c r="E156" s="15">
        <f>SUM(E148:E155)</f>
        <v>567.06078730333354</v>
      </c>
      <c r="F156" s="19">
        <f>AVERAGE(B148:D155)</f>
        <v>23.627532804305556</v>
      </c>
      <c r="G156" s="13" t="s">
        <v>4</v>
      </c>
      <c r="H156" s="7">
        <v>23</v>
      </c>
      <c r="I156" s="14">
        <f>B159</f>
        <v>4876.2583065172566</v>
      </c>
      <c r="J156" s="14"/>
      <c r="K156" s="7" t="s">
        <v>25</v>
      </c>
      <c r="L156" s="20">
        <f>TINV(0.05,14)</f>
        <v>2.1447866879178044</v>
      </c>
      <c r="M156" s="7"/>
      <c r="N156" s="13" t="s">
        <v>14</v>
      </c>
      <c r="O156" s="12">
        <f>SQRT(J155/(3*2))</f>
        <v>6.1604010133840097</v>
      </c>
    </row>
    <row r="157" spans="1:15" x14ac:dyDescent="0.25">
      <c r="A157" s="6" t="s">
        <v>5</v>
      </c>
      <c r="B157" s="9">
        <f>B156/8</f>
        <v>29.085890600416668</v>
      </c>
      <c r="C157" s="9">
        <f>C156/8</f>
        <v>21.184463872916673</v>
      </c>
      <c r="D157" s="9">
        <f>D156/8</f>
        <v>20.612243939583337</v>
      </c>
      <c r="E157" s="14"/>
      <c r="F157" s="14"/>
      <c r="G157" s="13" t="s">
        <v>14</v>
      </c>
      <c r="H157" s="12">
        <f>SQRT(J155/3)</f>
        <v>8.7121226627846244</v>
      </c>
      <c r="I157" s="7"/>
      <c r="J157" s="21"/>
      <c r="K157" s="7"/>
      <c r="L157" s="7"/>
      <c r="M157" s="7"/>
      <c r="N157" s="13" t="s">
        <v>16</v>
      </c>
      <c r="O157" s="12">
        <f>SQRT((2*J155)/(3*2))*L156</f>
        <v>18.685644710647477</v>
      </c>
    </row>
    <row r="158" spans="1:15" x14ac:dyDescent="0.25">
      <c r="A158" s="7" t="s">
        <v>26</v>
      </c>
      <c r="B158" s="15">
        <f>(E156*E156)/24</f>
        <v>13398.247354044854</v>
      </c>
      <c r="C158" s="14"/>
      <c r="D158" s="14"/>
      <c r="E158" s="14"/>
      <c r="F158" s="14"/>
      <c r="G158" s="13" t="s">
        <v>16</v>
      </c>
      <c r="H158" s="12">
        <f>(SQRT((2*J155)/3))*L156</f>
        <v>26.425492171482752</v>
      </c>
      <c r="I158" s="7"/>
      <c r="J158" s="7"/>
      <c r="K158" s="7"/>
      <c r="L158" s="7"/>
      <c r="M158" s="7"/>
      <c r="N158" s="7"/>
      <c r="O158" s="7"/>
    </row>
    <row r="159" spans="1:15" x14ac:dyDescent="0.25">
      <c r="A159" s="7" t="s">
        <v>27</v>
      </c>
      <c r="B159" s="15">
        <f>SUMSQ(B148:D155)-B158</f>
        <v>4876.2583065172566</v>
      </c>
      <c r="C159" s="7" t="s">
        <v>28</v>
      </c>
      <c r="D159" s="15">
        <f>(SUMSQ(B156:D156)/8)-B158</f>
        <v>358.83378057281334</v>
      </c>
      <c r="E159" s="14"/>
      <c r="F159" s="14"/>
      <c r="G159" s="13" t="s">
        <v>29</v>
      </c>
      <c r="H159" s="12">
        <f>((SQRT(J155))/F156)*100</f>
        <v>63.865487855615058</v>
      </c>
      <c r="I159" s="7"/>
      <c r="J159" s="21"/>
      <c r="K159" s="7"/>
      <c r="L159" s="7"/>
      <c r="M159" s="7"/>
      <c r="N159" s="7"/>
      <c r="O159" s="7"/>
    </row>
    <row r="160" spans="1:15" x14ac:dyDescent="0.25">
      <c r="A160" s="7" t="s">
        <v>30</v>
      </c>
      <c r="B160" s="15">
        <f>(SUMSQ(E148:E155)/3)-B158</f>
        <v>1329.5791117054141</v>
      </c>
      <c r="C160" s="7" t="s">
        <v>31</v>
      </c>
      <c r="D160" s="15">
        <f>B159-B160-D159</f>
        <v>3187.8454142390292</v>
      </c>
      <c r="E160" s="14"/>
      <c r="F160" s="14"/>
      <c r="G160" s="7"/>
      <c r="H160" s="7"/>
      <c r="I160" s="7"/>
      <c r="J160" s="7"/>
      <c r="K160" s="7"/>
      <c r="L160" s="7"/>
      <c r="M160" s="2"/>
      <c r="N160" s="7"/>
      <c r="O160" s="7"/>
    </row>
    <row r="162" spans="1:15" x14ac:dyDescent="0.25">
      <c r="A162" s="84" t="s">
        <v>63</v>
      </c>
      <c r="B162" s="85"/>
      <c r="C162" s="85"/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5"/>
      <c r="O162" s="3"/>
    </row>
    <row r="163" spans="1:15" x14ac:dyDescent="0.25">
      <c r="A163" s="6" t="s">
        <v>0</v>
      </c>
      <c r="B163" s="6" t="s">
        <v>1</v>
      </c>
      <c r="C163" s="6" t="s">
        <v>2</v>
      </c>
      <c r="D163" s="6" t="s">
        <v>3</v>
      </c>
      <c r="E163" s="6" t="s">
        <v>4</v>
      </c>
      <c r="F163" s="6" t="s">
        <v>5</v>
      </c>
      <c r="G163" s="7"/>
      <c r="H163" s="7"/>
      <c r="I163" s="6" t="s">
        <v>6</v>
      </c>
      <c r="J163" s="7"/>
      <c r="K163" s="7"/>
      <c r="L163" s="7"/>
      <c r="M163" s="7"/>
      <c r="N163" s="88" t="s">
        <v>7</v>
      </c>
      <c r="O163" s="89"/>
    </row>
    <row r="164" spans="1:15" ht="15.75" x14ac:dyDescent="0.3">
      <c r="A164" s="6" t="s">
        <v>33</v>
      </c>
      <c r="B164" s="8"/>
      <c r="C164" s="8"/>
      <c r="D164" s="8"/>
      <c r="E164" s="9">
        <f t="shared" ref="E164:E171" si="31">SUM(B164:D164)</f>
        <v>0</v>
      </c>
      <c r="F164" s="10">
        <f t="shared" ref="F164:F171" si="32">E164/3</f>
        <v>0</v>
      </c>
      <c r="G164" s="7"/>
      <c r="H164" s="7"/>
      <c r="I164" s="7"/>
      <c r="J164" s="7"/>
      <c r="K164" s="7"/>
      <c r="L164" s="7"/>
      <c r="M164" s="7"/>
      <c r="N164" s="11">
        <v>1</v>
      </c>
      <c r="O164" s="12">
        <f>SUM(F164:F167)/4</f>
        <v>0</v>
      </c>
    </row>
    <row r="165" spans="1:15" x14ac:dyDescent="0.25">
      <c r="A165" s="6" t="s">
        <v>32</v>
      </c>
      <c r="B165" s="8"/>
      <c r="C165" s="8"/>
      <c r="D165" s="8"/>
      <c r="E165" s="9">
        <f t="shared" si="31"/>
        <v>0</v>
      </c>
      <c r="F165" s="10">
        <f t="shared" si="32"/>
        <v>0</v>
      </c>
      <c r="G165" s="7"/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7"/>
      <c r="N165" s="11">
        <v>0.75</v>
      </c>
      <c r="O165" s="12">
        <f>SUM(F168:F171)/4</f>
        <v>0</v>
      </c>
    </row>
    <row r="166" spans="1:15" ht="15.75" x14ac:dyDescent="0.3">
      <c r="A166" s="6" t="s">
        <v>34</v>
      </c>
      <c r="B166" s="8"/>
      <c r="C166" s="8"/>
      <c r="D166" s="8"/>
      <c r="E166" s="9">
        <f t="shared" si="31"/>
        <v>0</v>
      </c>
      <c r="F166" s="10">
        <f t="shared" si="32"/>
        <v>0</v>
      </c>
      <c r="G166" s="13" t="s">
        <v>13</v>
      </c>
      <c r="H166" s="7">
        <v>2</v>
      </c>
      <c r="I166" s="14">
        <f>D175</f>
        <v>0</v>
      </c>
      <c r="J166" s="14">
        <f t="shared" ref="J166:J171" si="33">I166/H166</f>
        <v>0</v>
      </c>
      <c r="K166" s="15" t="e">
        <f>J166/J171</f>
        <v>#DIV/0!</v>
      </c>
      <c r="L166" s="14">
        <f>FINV(0.05,2,14)</f>
        <v>3.7388918324407361</v>
      </c>
      <c r="M166" s="1" t="e">
        <f>IF(K166&gt;=L166,"sig","ns")</f>
        <v>#DIV/0!</v>
      </c>
      <c r="N166" s="13" t="s">
        <v>14</v>
      </c>
      <c r="O166" s="12">
        <f>SQRT(J171/(3*4))</f>
        <v>0</v>
      </c>
    </row>
    <row r="167" spans="1:15" ht="15.75" x14ac:dyDescent="0.3">
      <c r="A167" s="6" t="s">
        <v>35</v>
      </c>
      <c r="B167" s="8"/>
      <c r="C167" s="8"/>
      <c r="D167" s="8"/>
      <c r="E167" s="9">
        <f t="shared" si="31"/>
        <v>0</v>
      </c>
      <c r="F167" s="10">
        <f t="shared" si="32"/>
        <v>0</v>
      </c>
      <c r="G167" s="13" t="s">
        <v>15</v>
      </c>
      <c r="H167" s="7">
        <v>7</v>
      </c>
      <c r="I167" s="14">
        <f>B176</f>
        <v>0</v>
      </c>
      <c r="J167" s="14">
        <f t="shared" si="33"/>
        <v>0</v>
      </c>
      <c r="K167" s="15" t="e">
        <f>J167/J171</f>
        <v>#DIV/0!</v>
      </c>
      <c r="L167" s="14">
        <f>FINV(0.05,7,14)</f>
        <v>2.7641992567781792</v>
      </c>
      <c r="M167" s="1" t="e">
        <f>IF(K167&gt;=L167,"sig","ns")</f>
        <v>#DIV/0!</v>
      </c>
      <c r="N167" s="13" t="s">
        <v>16</v>
      </c>
      <c r="O167" s="12">
        <f>SQRT((2*J171)/(3*4))*L172</f>
        <v>0</v>
      </c>
    </row>
    <row r="168" spans="1:15" ht="15.75" x14ac:dyDescent="0.3">
      <c r="A168" s="6" t="s">
        <v>36</v>
      </c>
      <c r="B168" s="8"/>
      <c r="C168" s="8"/>
      <c r="D168" s="8"/>
      <c r="E168" s="9">
        <f t="shared" si="31"/>
        <v>0</v>
      </c>
      <c r="F168" s="10">
        <f t="shared" si="32"/>
        <v>0</v>
      </c>
      <c r="G168" s="7" t="s">
        <v>17</v>
      </c>
      <c r="H168" s="7">
        <v>1</v>
      </c>
      <c r="I168" s="14">
        <f>((E164+E165+E166+E167)^2+(E168+E169+E170+E171)^2)/12-B174</f>
        <v>0</v>
      </c>
      <c r="J168" s="14">
        <f t="shared" si="33"/>
        <v>0</v>
      </c>
      <c r="K168" s="15" t="e">
        <f>J168/J171</f>
        <v>#DIV/0!</v>
      </c>
      <c r="L168" s="14">
        <f>FINV(0.05,1,14)</f>
        <v>4.6001099366694227</v>
      </c>
      <c r="M168" s="1" t="e">
        <f>IF(K168&gt;=L168,"sig","ns")</f>
        <v>#DIV/0!</v>
      </c>
      <c r="N168" s="16" t="s">
        <v>18</v>
      </c>
      <c r="O168" s="12">
        <f>(F164+F168)/2</f>
        <v>0</v>
      </c>
    </row>
    <row r="169" spans="1:15" x14ac:dyDescent="0.25">
      <c r="A169" s="6" t="s">
        <v>37</v>
      </c>
      <c r="B169" s="8"/>
      <c r="C169" s="8"/>
      <c r="D169" s="8"/>
      <c r="E169" s="9">
        <f t="shared" si="31"/>
        <v>0</v>
      </c>
      <c r="F169" s="10">
        <f t="shared" si="32"/>
        <v>0</v>
      </c>
      <c r="G169" s="7" t="s">
        <v>19</v>
      </c>
      <c r="H169" s="7">
        <v>3</v>
      </c>
      <c r="I169" s="14">
        <f xml:space="preserve"> ((E164+E168)^2+(E165+E169)^2+(E166+E170)^2+(E167+E171)^2)/6-B174</f>
        <v>0</v>
      </c>
      <c r="J169" s="14">
        <f t="shared" si="33"/>
        <v>0</v>
      </c>
      <c r="K169" s="15" t="e">
        <f>J169/J171</f>
        <v>#DIV/0!</v>
      </c>
      <c r="L169" s="14">
        <f>FINV(0.05,3,14)</f>
        <v>3.3438886781189128</v>
      </c>
      <c r="M169" s="1" t="e">
        <f>IF(K169&gt;=L169,"sig","ns")</f>
        <v>#DIV/0!</v>
      </c>
      <c r="N169" s="16" t="s">
        <v>20</v>
      </c>
      <c r="O169" s="12">
        <f>(F165+F169)/2</f>
        <v>0</v>
      </c>
    </row>
    <row r="170" spans="1:15" ht="15.75" x14ac:dyDescent="0.3">
      <c r="A170" s="6" t="s">
        <v>38</v>
      </c>
      <c r="B170" s="8"/>
      <c r="C170" s="8"/>
      <c r="D170" s="8"/>
      <c r="E170" s="9">
        <f t="shared" si="31"/>
        <v>0</v>
      </c>
      <c r="F170" s="10">
        <f t="shared" si="32"/>
        <v>0</v>
      </c>
      <c r="G170" s="17" t="s">
        <v>21</v>
      </c>
      <c r="H170" s="18">
        <v>3</v>
      </c>
      <c r="I170" s="14">
        <f>(I167-(I168+I169))</f>
        <v>0</v>
      </c>
      <c r="J170" s="14">
        <f t="shared" si="33"/>
        <v>0</v>
      </c>
      <c r="K170" s="15" t="e">
        <f>J170/J171</f>
        <v>#DIV/0!</v>
      </c>
      <c r="L170" s="14">
        <f>FINV(0.05,3,14)</f>
        <v>3.3438886781189128</v>
      </c>
      <c r="M170" s="1" t="e">
        <f>IF(K170&gt;=L170,"sig","ns")</f>
        <v>#DIV/0!</v>
      </c>
      <c r="N170" s="16" t="s">
        <v>22</v>
      </c>
      <c r="O170" s="12">
        <f>(F166+F170)/2</f>
        <v>0</v>
      </c>
    </row>
    <row r="171" spans="1:15" ht="15.75" x14ac:dyDescent="0.3">
      <c r="A171" s="6" t="s">
        <v>39</v>
      </c>
      <c r="B171" s="8"/>
      <c r="C171" s="8"/>
      <c r="D171" s="8"/>
      <c r="E171" s="9">
        <f t="shared" si="31"/>
        <v>0</v>
      </c>
      <c r="F171" s="10">
        <f t="shared" si="32"/>
        <v>0</v>
      </c>
      <c r="G171" s="13" t="s">
        <v>23</v>
      </c>
      <c r="H171" s="7">
        <v>14</v>
      </c>
      <c r="I171" s="14">
        <f>D176</f>
        <v>0</v>
      </c>
      <c r="J171" s="14">
        <f t="shared" si="33"/>
        <v>0</v>
      </c>
      <c r="K171" s="14"/>
      <c r="L171" s="14"/>
      <c r="M171" s="7"/>
      <c r="N171" s="16" t="s">
        <v>24</v>
      </c>
      <c r="O171" s="12">
        <f>(F167+F171)/2</f>
        <v>0</v>
      </c>
    </row>
    <row r="172" spans="1:15" x14ac:dyDescent="0.25">
      <c r="A172" s="6" t="s">
        <v>4</v>
      </c>
      <c r="B172" s="9">
        <f>SUM(B164:B171)</f>
        <v>0</v>
      </c>
      <c r="C172" s="9">
        <f>SUM(C164:C171)</f>
        <v>0</v>
      </c>
      <c r="D172" s="9">
        <f>SUM(D164:D171)</f>
        <v>0</v>
      </c>
      <c r="E172" s="15">
        <f>SUM(E164:E171)</f>
        <v>0</v>
      </c>
      <c r="F172" s="19" t="e">
        <f>AVERAGE(B164:D171)</f>
        <v>#DIV/0!</v>
      </c>
      <c r="G172" s="13" t="s">
        <v>4</v>
      </c>
      <c r="H172" s="7">
        <v>23</v>
      </c>
      <c r="I172" s="14">
        <f>B175</f>
        <v>0</v>
      </c>
      <c r="J172" s="14"/>
      <c r="K172" s="7" t="s">
        <v>25</v>
      </c>
      <c r="L172" s="20">
        <f>TINV(0.05,14)</f>
        <v>2.1447866879178044</v>
      </c>
      <c r="M172" s="7"/>
      <c r="N172" s="13" t="s">
        <v>14</v>
      </c>
      <c r="O172" s="12">
        <f>SQRT(J171/(3*2))</f>
        <v>0</v>
      </c>
    </row>
    <row r="173" spans="1:15" x14ac:dyDescent="0.25">
      <c r="A173" s="6" t="s">
        <v>5</v>
      </c>
      <c r="B173" s="9">
        <f>B172/8</f>
        <v>0</v>
      </c>
      <c r="C173" s="9">
        <f>C172/8</f>
        <v>0</v>
      </c>
      <c r="D173" s="9">
        <f>D172/8</f>
        <v>0</v>
      </c>
      <c r="E173" s="14"/>
      <c r="F173" s="14"/>
      <c r="G173" s="13" t="s">
        <v>14</v>
      </c>
      <c r="H173" s="12">
        <f>SQRT(J171/3)</f>
        <v>0</v>
      </c>
      <c r="I173" s="7"/>
      <c r="J173" s="21"/>
      <c r="K173" s="7"/>
      <c r="L173" s="7"/>
      <c r="M173" s="7"/>
      <c r="N173" s="13" t="s">
        <v>16</v>
      </c>
      <c r="O173" s="12">
        <f>SQRT((2*J171)/(3*2))*L172</f>
        <v>0</v>
      </c>
    </row>
    <row r="174" spans="1:15" x14ac:dyDescent="0.25">
      <c r="A174" s="7" t="s">
        <v>26</v>
      </c>
      <c r="B174" s="15">
        <f>(E172*E172)/24</f>
        <v>0</v>
      </c>
      <c r="C174" s="14"/>
      <c r="D174" s="14"/>
      <c r="E174" s="14"/>
      <c r="F174" s="14"/>
      <c r="G174" s="13" t="s">
        <v>16</v>
      </c>
      <c r="H174" s="12">
        <f>(SQRT((2*J171)/3))*L172</f>
        <v>0</v>
      </c>
      <c r="I174" s="7"/>
      <c r="J174" s="7"/>
      <c r="K174" s="7"/>
      <c r="L174" s="7"/>
      <c r="M174" s="7"/>
      <c r="N174" s="7"/>
      <c r="O174" s="7"/>
    </row>
    <row r="175" spans="1:15" x14ac:dyDescent="0.25">
      <c r="A175" s="7" t="s">
        <v>27</v>
      </c>
      <c r="B175" s="15">
        <f>SUMSQ(B164:D171)-B174</f>
        <v>0</v>
      </c>
      <c r="C175" s="7" t="s">
        <v>28</v>
      </c>
      <c r="D175" s="15">
        <f>(SUMSQ(B172:D172)/8)-B174</f>
        <v>0</v>
      </c>
      <c r="E175" s="14"/>
      <c r="F175" s="14"/>
      <c r="G175" s="13" t="s">
        <v>29</v>
      </c>
      <c r="H175" s="12" t="e">
        <f>((SQRT(J171))/F172)*100</f>
        <v>#DIV/0!</v>
      </c>
      <c r="I175" s="7"/>
      <c r="J175" s="21"/>
      <c r="K175" s="7"/>
      <c r="L175" s="7"/>
      <c r="M175" s="7"/>
      <c r="N175" s="7"/>
      <c r="O175" s="7"/>
    </row>
    <row r="176" spans="1:15" x14ac:dyDescent="0.25">
      <c r="A176" s="7" t="s">
        <v>30</v>
      </c>
      <c r="B176" s="15">
        <f>(SUMSQ(E164:E171)/3)-B174</f>
        <v>0</v>
      </c>
      <c r="C176" s="7" t="s">
        <v>31</v>
      </c>
      <c r="D176" s="15">
        <f>B175-B176-D175</f>
        <v>0</v>
      </c>
      <c r="E176" s="14"/>
      <c r="F176" s="14"/>
      <c r="G176" s="7"/>
      <c r="H176" s="7"/>
      <c r="I176" s="7"/>
      <c r="J176" s="7"/>
      <c r="K176" s="7"/>
      <c r="L176" s="7"/>
      <c r="M176" s="2"/>
      <c r="N176" s="7"/>
      <c r="O176" s="7"/>
    </row>
    <row r="178" spans="1:15" x14ac:dyDescent="0.25">
      <c r="A178" s="84" t="s">
        <v>84</v>
      </c>
      <c r="B178" s="85"/>
      <c r="C178" s="85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5"/>
      <c r="O178" s="3"/>
    </row>
    <row r="179" spans="1:15" x14ac:dyDescent="0.25">
      <c r="A179" s="6" t="s">
        <v>0</v>
      </c>
      <c r="B179" s="6" t="s">
        <v>1</v>
      </c>
      <c r="C179" s="6" t="s">
        <v>2</v>
      </c>
      <c r="D179" s="6" t="s">
        <v>3</v>
      </c>
      <c r="E179" s="6" t="s">
        <v>4</v>
      </c>
      <c r="F179" s="6" t="s">
        <v>5</v>
      </c>
      <c r="G179" s="7"/>
      <c r="H179" s="7"/>
      <c r="I179" s="6" t="s">
        <v>6</v>
      </c>
      <c r="J179" s="7"/>
      <c r="K179" s="7"/>
      <c r="L179" s="7"/>
      <c r="M179" s="7"/>
      <c r="N179" s="88" t="s">
        <v>7</v>
      </c>
      <c r="O179" s="89"/>
    </row>
    <row r="180" spans="1:15" ht="15.75" x14ac:dyDescent="0.3">
      <c r="A180" s="6" t="s">
        <v>33</v>
      </c>
      <c r="B180" s="8">
        <f>B148+B164</f>
        <v>82.589114086666669</v>
      </c>
      <c r="C180" s="8">
        <f>C148+C164</f>
        <v>15.04743981</v>
      </c>
      <c r="D180" s="8">
        <f>D148+D164</f>
        <v>24.61101266666666</v>
      </c>
      <c r="E180" s="9">
        <f t="shared" ref="E180:E187" si="34">SUM(B180:D180)</f>
        <v>122.24756656333332</v>
      </c>
      <c r="F180" s="10">
        <f t="shared" ref="F180:F187" si="35">E180/3</f>
        <v>40.749188854444441</v>
      </c>
      <c r="G180" s="7"/>
      <c r="H180" s="7"/>
      <c r="I180" s="7"/>
      <c r="J180" s="7"/>
      <c r="K180" s="7"/>
      <c r="L180" s="7"/>
      <c r="M180" s="7"/>
      <c r="N180" s="11">
        <v>1</v>
      </c>
      <c r="O180" s="12">
        <f>SUM(F180:F183)/4</f>
        <v>28.748472968611111</v>
      </c>
    </row>
    <row r="181" spans="1:15" x14ac:dyDescent="0.25">
      <c r="A181" s="6" t="s">
        <v>32</v>
      </c>
      <c r="B181" s="8">
        <f t="shared" ref="B181:D187" si="36">B149+B165</f>
        <v>37.844848620000015</v>
      </c>
      <c r="C181" s="8">
        <f t="shared" si="36"/>
        <v>19.558810653333339</v>
      </c>
      <c r="D181" s="8">
        <f t="shared" si="36"/>
        <v>14.566608400000007</v>
      </c>
      <c r="E181" s="9">
        <f t="shared" si="34"/>
        <v>71.970267673333353</v>
      </c>
      <c r="F181" s="10">
        <f t="shared" si="35"/>
        <v>23.99008922444445</v>
      </c>
      <c r="G181" s="7"/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7"/>
      <c r="N181" s="11">
        <v>0.75</v>
      </c>
      <c r="O181" s="12">
        <f>SUM(F184:F187)/4</f>
        <v>18.506592640000004</v>
      </c>
    </row>
    <row r="182" spans="1:15" ht="15.75" x14ac:dyDescent="0.3">
      <c r="A182" s="6" t="s">
        <v>34</v>
      </c>
      <c r="B182" s="8">
        <f t="shared" si="36"/>
        <v>26.453227520000006</v>
      </c>
      <c r="C182" s="8">
        <f t="shared" si="36"/>
        <v>33.79319816000001</v>
      </c>
      <c r="D182" s="8">
        <f t="shared" si="36"/>
        <v>18.263815833333329</v>
      </c>
      <c r="E182" s="9">
        <f t="shared" si="34"/>
        <v>78.510241513333341</v>
      </c>
      <c r="F182" s="10">
        <f t="shared" si="35"/>
        <v>26.170080504444446</v>
      </c>
      <c r="G182" s="13" t="s">
        <v>13</v>
      </c>
      <c r="H182" s="7">
        <v>2</v>
      </c>
      <c r="I182" s="14">
        <f>D191</f>
        <v>358.83378057281334</v>
      </c>
      <c r="J182" s="14">
        <f t="shared" ref="J182:J187" si="37">I182/H182</f>
        <v>179.41689028640667</v>
      </c>
      <c r="K182" s="15">
        <f>J182/J187</f>
        <v>0.78794174045898457</v>
      </c>
      <c r="L182" s="14">
        <f>FINV(0.05,2,14)</f>
        <v>3.7388918324407361</v>
      </c>
      <c r="M182" s="1" t="str">
        <f>IF(K182&gt;=L182,"sig","ns")</f>
        <v>ns</v>
      </c>
      <c r="N182" s="13" t="s">
        <v>14</v>
      </c>
      <c r="O182" s="12">
        <f>SQRT(J187/(3*4))</f>
        <v>4.3560613313923122</v>
      </c>
    </row>
    <row r="183" spans="1:15" ht="15.75" x14ac:dyDescent="0.3">
      <c r="A183" s="6" t="s">
        <v>35</v>
      </c>
      <c r="B183" s="8">
        <f t="shared" si="36"/>
        <v>24.198792093333342</v>
      </c>
      <c r="C183" s="8">
        <f t="shared" si="36"/>
        <v>26.713226480000014</v>
      </c>
      <c r="D183" s="8">
        <f t="shared" si="36"/>
        <v>21.341581300000001</v>
      </c>
      <c r="E183" s="9">
        <f t="shared" si="34"/>
        <v>72.253599873333357</v>
      </c>
      <c r="F183" s="10">
        <f t="shared" si="35"/>
        <v>24.084533291111118</v>
      </c>
      <c r="G183" s="13" t="s">
        <v>15</v>
      </c>
      <c r="H183" s="7">
        <v>7</v>
      </c>
      <c r="I183" s="14">
        <f>B192</f>
        <v>1329.5791117054141</v>
      </c>
      <c r="J183" s="14">
        <f t="shared" si="37"/>
        <v>189.93987310077344</v>
      </c>
      <c r="K183" s="15">
        <f>J183/J187</f>
        <v>0.83415532369708578</v>
      </c>
      <c r="L183" s="14">
        <f>FINV(0.05,7,14)</f>
        <v>2.7641992567781792</v>
      </c>
      <c r="M183" s="1" t="str">
        <f>IF(K183&gt;=L183,"sig","ns")</f>
        <v>ns</v>
      </c>
      <c r="N183" s="13" t="s">
        <v>16</v>
      </c>
      <c r="O183" s="12">
        <f>SQRT((2*J187)/(3*4))*L188</f>
        <v>13.212746085741376</v>
      </c>
    </row>
    <row r="184" spans="1:15" ht="15.75" x14ac:dyDescent="0.3">
      <c r="A184" s="6" t="s">
        <v>36</v>
      </c>
      <c r="B184" s="8">
        <v>0</v>
      </c>
      <c r="C184" s="8">
        <f t="shared" si="36"/>
        <v>23.683516376666674</v>
      </c>
      <c r="D184" s="8">
        <f t="shared" si="36"/>
        <v>16.878821373333338</v>
      </c>
      <c r="E184" s="9">
        <f t="shared" si="34"/>
        <v>40.562337750000012</v>
      </c>
      <c r="F184" s="10">
        <f t="shared" si="35"/>
        <v>13.520779250000004</v>
      </c>
      <c r="G184" s="7" t="s">
        <v>17</v>
      </c>
      <c r="H184" s="7">
        <v>1</v>
      </c>
      <c r="I184" s="14">
        <f>((E180+E181+E182+E183)^2+(E184+E185+E186+E187)^2)/12-B190</f>
        <v>629.37667599354063</v>
      </c>
      <c r="J184" s="14">
        <f t="shared" si="37"/>
        <v>629.37667599354063</v>
      </c>
      <c r="K184" s="15">
        <f>J184/J187</f>
        <v>2.7640215628250306</v>
      </c>
      <c r="L184" s="14">
        <f>FINV(0.05,1,14)</f>
        <v>4.6001099366694227</v>
      </c>
      <c r="M184" s="1" t="str">
        <f>IF(K184&gt;=L184,"sig","ns")</f>
        <v>ns</v>
      </c>
      <c r="N184" s="16" t="s">
        <v>18</v>
      </c>
      <c r="O184" s="12">
        <f>(F180+F184)/2</f>
        <v>27.134984052222222</v>
      </c>
    </row>
    <row r="185" spans="1:15" x14ac:dyDescent="0.25">
      <c r="A185" s="6" t="s">
        <v>37</v>
      </c>
      <c r="B185" s="8">
        <f t="shared" si="36"/>
        <v>20.36102966666666</v>
      </c>
      <c r="C185" s="8">
        <f t="shared" si="36"/>
        <v>11.408843253333334</v>
      </c>
      <c r="D185" s="8">
        <f t="shared" si="36"/>
        <v>24.352124813333329</v>
      </c>
      <c r="E185" s="9">
        <f t="shared" si="34"/>
        <v>56.121997733333323</v>
      </c>
      <c r="F185" s="10">
        <f t="shared" si="35"/>
        <v>18.707332577777773</v>
      </c>
      <c r="G185" s="7" t="s">
        <v>19</v>
      </c>
      <c r="H185" s="7">
        <v>3</v>
      </c>
      <c r="I185" s="14">
        <f xml:space="preserve"> ((E180+E184)^2+(E181+E185)^2+(E182+E186)^2+(E183+E187)^2)/6-B190</f>
        <v>109.50594023772464</v>
      </c>
      <c r="J185" s="14">
        <f t="shared" si="37"/>
        <v>36.501980079241548</v>
      </c>
      <c r="K185" s="15">
        <f>J185/J187</f>
        <v>0.16030505081168409</v>
      </c>
      <c r="L185" s="14">
        <f>FINV(0.05,3,14)</f>
        <v>3.3438886781189128</v>
      </c>
      <c r="M185" s="1" t="str">
        <f>IF(K185&gt;=L185,"sig","ns")</f>
        <v>ns</v>
      </c>
      <c r="N185" s="16" t="s">
        <v>20</v>
      </c>
      <c r="O185" s="12">
        <f>(F181+F185)/2</f>
        <v>21.348710901111112</v>
      </c>
    </row>
    <row r="186" spans="1:15" ht="15.75" x14ac:dyDescent="0.3">
      <c r="A186" s="6" t="s">
        <v>38</v>
      </c>
      <c r="B186" s="8">
        <f t="shared" si="36"/>
        <v>21.272692686666669</v>
      </c>
      <c r="C186" s="8">
        <f t="shared" si="36"/>
        <v>14.728552196666671</v>
      </c>
      <c r="D186" s="8">
        <f t="shared" si="36"/>
        <v>23.70073853000001</v>
      </c>
      <c r="E186" s="9">
        <f t="shared" si="34"/>
        <v>59.701983413333352</v>
      </c>
      <c r="F186" s="10">
        <f t="shared" si="35"/>
        <v>19.900661137777785</v>
      </c>
      <c r="G186" s="17" t="s">
        <v>21</v>
      </c>
      <c r="H186" s="18">
        <v>3</v>
      </c>
      <c r="I186" s="14">
        <f>(I183-(I184+I185))</f>
        <v>590.69649547414883</v>
      </c>
      <c r="J186" s="14">
        <f t="shared" si="37"/>
        <v>196.89883182471627</v>
      </c>
      <c r="K186" s="15">
        <f>J186/J187</f>
        <v>0.86471685020650602</v>
      </c>
      <c r="L186" s="14">
        <f>FINV(0.05,3,14)</f>
        <v>3.3438886781189128</v>
      </c>
      <c r="M186" s="1" t="str">
        <f>IF(K186&gt;=L186,"sig","ns")</f>
        <v>ns</v>
      </c>
      <c r="N186" s="16" t="s">
        <v>22</v>
      </c>
      <c r="O186" s="12">
        <f>(F182+F186)/2</f>
        <v>23.035370821111115</v>
      </c>
    </row>
    <row r="187" spans="1:15" ht="15.75" x14ac:dyDescent="0.3">
      <c r="A187" s="6" t="s">
        <v>39</v>
      </c>
      <c r="B187" s="8">
        <f t="shared" si="36"/>
        <v>19.967420130000008</v>
      </c>
      <c r="C187" s="8">
        <f t="shared" si="36"/>
        <v>24.542124053333335</v>
      </c>
      <c r="D187" s="8">
        <f t="shared" si="36"/>
        <v>21.18324860000001</v>
      </c>
      <c r="E187" s="9">
        <f t="shared" si="34"/>
        <v>65.69279278333336</v>
      </c>
      <c r="F187" s="10">
        <f t="shared" si="35"/>
        <v>21.897597594444452</v>
      </c>
      <c r="G187" s="13" t="s">
        <v>23</v>
      </c>
      <c r="H187" s="7">
        <v>14</v>
      </c>
      <c r="I187" s="14">
        <f>D192</f>
        <v>3187.8454142390292</v>
      </c>
      <c r="J187" s="14">
        <f t="shared" si="37"/>
        <v>227.70324387421638</v>
      </c>
      <c r="K187" s="14"/>
      <c r="L187" s="14"/>
      <c r="M187" s="7"/>
      <c r="N187" s="16" t="s">
        <v>24</v>
      </c>
      <c r="O187" s="12">
        <f>(F183+F187)/2</f>
        <v>22.991065442777785</v>
      </c>
    </row>
    <row r="188" spans="1:15" x14ac:dyDescent="0.25">
      <c r="A188" s="6" t="s">
        <v>4</v>
      </c>
      <c r="B188" s="9">
        <f>SUM(B180:B187)</f>
        <v>232.68712480333335</v>
      </c>
      <c r="C188" s="9">
        <f>SUM(C180:C187)</f>
        <v>169.47571098333339</v>
      </c>
      <c r="D188" s="9">
        <f>SUM(D180:D187)</f>
        <v>164.89795151666669</v>
      </c>
      <c r="E188" s="15">
        <f>SUM(E180:E187)</f>
        <v>567.06078730333354</v>
      </c>
      <c r="F188" s="19">
        <f>AVERAGE(B180:D187)</f>
        <v>23.627532804305556</v>
      </c>
      <c r="G188" s="13" t="s">
        <v>4</v>
      </c>
      <c r="H188" s="7">
        <v>23</v>
      </c>
      <c r="I188" s="14">
        <f>B191</f>
        <v>4876.2583065172566</v>
      </c>
      <c r="J188" s="14"/>
      <c r="K188" s="7" t="s">
        <v>25</v>
      </c>
      <c r="L188" s="20">
        <f>TINV(0.05,14)</f>
        <v>2.1447866879178044</v>
      </c>
      <c r="M188" s="7"/>
      <c r="N188" s="13" t="s">
        <v>14</v>
      </c>
      <c r="O188" s="12">
        <f>SQRT(J187/(3*2))</f>
        <v>6.1604010133840097</v>
      </c>
    </row>
    <row r="189" spans="1:15" x14ac:dyDescent="0.25">
      <c r="A189" s="6" t="s">
        <v>5</v>
      </c>
      <c r="B189" s="9">
        <f>B188/8</f>
        <v>29.085890600416668</v>
      </c>
      <c r="C189" s="9">
        <f>C188/8</f>
        <v>21.184463872916673</v>
      </c>
      <c r="D189" s="9">
        <f>D188/8</f>
        <v>20.612243939583337</v>
      </c>
      <c r="E189" s="14"/>
      <c r="F189" s="14"/>
      <c r="G189" s="13" t="s">
        <v>14</v>
      </c>
      <c r="H189" s="12">
        <f>SQRT(J187/3)</f>
        <v>8.7121226627846244</v>
      </c>
      <c r="I189" s="7"/>
      <c r="J189" s="21"/>
      <c r="K189" s="7"/>
      <c r="L189" s="7"/>
      <c r="M189" s="7"/>
      <c r="N189" s="13" t="s">
        <v>16</v>
      </c>
      <c r="O189" s="12">
        <f>SQRT((2*J187)/(3*2))*L188</f>
        <v>18.685644710647477</v>
      </c>
    </row>
    <row r="190" spans="1:15" x14ac:dyDescent="0.25">
      <c r="A190" s="7" t="s">
        <v>26</v>
      </c>
      <c r="B190" s="15">
        <f>(E188*E188)/24</f>
        <v>13398.247354044854</v>
      </c>
      <c r="C190" s="14"/>
      <c r="D190" s="14"/>
      <c r="E190" s="14"/>
      <c r="F190" s="14"/>
      <c r="G190" s="13" t="s">
        <v>16</v>
      </c>
      <c r="H190" s="12">
        <f>(SQRT((2*J187)/3))*L188</f>
        <v>26.425492171482752</v>
      </c>
      <c r="I190" s="7"/>
      <c r="J190" s="7"/>
      <c r="K190" s="7"/>
      <c r="L190" s="7"/>
      <c r="M190" s="7"/>
      <c r="N190" s="7"/>
      <c r="O190" s="7"/>
    </row>
    <row r="191" spans="1:15" x14ac:dyDescent="0.25">
      <c r="A191" s="7" t="s">
        <v>27</v>
      </c>
      <c r="B191" s="15">
        <f>SUMSQ(B180:D187)-B190</f>
        <v>4876.2583065172566</v>
      </c>
      <c r="C191" s="7" t="s">
        <v>28</v>
      </c>
      <c r="D191" s="15">
        <f>(SUMSQ(B188:D188)/8)-B190</f>
        <v>358.83378057281334</v>
      </c>
      <c r="E191" s="14"/>
      <c r="F191" s="14"/>
      <c r="G191" s="13" t="s">
        <v>29</v>
      </c>
      <c r="H191" s="12">
        <f>((SQRT(J187))/F188)*100</f>
        <v>63.865487855615058</v>
      </c>
      <c r="I191" s="7"/>
      <c r="J191" s="21"/>
      <c r="K191" s="7"/>
      <c r="L191" s="7"/>
      <c r="M191" s="7"/>
      <c r="N191" s="7"/>
      <c r="O191" s="7"/>
    </row>
    <row r="192" spans="1:15" x14ac:dyDescent="0.25">
      <c r="A192" s="7" t="s">
        <v>30</v>
      </c>
      <c r="B192" s="15">
        <f>(SUMSQ(E180:E187)/3)-B190</f>
        <v>1329.5791117054141</v>
      </c>
      <c r="C192" s="7" t="s">
        <v>31</v>
      </c>
      <c r="D192" s="15">
        <f>B191-B192-D191</f>
        <v>3187.8454142390292</v>
      </c>
      <c r="E192" s="14"/>
      <c r="F192" s="14"/>
      <c r="G192" s="7"/>
      <c r="H192" s="7"/>
      <c r="I192" s="7"/>
      <c r="J192" s="7"/>
      <c r="K192" s="7"/>
      <c r="L192" s="7"/>
      <c r="M192" s="2"/>
      <c r="N192" s="7"/>
      <c r="O192" s="7"/>
    </row>
    <row r="194" spans="1:15" x14ac:dyDescent="0.25">
      <c r="A194" s="84" t="s">
        <v>64</v>
      </c>
      <c r="B194" s="85"/>
      <c r="C194" s="85"/>
      <c r="D194" s="22"/>
      <c r="E194" s="3"/>
      <c r="F194" s="3"/>
      <c r="G194" s="3"/>
      <c r="H194" s="3"/>
      <c r="I194" s="3"/>
      <c r="J194" s="3"/>
      <c r="K194" s="3"/>
      <c r="L194" s="3"/>
      <c r="M194" s="3"/>
      <c r="N194" s="5"/>
      <c r="O194" s="3"/>
    </row>
    <row r="195" spans="1:15" s="24" customFormat="1" x14ac:dyDescent="0.25">
      <c r="A195" s="6" t="s">
        <v>0</v>
      </c>
      <c r="B195" s="6" t="s">
        <v>1</v>
      </c>
      <c r="C195" s="6" t="s">
        <v>2</v>
      </c>
      <c r="D195" s="6" t="s">
        <v>3</v>
      </c>
      <c r="E195" s="6" t="s">
        <v>4</v>
      </c>
      <c r="F195" s="6" t="s">
        <v>5</v>
      </c>
      <c r="G195" s="7"/>
      <c r="H195" s="7"/>
      <c r="I195" s="6" t="s">
        <v>6</v>
      </c>
      <c r="J195" s="7"/>
      <c r="K195" s="7"/>
      <c r="L195" s="7"/>
      <c r="M195" s="7"/>
      <c r="N195" s="88" t="s">
        <v>7</v>
      </c>
      <c r="O195" s="89"/>
    </row>
    <row r="196" spans="1:15" ht="15.75" x14ac:dyDescent="0.3">
      <c r="A196" s="6" t="s">
        <v>33</v>
      </c>
      <c r="B196" s="8">
        <v>19.185448257899999</v>
      </c>
      <c r="C196" s="8">
        <v>12.247151011200001</v>
      </c>
      <c r="D196" s="8">
        <v>9.9218769790000003</v>
      </c>
      <c r="E196" s="9">
        <f t="shared" ref="E196:E203" si="38">SUM(B196:D196)</f>
        <v>41.354476248099999</v>
      </c>
      <c r="F196" s="10">
        <f t="shared" ref="F196:F203" si="39">E196/3</f>
        <v>13.784825416033334</v>
      </c>
      <c r="G196" s="7"/>
      <c r="H196" s="7"/>
      <c r="I196" s="7"/>
      <c r="J196" s="7"/>
      <c r="K196" s="7"/>
      <c r="L196" s="7"/>
      <c r="M196" s="7"/>
      <c r="N196" s="11">
        <v>1</v>
      </c>
      <c r="O196" s="12">
        <f>SUM(F196:F199)/4</f>
        <v>13.286102410933333</v>
      </c>
    </row>
    <row r="197" spans="1:15" x14ac:dyDescent="0.25">
      <c r="A197" s="6" t="s">
        <v>32</v>
      </c>
      <c r="B197" s="8">
        <v>14.387709115599996</v>
      </c>
      <c r="C197" s="8">
        <v>13.827694688999999</v>
      </c>
      <c r="D197" s="8">
        <v>17.788553845500001</v>
      </c>
      <c r="E197" s="9">
        <f t="shared" si="38"/>
        <v>46.003957650099991</v>
      </c>
      <c r="F197" s="10">
        <f t="shared" si="39"/>
        <v>15.334652550033331</v>
      </c>
      <c r="G197" s="7"/>
      <c r="H197" s="13" t="s">
        <v>8</v>
      </c>
      <c r="I197" s="13" t="s">
        <v>9</v>
      </c>
      <c r="J197" s="13" t="s">
        <v>10</v>
      </c>
      <c r="K197" s="13" t="s">
        <v>11</v>
      </c>
      <c r="L197" s="13" t="s">
        <v>12</v>
      </c>
      <c r="M197" s="7"/>
      <c r="N197" s="11">
        <v>0.75</v>
      </c>
      <c r="O197" s="12">
        <f>SUM(F200:F203)/4</f>
        <v>10.565193850166667</v>
      </c>
    </row>
    <row r="198" spans="1:15" ht="15.75" x14ac:dyDescent="0.3">
      <c r="A198" s="6" t="s">
        <v>34</v>
      </c>
      <c r="B198" s="8">
        <v>14.621233181500001</v>
      </c>
      <c r="C198" s="8">
        <v>6.9071973711000005</v>
      </c>
      <c r="D198" s="8">
        <v>14.682557936199998</v>
      </c>
      <c r="E198" s="9">
        <f t="shared" si="38"/>
        <v>36.210988488799998</v>
      </c>
      <c r="F198" s="10">
        <f t="shared" si="39"/>
        <v>12.070329496266666</v>
      </c>
      <c r="G198" s="13" t="s">
        <v>13</v>
      </c>
      <c r="H198" s="7">
        <v>2</v>
      </c>
      <c r="I198" s="14">
        <f>D207</f>
        <v>3.9863912090072517</v>
      </c>
      <c r="J198" s="14">
        <f t="shared" ref="J198:J203" si="40">I198/H198</f>
        <v>1.9931956045036259</v>
      </c>
      <c r="K198" s="15">
        <f>J198/J203</f>
        <v>9.5012662017597727E-2</v>
      </c>
      <c r="L198" s="14">
        <f>FINV(0.05,2,14)</f>
        <v>3.7388918324407361</v>
      </c>
      <c r="M198" s="1" t="str">
        <f>IF(K198&gt;=L198,"sig","ns")</f>
        <v>ns</v>
      </c>
      <c r="N198" s="13" t="s">
        <v>14</v>
      </c>
      <c r="O198" s="12">
        <f>SQRT(J203/(3*4))</f>
        <v>1.3221891662161607</v>
      </c>
    </row>
    <row r="199" spans="1:15" ht="15.75" x14ac:dyDescent="0.3">
      <c r="A199" s="6" t="s">
        <v>35</v>
      </c>
      <c r="B199" s="8">
        <v>10.3668085326</v>
      </c>
      <c r="C199" s="8">
        <v>12.812448750000001</v>
      </c>
      <c r="D199" s="8">
        <v>12.684549261600004</v>
      </c>
      <c r="E199" s="9">
        <f t="shared" si="38"/>
        <v>35.863806544200003</v>
      </c>
      <c r="F199" s="10">
        <f t="shared" si="39"/>
        <v>11.9546021814</v>
      </c>
      <c r="G199" s="13" t="s">
        <v>15</v>
      </c>
      <c r="H199" s="7">
        <v>7</v>
      </c>
      <c r="I199" s="14">
        <f>B208</f>
        <v>83.829350409365816</v>
      </c>
      <c r="J199" s="14">
        <f t="shared" si="40"/>
        <v>11.97562148705226</v>
      </c>
      <c r="K199" s="15">
        <f>J199/J203</f>
        <v>0.5708600170645759</v>
      </c>
      <c r="L199" s="14">
        <f>FINV(0.05,7,14)</f>
        <v>2.7641992567781792</v>
      </c>
      <c r="M199" s="1" t="str">
        <f>IF(K199&gt;=L199,"sig","ns")</f>
        <v>ns</v>
      </c>
      <c r="N199" s="13" t="s">
        <v>16</v>
      </c>
      <c r="O199" s="12">
        <f>SQRT((2*J203)/(3*4))*L204</f>
        <v>4.0104462268781775</v>
      </c>
    </row>
    <row r="200" spans="1:15" ht="15.75" x14ac:dyDescent="0.3">
      <c r="A200" s="6" t="s">
        <v>36</v>
      </c>
      <c r="B200" s="8">
        <v>0</v>
      </c>
      <c r="C200" s="8">
        <v>14.8764154941</v>
      </c>
      <c r="D200" s="8">
        <v>13.3132134136</v>
      </c>
      <c r="E200" s="9">
        <f t="shared" si="38"/>
        <v>28.189628907699998</v>
      </c>
      <c r="F200" s="10">
        <f t="shared" si="39"/>
        <v>9.396542969233332</v>
      </c>
      <c r="G200" s="7" t="s">
        <v>17</v>
      </c>
      <c r="H200" s="7">
        <v>1</v>
      </c>
      <c r="I200" s="14">
        <f>((E196+E197+E198+E199)^2+(E200+E201+E202+E203)^2)/12-B206</f>
        <v>44.420060376318816</v>
      </c>
      <c r="J200" s="14">
        <f t="shared" si="40"/>
        <v>44.420060376318816</v>
      </c>
      <c r="K200" s="15">
        <f>J200/J203</f>
        <v>2.1174380345814106</v>
      </c>
      <c r="L200" s="14">
        <f>FINV(0.05,1,14)</f>
        <v>4.6001099366694227</v>
      </c>
      <c r="M200" s="1" t="str">
        <f>IF(K200&gt;=L200,"sig","ns")</f>
        <v>ns</v>
      </c>
      <c r="N200" s="16" t="s">
        <v>18</v>
      </c>
      <c r="O200" s="12">
        <f>(F196+F200)/2</f>
        <v>11.590684192633333</v>
      </c>
    </row>
    <row r="201" spans="1:15" x14ac:dyDescent="0.25">
      <c r="A201" s="6" t="s">
        <v>37</v>
      </c>
      <c r="B201" s="8">
        <v>8.8602645588000009</v>
      </c>
      <c r="C201" s="8">
        <v>7.2184961258999998</v>
      </c>
      <c r="D201" s="8">
        <v>12.806532107000001</v>
      </c>
      <c r="E201" s="9">
        <f t="shared" si="38"/>
        <v>28.885292791700003</v>
      </c>
      <c r="F201" s="10">
        <f t="shared" si="39"/>
        <v>9.6284309305666671</v>
      </c>
      <c r="G201" s="7" t="s">
        <v>19</v>
      </c>
      <c r="H201" s="7">
        <v>3</v>
      </c>
      <c r="I201" s="14">
        <f xml:space="preserve"> ((E196+E200)^2+(E197+E201)^2+(E198+E202)^2+(E199+E203)^2)/6-B206</f>
        <v>4.3976213782143532</v>
      </c>
      <c r="J201" s="14">
        <f t="shared" si="40"/>
        <v>1.4658737927381178</v>
      </c>
      <c r="K201" s="15">
        <f>J201/J203</f>
        <v>6.9876017644823943E-2</v>
      </c>
      <c r="L201" s="14">
        <f>FINV(0.05,3,14)</f>
        <v>3.3438886781189128</v>
      </c>
      <c r="M201" s="1" t="str">
        <f>IF(K201&gt;=L201,"sig","ns")</f>
        <v>ns</v>
      </c>
      <c r="N201" s="16" t="s">
        <v>20</v>
      </c>
      <c r="O201" s="12">
        <f>(F197+F201)/2</f>
        <v>12.481541740299999</v>
      </c>
    </row>
    <row r="202" spans="1:15" ht="15.75" x14ac:dyDescent="0.3">
      <c r="A202" s="6" t="s">
        <v>38</v>
      </c>
      <c r="B202" s="8">
        <v>11.7157448035</v>
      </c>
      <c r="C202" s="8">
        <v>17.059665094400003</v>
      </c>
      <c r="D202" s="8">
        <v>8.1788256178999994</v>
      </c>
      <c r="E202" s="9">
        <f t="shared" si="38"/>
        <v>36.954235515800008</v>
      </c>
      <c r="F202" s="10">
        <f t="shared" si="39"/>
        <v>12.318078505266669</v>
      </c>
      <c r="G202" s="17" t="s">
        <v>21</v>
      </c>
      <c r="H202" s="18">
        <v>3</v>
      </c>
      <c r="I202" s="14">
        <f>(I199-(I200+I201))</f>
        <v>35.011668654832647</v>
      </c>
      <c r="J202" s="14">
        <f t="shared" si="40"/>
        <v>11.670556218277548</v>
      </c>
      <c r="K202" s="15">
        <f>J202/J203</f>
        <v>0.55631801064538267</v>
      </c>
      <c r="L202" s="14">
        <f>FINV(0.05,3,14)</f>
        <v>3.3438886781189128</v>
      </c>
      <c r="M202" s="1" t="str">
        <f>IF(K202&gt;=L202,"sig","ns")</f>
        <v>ns</v>
      </c>
      <c r="N202" s="16" t="s">
        <v>22</v>
      </c>
      <c r="O202" s="12">
        <f>(F198+F202)/2</f>
        <v>12.194204000766668</v>
      </c>
    </row>
    <row r="203" spans="1:15" ht="15.75" x14ac:dyDescent="0.3">
      <c r="A203" s="6" t="s">
        <v>39</v>
      </c>
      <c r="B203" s="8">
        <v>11.670703317000003</v>
      </c>
      <c r="C203" s="8">
        <v>12.447550209599999</v>
      </c>
      <c r="D203" s="8">
        <v>8.6349154601999984</v>
      </c>
      <c r="E203" s="9">
        <f t="shared" si="38"/>
        <v>32.753168986799999</v>
      </c>
      <c r="F203" s="10">
        <f t="shared" si="39"/>
        <v>10.9177229956</v>
      </c>
      <c r="G203" s="13" t="s">
        <v>23</v>
      </c>
      <c r="H203" s="7">
        <v>14</v>
      </c>
      <c r="I203" s="14">
        <f>D208</f>
        <v>293.6949441315769</v>
      </c>
      <c r="J203" s="14">
        <f t="shared" si="40"/>
        <v>20.978210295112635</v>
      </c>
      <c r="K203" s="14"/>
      <c r="L203" s="14"/>
      <c r="M203" s="7"/>
      <c r="N203" s="16" t="s">
        <v>24</v>
      </c>
      <c r="O203" s="12">
        <f>(F199+F203)/2</f>
        <v>11.4361625885</v>
      </c>
    </row>
    <row r="204" spans="1:15" x14ac:dyDescent="0.25">
      <c r="A204" s="6" t="s">
        <v>4</v>
      </c>
      <c r="B204" s="9">
        <f>SUM(B196:B203)</f>
        <v>90.807911766900006</v>
      </c>
      <c r="C204" s="9">
        <f>SUM(C196:C203)</f>
        <v>97.396618745300003</v>
      </c>
      <c r="D204" s="9">
        <f>SUM(D196:D203)</f>
        <v>98.01102462099999</v>
      </c>
      <c r="E204" s="15">
        <f>SUM(E196:E203)</f>
        <v>286.21555513320004</v>
      </c>
      <c r="F204" s="19">
        <f>AVERAGE(B196:D203)</f>
        <v>11.925648130550002</v>
      </c>
      <c r="G204" s="13" t="s">
        <v>4</v>
      </c>
      <c r="H204" s="7">
        <v>23</v>
      </c>
      <c r="I204" s="14">
        <f>B207</f>
        <v>381.51068574994997</v>
      </c>
      <c r="J204" s="14"/>
      <c r="K204" s="7" t="s">
        <v>25</v>
      </c>
      <c r="L204" s="20">
        <f>TINV(0.05,14)</f>
        <v>2.1447866879178044</v>
      </c>
      <c r="M204" s="7"/>
      <c r="N204" s="13" t="s">
        <v>14</v>
      </c>
      <c r="O204" s="12">
        <f>SQRT(J203/(3*2))</f>
        <v>1.8698578508856689</v>
      </c>
    </row>
    <row r="205" spans="1:15" x14ac:dyDescent="0.25">
      <c r="A205" s="6" t="s">
        <v>5</v>
      </c>
      <c r="B205" s="9">
        <f>B204/8</f>
        <v>11.350988970862501</v>
      </c>
      <c r="C205" s="9">
        <f>C204/8</f>
        <v>12.1745773431625</v>
      </c>
      <c r="D205" s="9">
        <f>D204/8</f>
        <v>12.251378077624999</v>
      </c>
      <c r="E205" s="14"/>
      <c r="F205" s="14"/>
      <c r="G205" s="13" t="s">
        <v>14</v>
      </c>
      <c r="H205" s="12">
        <f>SQRT(J203/3)</f>
        <v>2.6443783324323213</v>
      </c>
      <c r="I205" s="7"/>
      <c r="J205" s="21"/>
      <c r="K205" s="7"/>
      <c r="L205" s="7"/>
      <c r="M205" s="7"/>
      <c r="N205" s="13" t="s">
        <v>16</v>
      </c>
      <c r="O205" s="12">
        <f>SQRT((2*J203)/(3*2))*L204</f>
        <v>5.6716274452191255</v>
      </c>
    </row>
    <row r="206" spans="1:15" x14ac:dyDescent="0.25">
      <c r="A206" s="7" t="s">
        <v>26</v>
      </c>
      <c r="B206" s="15">
        <f>(E204*E204)/24</f>
        <v>3413.3060000085784</v>
      </c>
      <c r="C206" s="14"/>
      <c r="D206" s="14"/>
      <c r="E206" s="14"/>
      <c r="F206" s="14"/>
      <c r="G206" s="13" t="s">
        <v>16</v>
      </c>
      <c r="H206" s="12">
        <f>(SQRT((2*J203)/3))*L204</f>
        <v>8.0208924537563551</v>
      </c>
      <c r="I206" s="7"/>
      <c r="J206" s="7"/>
      <c r="K206" s="7"/>
      <c r="L206" s="7"/>
      <c r="M206" s="7"/>
      <c r="N206" s="7"/>
      <c r="O206" s="7"/>
    </row>
    <row r="207" spans="1:15" x14ac:dyDescent="0.25">
      <c r="A207" s="7" t="s">
        <v>27</v>
      </c>
      <c r="B207" s="15">
        <f>SUMSQ(B196:D203)-B206</f>
        <v>381.51068574994997</v>
      </c>
      <c r="C207" s="7" t="s">
        <v>28</v>
      </c>
      <c r="D207" s="15">
        <f>(SUMSQ(B204:D204)/8)-B206</f>
        <v>3.9863912090072517</v>
      </c>
      <c r="E207" s="14"/>
      <c r="F207" s="14"/>
      <c r="G207" s="13" t="s">
        <v>29</v>
      </c>
      <c r="H207" s="12">
        <f>((SQRT(J203))/F204)*100</f>
        <v>38.406278435080814</v>
      </c>
      <c r="I207" s="7"/>
      <c r="J207" s="21"/>
      <c r="K207" s="7"/>
      <c r="L207" s="7"/>
      <c r="M207" s="7"/>
      <c r="N207" s="7"/>
      <c r="O207" s="7"/>
    </row>
    <row r="208" spans="1:15" x14ac:dyDescent="0.25">
      <c r="A208" s="7" t="s">
        <v>30</v>
      </c>
      <c r="B208" s="15">
        <f>(SUMSQ(E196:E203)/3)-B206</f>
        <v>83.829350409365816</v>
      </c>
      <c r="C208" s="7" t="s">
        <v>31</v>
      </c>
      <c r="D208" s="15">
        <f>B207-B208-D207</f>
        <v>293.6949441315769</v>
      </c>
      <c r="E208" s="14"/>
      <c r="F208" s="14"/>
      <c r="G208" s="7"/>
      <c r="H208" s="7"/>
      <c r="I208" s="7"/>
      <c r="J208" s="7"/>
      <c r="K208" s="7"/>
      <c r="L208" s="7"/>
      <c r="M208" s="2"/>
      <c r="N208" s="7"/>
      <c r="O208" s="7"/>
    </row>
    <row r="210" spans="1:15" x14ac:dyDescent="0.25">
      <c r="A210" s="84" t="s">
        <v>65</v>
      </c>
      <c r="B210" s="85"/>
      <c r="C210" s="85"/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5"/>
      <c r="O210" s="3"/>
    </row>
    <row r="211" spans="1:15" x14ac:dyDescent="0.25">
      <c r="A211" s="6" t="s">
        <v>0</v>
      </c>
      <c r="B211" s="6" t="s">
        <v>1</v>
      </c>
      <c r="C211" s="6" t="s">
        <v>2</v>
      </c>
      <c r="D211" s="6" t="s">
        <v>3</v>
      </c>
      <c r="E211" s="6" t="s">
        <v>4</v>
      </c>
      <c r="F211" s="6" t="s">
        <v>5</v>
      </c>
      <c r="G211" s="7"/>
      <c r="H211" s="7"/>
      <c r="I211" s="6" t="s">
        <v>6</v>
      </c>
      <c r="J211" s="7"/>
      <c r="K211" s="7"/>
      <c r="L211" s="7"/>
      <c r="M211" s="7"/>
      <c r="N211" s="88" t="s">
        <v>7</v>
      </c>
      <c r="O211" s="89"/>
    </row>
    <row r="212" spans="1:15" ht="15.75" x14ac:dyDescent="0.3">
      <c r="A212" s="6" t="s">
        <v>33</v>
      </c>
      <c r="B212" s="8">
        <v>93.202127190000013</v>
      </c>
      <c r="C212" s="8">
        <v>160.700607195</v>
      </c>
      <c r="D212" s="8">
        <v>157.16937131999998</v>
      </c>
      <c r="E212" s="9">
        <f t="shared" ref="E212:E219" si="41">SUM(B212:D212)</f>
        <v>411.07210570500001</v>
      </c>
      <c r="F212" s="10">
        <f t="shared" ref="F212:F219" si="42">E212/3</f>
        <v>137.02403523500001</v>
      </c>
      <c r="G212" s="7"/>
      <c r="H212" s="7"/>
      <c r="I212" s="7"/>
      <c r="J212" s="7"/>
      <c r="K212" s="7"/>
      <c r="L212" s="7"/>
      <c r="M212" s="7"/>
      <c r="N212" s="11">
        <v>1</v>
      </c>
      <c r="O212" s="12">
        <f>SUM(F212:F215)/4</f>
        <v>124.53650324088335</v>
      </c>
    </row>
    <row r="213" spans="1:15" x14ac:dyDescent="0.25">
      <c r="A213" s="6" t="s">
        <v>32</v>
      </c>
      <c r="B213" s="8">
        <v>75.507697967999988</v>
      </c>
      <c r="C213" s="8">
        <v>103.361169887</v>
      </c>
      <c r="D213" s="8">
        <v>152.61288954600002</v>
      </c>
      <c r="E213" s="9">
        <f t="shared" si="41"/>
        <v>331.48175740099998</v>
      </c>
      <c r="F213" s="10">
        <f t="shared" si="42"/>
        <v>110.49391913366667</v>
      </c>
      <c r="G213" s="7"/>
      <c r="H213" s="13" t="s">
        <v>8</v>
      </c>
      <c r="I213" s="13" t="s">
        <v>9</v>
      </c>
      <c r="J213" s="13" t="s">
        <v>10</v>
      </c>
      <c r="K213" s="13" t="s">
        <v>11</v>
      </c>
      <c r="L213" s="13" t="s">
        <v>12</v>
      </c>
      <c r="M213" s="7"/>
      <c r="N213" s="11">
        <v>0.75</v>
      </c>
      <c r="O213" s="12">
        <f>SUM(F216:F219)/4</f>
        <v>96.512558392666676</v>
      </c>
    </row>
    <row r="214" spans="1:15" ht="15.75" x14ac:dyDescent="0.3">
      <c r="A214" s="6" t="s">
        <v>34</v>
      </c>
      <c r="B214" s="8">
        <v>117.97971141260003</v>
      </c>
      <c r="C214" s="8">
        <v>147.92190830999999</v>
      </c>
      <c r="D214" s="8">
        <v>119.62452149999999</v>
      </c>
      <c r="E214" s="9">
        <f t="shared" si="41"/>
        <v>385.52614122260002</v>
      </c>
      <c r="F214" s="10">
        <f t="shared" si="42"/>
        <v>128.50871374086668</v>
      </c>
      <c r="G214" s="13" t="s">
        <v>13</v>
      </c>
      <c r="H214" s="7">
        <v>2</v>
      </c>
      <c r="I214" s="14">
        <f>D223</f>
        <v>9094.2489961156971</v>
      </c>
      <c r="J214" s="14">
        <f t="shared" ref="J214:J219" si="43">I214/H214</f>
        <v>4547.1244980578485</v>
      </c>
      <c r="K214" s="15">
        <f>J214/J219</f>
        <v>4.2105155961802589</v>
      </c>
      <c r="L214" s="14">
        <f>FINV(0.05,2,14)</f>
        <v>3.7388918324407361</v>
      </c>
      <c r="M214" s="1" t="str">
        <f>IF(K214&gt;=L214,"sig","ns")</f>
        <v>sig</v>
      </c>
      <c r="N214" s="13" t="s">
        <v>14</v>
      </c>
      <c r="O214" s="12">
        <f>SQRT(J219/(3*4))</f>
        <v>9.4865906139842711</v>
      </c>
    </row>
    <row r="215" spans="1:15" ht="15.75" x14ac:dyDescent="0.3">
      <c r="A215" s="6" t="s">
        <v>35</v>
      </c>
      <c r="B215" s="8">
        <v>96.359614560000011</v>
      </c>
      <c r="C215" s="8">
        <v>144.53342186400002</v>
      </c>
      <c r="D215" s="8">
        <v>125.46499813799997</v>
      </c>
      <c r="E215" s="9">
        <f t="shared" si="41"/>
        <v>366.358034562</v>
      </c>
      <c r="F215" s="10">
        <f t="shared" si="42"/>
        <v>122.119344854</v>
      </c>
      <c r="G215" s="13" t="s">
        <v>15</v>
      </c>
      <c r="H215" s="7">
        <v>7</v>
      </c>
      <c r="I215" s="14">
        <f>B224</f>
        <v>8345.0410889772465</v>
      </c>
      <c r="J215" s="14">
        <f t="shared" si="43"/>
        <v>1192.1487269967495</v>
      </c>
      <c r="K215" s="15">
        <f>J215/J219</f>
        <v>1.1038978172095775</v>
      </c>
      <c r="L215" s="14">
        <f>FINV(0.05,7,14)</f>
        <v>2.7641992567781792</v>
      </c>
      <c r="M215" s="1" t="str">
        <f>IF(K215&gt;=L215,"sig","ns")</f>
        <v>ns</v>
      </c>
      <c r="N215" s="13" t="s">
        <v>16</v>
      </c>
      <c r="O215" s="12">
        <f>SQRT((2*J219)/(3*4))*L220</f>
        <v>28.774597845684678</v>
      </c>
    </row>
    <row r="216" spans="1:15" ht="15.75" x14ac:dyDescent="0.3">
      <c r="A216" s="6" t="s">
        <v>36</v>
      </c>
      <c r="B216" s="8">
        <v>0</v>
      </c>
      <c r="C216" s="8">
        <v>135.28612552000001</v>
      </c>
      <c r="D216" s="8">
        <v>89.122143510000001</v>
      </c>
      <c r="E216" s="9">
        <f t="shared" si="41"/>
        <v>224.40826903000001</v>
      </c>
      <c r="F216" s="10">
        <f t="shared" si="42"/>
        <v>74.802756343333343</v>
      </c>
      <c r="G216" s="7" t="s">
        <v>17</v>
      </c>
      <c r="H216" s="7">
        <v>1</v>
      </c>
      <c r="I216" s="14">
        <f>((E212+E213+E214+E215)^2+(E216+E217+E218+E219)^2)/12-B222</f>
        <v>4712.0489091352792</v>
      </c>
      <c r="J216" s="14">
        <f t="shared" si="43"/>
        <v>4712.0489091352792</v>
      </c>
      <c r="K216" s="15">
        <f>J216/J219</f>
        <v>4.3632311871716558</v>
      </c>
      <c r="L216" s="14">
        <f>FINV(0.05,1,14)</f>
        <v>4.6001099366694227</v>
      </c>
      <c r="M216" s="1" t="str">
        <f>IF(K216&gt;=L216,"sig","ns")</f>
        <v>ns</v>
      </c>
      <c r="N216" s="16" t="s">
        <v>18</v>
      </c>
      <c r="O216" s="12">
        <f>(F212+F216)/2</f>
        <v>105.91339578916669</v>
      </c>
    </row>
    <row r="217" spans="1:15" x14ac:dyDescent="0.25">
      <c r="A217" s="6" t="s">
        <v>37</v>
      </c>
      <c r="B217" s="8">
        <v>101.37676115800001</v>
      </c>
      <c r="C217" s="8">
        <v>79.046600478999991</v>
      </c>
      <c r="D217" s="8">
        <v>114.85237392200001</v>
      </c>
      <c r="E217" s="9">
        <f t="shared" si="41"/>
        <v>295.275735559</v>
      </c>
      <c r="F217" s="10">
        <f t="shared" si="42"/>
        <v>98.425245186333328</v>
      </c>
      <c r="G217" s="7" t="s">
        <v>19</v>
      </c>
      <c r="H217" s="7">
        <v>3</v>
      </c>
      <c r="I217" s="14">
        <f xml:space="preserve"> ((E212+E216)^2+(E213+E217)^2+(E214+E218)^2+(E215+E219)^2)/6-B222</f>
        <v>794.52685672068037</v>
      </c>
      <c r="J217" s="14">
        <f t="shared" si="43"/>
        <v>264.8422855735601</v>
      </c>
      <c r="K217" s="15">
        <f>J217/J219</f>
        <v>0.24523686879736586</v>
      </c>
      <c r="L217" s="14">
        <f>FINV(0.05,3,14)</f>
        <v>3.3438886781189128</v>
      </c>
      <c r="M217" s="1" t="str">
        <f>IF(K217&gt;=L217,"sig","ns")</f>
        <v>ns</v>
      </c>
      <c r="N217" s="16" t="s">
        <v>20</v>
      </c>
      <c r="O217" s="12">
        <f>(F213+F217)/2</f>
        <v>104.45958216</v>
      </c>
    </row>
    <row r="218" spans="1:15" ht="15.75" x14ac:dyDescent="0.3">
      <c r="A218" s="6" t="s">
        <v>38</v>
      </c>
      <c r="B218" s="8">
        <v>89.361975884000003</v>
      </c>
      <c r="C218" s="8">
        <v>99.967600128000015</v>
      </c>
      <c r="D218" s="8">
        <v>102.62958948000001</v>
      </c>
      <c r="E218" s="9">
        <f t="shared" si="41"/>
        <v>291.95916549200001</v>
      </c>
      <c r="F218" s="10">
        <f t="shared" si="42"/>
        <v>97.319721830666666</v>
      </c>
      <c r="G218" s="17" t="s">
        <v>21</v>
      </c>
      <c r="H218" s="18">
        <v>3</v>
      </c>
      <c r="I218" s="14">
        <f>(I215-(I216+I217))</f>
        <v>2838.4653231212869</v>
      </c>
      <c r="J218" s="14">
        <f t="shared" si="43"/>
        <v>946.15510770709568</v>
      </c>
      <c r="K218" s="15">
        <f>J218/J219</f>
        <v>0.8761143089677631</v>
      </c>
      <c r="L218" s="14">
        <f>FINV(0.05,3,14)</f>
        <v>3.3438886781189128</v>
      </c>
      <c r="M218" s="1" t="str">
        <f>IF(K218&gt;=L218,"sig","ns")</f>
        <v>ns</v>
      </c>
      <c r="N218" s="16" t="s">
        <v>22</v>
      </c>
      <c r="O218" s="12">
        <f>(F214+F218)/2</f>
        <v>112.91421778576668</v>
      </c>
    </row>
    <row r="219" spans="1:15" ht="15.75" x14ac:dyDescent="0.3">
      <c r="A219" s="6" t="s">
        <v>39</v>
      </c>
      <c r="B219" s="8">
        <v>97.689692573000016</v>
      </c>
      <c r="C219" s="8">
        <v>70.341051968000016</v>
      </c>
      <c r="D219" s="8">
        <v>178.47678609000002</v>
      </c>
      <c r="E219" s="9">
        <f t="shared" si="41"/>
        <v>346.50753063100007</v>
      </c>
      <c r="F219" s="10">
        <f t="shared" si="42"/>
        <v>115.50251021033336</v>
      </c>
      <c r="G219" s="13" t="s">
        <v>23</v>
      </c>
      <c r="H219" s="7">
        <v>14</v>
      </c>
      <c r="I219" s="14">
        <f>D224</f>
        <v>15119.227448192192</v>
      </c>
      <c r="J219" s="14">
        <f t="shared" si="43"/>
        <v>1079.9448177280137</v>
      </c>
      <c r="K219" s="14"/>
      <c r="L219" s="14"/>
      <c r="M219" s="7"/>
      <c r="N219" s="16" t="s">
        <v>24</v>
      </c>
      <c r="O219" s="12">
        <f>(F215+F219)/2</f>
        <v>118.81092753216669</v>
      </c>
    </row>
    <row r="220" spans="1:15" x14ac:dyDescent="0.25">
      <c r="A220" s="6" t="s">
        <v>4</v>
      </c>
      <c r="B220" s="9">
        <f>SUM(B212:B219)</f>
        <v>671.47758074560011</v>
      </c>
      <c r="C220" s="9">
        <f>SUM(C212:C219)</f>
        <v>941.15848535099997</v>
      </c>
      <c r="D220" s="9">
        <f>SUM(D212:D219)</f>
        <v>1039.9526735059999</v>
      </c>
      <c r="E220" s="15">
        <f>SUM(E212:E219)</f>
        <v>2652.5887396026001</v>
      </c>
      <c r="F220" s="19">
        <f>AVERAGE(B212:D219)</f>
        <v>110.52453081677503</v>
      </c>
      <c r="G220" s="13" t="s">
        <v>4</v>
      </c>
      <c r="H220" s="7">
        <v>23</v>
      </c>
      <c r="I220" s="14">
        <f>B223</f>
        <v>32558.517533285136</v>
      </c>
      <c r="J220" s="14"/>
      <c r="K220" s="7" t="s">
        <v>25</v>
      </c>
      <c r="L220" s="20">
        <f>TINV(0.05,14)</f>
        <v>2.1447866879178044</v>
      </c>
      <c r="M220" s="7"/>
      <c r="N220" s="13" t="s">
        <v>14</v>
      </c>
      <c r="O220" s="12">
        <f>SQRT(J219/(3*2))</f>
        <v>13.416065106977864</v>
      </c>
    </row>
    <row r="221" spans="1:15" x14ac:dyDescent="0.25">
      <c r="A221" s="6" t="s">
        <v>5</v>
      </c>
      <c r="B221" s="9">
        <f>B220/8</f>
        <v>83.934697593200013</v>
      </c>
      <c r="C221" s="9">
        <f>C220/8</f>
        <v>117.644810668875</v>
      </c>
      <c r="D221" s="9">
        <f>D220/8</f>
        <v>129.99408418824999</v>
      </c>
      <c r="E221" s="14"/>
      <c r="F221" s="14"/>
      <c r="G221" s="13" t="s">
        <v>14</v>
      </c>
      <c r="H221" s="12">
        <f>SQRT(J219/3)</f>
        <v>18.973181227968542</v>
      </c>
      <c r="I221" s="7"/>
      <c r="J221" s="21"/>
      <c r="K221" s="7"/>
      <c r="L221" s="7"/>
      <c r="M221" s="7"/>
      <c r="N221" s="13" t="s">
        <v>16</v>
      </c>
      <c r="O221" s="12">
        <f>SQRT((2*J219)/(3*2))*L220</f>
        <v>40.693426525198909</v>
      </c>
    </row>
    <row r="222" spans="1:15" x14ac:dyDescent="0.25">
      <c r="A222" s="7" t="s">
        <v>26</v>
      </c>
      <c r="B222" s="15">
        <f>(E220*E220)/24</f>
        <v>293176.12589443795</v>
      </c>
      <c r="C222" s="14"/>
      <c r="D222" s="14"/>
      <c r="E222" s="14"/>
      <c r="F222" s="14"/>
      <c r="G222" s="13" t="s">
        <v>16</v>
      </c>
      <c r="H222" s="12">
        <f>(SQRT((2*J219)/3))*L220</f>
        <v>57.549195691369356</v>
      </c>
      <c r="I222" s="7"/>
      <c r="J222" s="7"/>
      <c r="K222" s="7"/>
      <c r="L222" s="7"/>
      <c r="M222" s="7"/>
      <c r="N222" s="7"/>
      <c r="O222" s="7"/>
    </row>
    <row r="223" spans="1:15" x14ac:dyDescent="0.25">
      <c r="A223" s="7" t="s">
        <v>27</v>
      </c>
      <c r="B223" s="15">
        <f>SUMSQ(B212:D219)-B222</f>
        <v>32558.517533285136</v>
      </c>
      <c r="C223" s="7" t="s">
        <v>28</v>
      </c>
      <c r="D223" s="15">
        <f>(SUMSQ(B220:D220)/8)-B222</f>
        <v>9094.2489961156971</v>
      </c>
      <c r="E223" s="14"/>
      <c r="F223" s="14"/>
      <c r="G223" s="13" t="s">
        <v>29</v>
      </c>
      <c r="H223" s="12">
        <f>((SQRT(J219))/F220)*100</f>
        <v>29.733230826858048</v>
      </c>
      <c r="I223" s="7"/>
      <c r="J223" s="21"/>
      <c r="K223" s="7"/>
      <c r="L223" s="7"/>
      <c r="M223" s="7"/>
      <c r="N223" s="7"/>
      <c r="O223" s="7"/>
    </row>
    <row r="224" spans="1:15" x14ac:dyDescent="0.25">
      <c r="A224" s="7" t="s">
        <v>30</v>
      </c>
      <c r="B224" s="15">
        <f>(SUMSQ(E212:E219)/3)-B222</f>
        <v>8345.0410889772465</v>
      </c>
      <c r="C224" s="7" t="s">
        <v>31</v>
      </c>
      <c r="D224" s="15">
        <f>B223-B224-D223</f>
        <v>15119.227448192192</v>
      </c>
      <c r="E224" s="14"/>
      <c r="F224" s="14"/>
      <c r="G224" s="7"/>
      <c r="H224" s="7"/>
      <c r="I224" s="7"/>
      <c r="J224" s="7"/>
      <c r="K224" s="7"/>
      <c r="L224" s="7"/>
      <c r="M224" s="2"/>
      <c r="N224" s="7"/>
      <c r="O224" s="7"/>
    </row>
    <row r="226" spans="1:15" x14ac:dyDescent="0.25">
      <c r="A226" s="84" t="s">
        <v>66</v>
      </c>
      <c r="B226" s="85"/>
      <c r="C226" s="85"/>
      <c r="D226" s="22"/>
      <c r="E226" s="3"/>
      <c r="F226" s="3"/>
      <c r="G226" s="3"/>
      <c r="H226" s="3"/>
      <c r="I226" s="3"/>
      <c r="J226" s="3"/>
      <c r="K226" s="3"/>
      <c r="L226" s="3"/>
      <c r="M226" s="3"/>
      <c r="N226" s="5"/>
      <c r="O226" s="3"/>
    </row>
    <row r="227" spans="1:15" x14ac:dyDescent="0.25">
      <c r="A227" s="6" t="s">
        <v>0</v>
      </c>
      <c r="B227" s="6" t="s">
        <v>1</v>
      </c>
      <c r="C227" s="6" t="s">
        <v>2</v>
      </c>
      <c r="D227" s="6" t="s">
        <v>3</v>
      </c>
      <c r="E227" s="6" t="s">
        <v>4</v>
      </c>
      <c r="F227" s="6" t="s">
        <v>5</v>
      </c>
      <c r="G227" s="7"/>
      <c r="H227" s="7"/>
      <c r="I227" s="6" t="s">
        <v>6</v>
      </c>
      <c r="J227" s="7"/>
      <c r="K227" s="7"/>
      <c r="L227" s="7"/>
      <c r="M227" s="7"/>
      <c r="N227" s="88" t="s">
        <v>7</v>
      </c>
      <c r="O227" s="89"/>
    </row>
    <row r="228" spans="1:15" ht="15.75" x14ac:dyDescent="0.3">
      <c r="A228" s="6" t="s">
        <v>33</v>
      </c>
      <c r="B228" s="8">
        <v>235.30405878000002</v>
      </c>
      <c r="C228" s="8">
        <v>161.83935264000002</v>
      </c>
      <c r="D228" s="8">
        <v>167.7076625</v>
      </c>
      <c r="E228" s="9">
        <f t="shared" ref="E228:E235" si="44">SUM(B228:D228)</f>
        <v>564.85107391999998</v>
      </c>
      <c r="F228" s="10">
        <f t="shared" ref="F228:F235" si="45">E228/3</f>
        <v>188.28369130666667</v>
      </c>
      <c r="G228" s="7"/>
      <c r="H228" s="7"/>
      <c r="I228" s="7"/>
      <c r="J228" s="7"/>
      <c r="K228" s="7"/>
      <c r="L228" s="7"/>
      <c r="M228" s="7"/>
      <c r="N228" s="11">
        <v>1</v>
      </c>
      <c r="O228" s="12">
        <f>SUM(F228:F231)/4</f>
        <v>195.30574655166666</v>
      </c>
    </row>
    <row r="229" spans="1:15" x14ac:dyDescent="0.25">
      <c r="A229" s="6" t="s">
        <v>32</v>
      </c>
      <c r="B229" s="8">
        <v>191.28423486000003</v>
      </c>
      <c r="C229" s="8">
        <v>199.13253680000003</v>
      </c>
      <c r="D229" s="8">
        <v>209.69582788</v>
      </c>
      <c r="E229" s="9">
        <f t="shared" si="44"/>
        <v>600.11259954000002</v>
      </c>
      <c r="F229" s="10">
        <f t="shared" si="45"/>
        <v>200.03753318</v>
      </c>
      <c r="G229" s="7"/>
      <c r="H229" s="13" t="s">
        <v>8</v>
      </c>
      <c r="I229" s="13" t="s">
        <v>9</v>
      </c>
      <c r="J229" s="13" t="s">
        <v>10</v>
      </c>
      <c r="K229" s="13" t="s">
        <v>11</v>
      </c>
      <c r="L229" s="13" t="s">
        <v>12</v>
      </c>
      <c r="M229" s="7"/>
      <c r="N229" s="11">
        <v>0.75</v>
      </c>
      <c r="O229" s="12">
        <f>SUM(F232:F235)/4</f>
        <v>197.15212805499999</v>
      </c>
    </row>
    <row r="230" spans="1:15" ht="15.75" x14ac:dyDescent="0.3">
      <c r="A230" s="6" t="s">
        <v>34</v>
      </c>
      <c r="B230" s="8">
        <v>218.24246036</v>
      </c>
      <c r="C230" s="8">
        <v>180.56427773999997</v>
      </c>
      <c r="D230" s="8">
        <v>199.332536</v>
      </c>
      <c r="E230" s="9">
        <f t="shared" si="44"/>
        <v>598.13927409999997</v>
      </c>
      <c r="F230" s="10">
        <f t="shared" si="45"/>
        <v>199.37975803333333</v>
      </c>
      <c r="G230" s="13" t="s">
        <v>13</v>
      </c>
      <c r="H230" s="7">
        <v>2</v>
      </c>
      <c r="I230" s="14">
        <f>D239</f>
        <v>3439.6116734507959</v>
      </c>
      <c r="J230" s="14">
        <f t="shared" ref="J230:J235" si="46">I230/H230</f>
        <v>1719.805836725398</v>
      </c>
      <c r="K230" s="15">
        <f>J230/J235</f>
        <v>0.5472761357857685</v>
      </c>
      <c r="L230" s="14">
        <f>FINV(0.05,2,14)</f>
        <v>3.7388918324407361</v>
      </c>
      <c r="M230" s="1" t="str">
        <f>IF(K230&gt;=L230,"sig","ns")</f>
        <v>ns</v>
      </c>
      <c r="N230" s="13" t="s">
        <v>14</v>
      </c>
      <c r="O230" s="12">
        <f>SQRT(J235/(3*4))</f>
        <v>16.182508014099259</v>
      </c>
    </row>
    <row r="231" spans="1:15" ht="15.75" x14ac:dyDescent="0.3">
      <c r="A231" s="6" t="s">
        <v>35</v>
      </c>
      <c r="B231" s="8">
        <v>212.00748530000001</v>
      </c>
      <c r="C231" s="8">
        <v>191.85923256000001</v>
      </c>
      <c r="D231" s="8">
        <v>176.6992932</v>
      </c>
      <c r="E231" s="9">
        <f t="shared" si="44"/>
        <v>580.56601105999994</v>
      </c>
      <c r="F231" s="10">
        <f t="shared" si="45"/>
        <v>193.52200368666664</v>
      </c>
      <c r="G231" s="13" t="s">
        <v>15</v>
      </c>
      <c r="H231" s="7">
        <v>7</v>
      </c>
      <c r="I231" s="14">
        <f>B240</f>
        <v>14241.316307674977</v>
      </c>
      <c r="J231" s="14">
        <f t="shared" si="46"/>
        <v>2034.4737582392825</v>
      </c>
      <c r="K231" s="15">
        <f>J231/J235</f>
        <v>0.64740967438903074</v>
      </c>
      <c r="L231" s="14">
        <f>FINV(0.05,7,14)</f>
        <v>2.7641992567781792</v>
      </c>
      <c r="M231" s="1" t="str">
        <f>IF(K231&gt;=L231,"sig","ns")</f>
        <v>ns</v>
      </c>
      <c r="N231" s="13" t="s">
        <v>16</v>
      </c>
      <c r="O231" s="12">
        <f>SQRT((2*J235)/(3*4))*L236</f>
        <v>49.084563589564375</v>
      </c>
    </row>
    <row r="232" spans="1:15" ht="15.75" x14ac:dyDescent="0.3">
      <c r="A232" s="6" t="s">
        <v>36</v>
      </c>
      <c r="B232" s="8">
        <v>0</v>
      </c>
      <c r="C232" s="8">
        <v>207.61250287999999</v>
      </c>
      <c r="D232" s="8">
        <v>218.85245791999998</v>
      </c>
      <c r="E232" s="9">
        <f t="shared" si="44"/>
        <v>426.46496079999997</v>
      </c>
      <c r="F232" s="10">
        <f t="shared" si="45"/>
        <v>142.15498693333333</v>
      </c>
      <c r="G232" s="7" t="s">
        <v>17</v>
      </c>
      <c r="H232" s="7">
        <v>1</v>
      </c>
      <c r="I232" s="14">
        <f>((E228+E229+E230+E231)^2+(E232+E233+E234+E235)^2)/12-B238</f>
        <v>20.45474793529138</v>
      </c>
      <c r="J232" s="14">
        <f t="shared" si="46"/>
        <v>20.45474793529138</v>
      </c>
      <c r="K232" s="15">
        <f>J232/J235</f>
        <v>6.5091042078406474E-3</v>
      </c>
      <c r="L232" s="14">
        <f>FINV(0.05,1,14)</f>
        <v>4.6001099366694227</v>
      </c>
      <c r="M232" s="1" t="str">
        <f>IF(K232&gt;=L232,"sig","ns")</f>
        <v>ns</v>
      </c>
      <c r="N232" s="16" t="s">
        <v>18</v>
      </c>
      <c r="O232" s="12">
        <f>(F228+F232)/2</f>
        <v>165.21933912</v>
      </c>
    </row>
    <row r="233" spans="1:15" x14ac:dyDescent="0.25">
      <c r="A233" s="6" t="s">
        <v>37</v>
      </c>
      <c r="B233" s="8">
        <v>219.28245619999998</v>
      </c>
      <c r="C233" s="8">
        <v>284.37386249999997</v>
      </c>
      <c r="D233" s="8">
        <v>174.64930140000001</v>
      </c>
      <c r="E233" s="9">
        <f t="shared" si="44"/>
        <v>678.30562009999994</v>
      </c>
      <c r="F233" s="10">
        <f t="shared" si="45"/>
        <v>226.10187336666664</v>
      </c>
      <c r="G233" s="7" t="s">
        <v>19</v>
      </c>
      <c r="H233" s="7">
        <v>3</v>
      </c>
      <c r="I233" s="14">
        <f xml:space="preserve"> ((E228+E232)^2+(E229+E233)^2+(E230+E234)^2+(E231+E235)^2)/6-B238</f>
        <v>8506.7843684650725</v>
      </c>
      <c r="J233" s="14">
        <f t="shared" si="46"/>
        <v>2835.5947894883575</v>
      </c>
      <c r="K233" s="15">
        <f>J233/J235</f>
        <v>0.9023421864879001</v>
      </c>
      <c r="L233" s="14">
        <f>FINV(0.05,3,14)</f>
        <v>3.3438886781189128</v>
      </c>
      <c r="M233" s="1" t="str">
        <f>IF(K233&gt;=L233,"sig","ns")</f>
        <v>ns</v>
      </c>
      <c r="N233" s="16" t="s">
        <v>20</v>
      </c>
      <c r="O233" s="12">
        <f>(F229+F233)/2</f>
        <v>213.06970327333332</v>
      </c>
    </row>
    <row r="234" spans="1:15" ht="15.75" x14ac:dyDescent="0.3">
      <c r="A234" s="6" t="s">
        <v>38</v>
      </c>
      <c r="B234" s="8">
        <v>174.63930144000003</v>
      </c>
      <c r="C234" s="8">
        <v>186.31925472</v>
      </c>
      <c r="D234" s="8">
        <v>224.72910107999999</v>
      </c>
      <c r="E234" s="9">
        <f t="shared" si="44"/>
        <v>585.68765724000002</v>
      </c>
      <c r="F234" s="10">
        <f t="shared" si="45"/>
        <v>195.22921908000001</v>
      </c>
      <c r="G234" s="17" t="s">
        <v>21</v>
      </c>
      <c r="H234" s="18">
        <v>3</v>
      </c>
      <c r="I234" s="14">
        <f>(I231-(I232+I233))</f>
        <v>5714.0771912746131</v>
      </c>
      <c r="J234" s="14">
        <f t="shared" si="46"/>
        <v>1904.6923970915377</v>
      </c>
      <c r="K234" s="15">
        <f>J234/J235</f>
        <v>0.60611068568389126</v>
      </c>
      <c r="L234" s="14">
        <f>FINV(0.05,3,14)</f>
        <v>3.3438886781189128</v>
      </c>
      <c r="M234" s="1" t="str">
        <f>IF(K234&gt;=L234,"sig","ns")</f>
        <v>ns</v>
      </c>
      <c r="N234" s="16" t="s">
        <v>22</v>
      </c>
      <c r="O234" s="12">
        <f>(F230+F234)/2</f>
        <v>197.30448855666668</v>
      </c>
    </row>
    <row r="235" spans="1:15" ht="15.75" x14ac:dyDescent="0.3">
      <c r="A235" s="6" t="s">
        <v>39</v>
      </c>
      <c r="B235" s="8">
        <v>207.31917071999996</v>
      </c>
      <c r="C235" s="8">
        <v>280.27887888000004</v>
      </c>
      <c r="D235" s="8">
        <v>187.76924892</v>
      </c>
      <c r="E235" s="9">
        <f t="shared" si="44"/>
        <v>675.36729851999996</v>
      </c>
      <c r="F235" s="10">
        <f t="shared" si="45"/>
        <v>225.12243283999999</v>
      </c>
      <c r="G235" s="13" t="s">
        <v>23</v>
      </c>
      <c r="H235" s="7">
        <v>14</v>
      </c>
      <c r="I235" s="14">
        <f>D240</f>
        <v>43994.759025232983</v>
      </c>
      <c r="J235" s="14">
        <f t="shared" si="46"/>
        <v>3142.4827875166416</v>
      </c>
      <c r="K235" s="14"/>
      <c r="L235" s="14"/>
      <c r="M235" s="7"/>
      <c r="N235" s="16" t="s">
        <v>24</v>
      </c>
      <c r="O235" s="12">
        <f>(F231+F235)/2</f>
        <v>209.3222182633333</v>
      </c>
    </row>
    <row r="236" spans="1:15" x14ac:dyDescent="0.25">
      <c r="A236" s="6" t="s">
        <v>4</v>
      </c>
      <c r="B236" s="9">
        <f>SUM(B228:B235)</f>
        <v>1458.0791676599999</v>
      </c>
      <c r="C236" s="9">
        <f>SUM(C228:C235)</f>
        <v>1691.9798987199999</v>
      </c>
      <c r="D236" s="9">
        <f>SUM(D228:D235)</f>
        <v>1559.4354288999998</v>
      </c>
      <c r="E236" s="15">
        <f>SUM(E228:E235)</f>
        <v>4709.4944952799997</v>
      </c>
      <c r="F236" s="19">
        <f>AVERAGE(B228:D235)</f>
        <v>196.22893730333331</v>
      </c>
      <c r="G236" s="13" t="s">
        <v>4</v>
      </c>
      <c r="H236" s="7">
        <v>23</v>
      </c>
      <c r="I236" s="14">
        <f>B239</f>
        <v>61675.687006358756</v>
      </c>
      <c r="J236" s="14"/>
      <c r="K236" s="7" t="s">
        <v>25</v>
      </c>
      <c r="L236" s="20">
        <f>TINV(0.05,14)</f>
        <v>2.1447866879178044</v>
      </c>
      <c r="M236" s="7"/>
      <c r="N236" s="13" t="s">
        <v>14</v>
      </c>
      <c r="O236" s="12">
        <f>SQRT(J235/(3*2))</f>
        <v>22.885522306750474</v>
      </c>
    </row>
    <row r="237" spans="1:15" x14ac:dyDescent="0.25">
      <c r="A237" s="6" t="s">
        <v>5</v>
      </c>
      <c r="B237" s="9">
        <f>B236/8</f>
        <v>182.25989595749999</v>
      </c>
      <c r="C237" s="9">
        <f>C236/8</f>
        <v>211.49748733999999</v>
      </c>
      <c r="D237" s="9">
        <f>D236/8</f>
        <v>194.92942861249998</v>
      </c>
      <c r="E237" s="14"/>
      <c r="F237" s="14"/>
      <c r="G237" s="13" t="s">
        <v>14</v>
      </c>
      <c r="H237" s="12">
        <f>SQRT(J235/3)</f>
        <v>32.365016028198518</v>
      </c>
      <c r="I237" s="7"/>
      <c r="J237" s="21"/>
      <c r="K237" s="7"/>
      <c r="L237" s="7"/>
      <c r="M237" s="7"/>
      <c r="N237" s="13" t="s">
        <v>16</v>
      </c>
      <c r="O237" s="12">
        <f>SQRT((2*J235)/(3*2))*L236</f>
        <v>69.416055531526553</v>
      </c>
    </row>
    <row r="238" spans="1:15" x14ac:dyDescent="0.25">
      <c r="A238" s="7" t="s">
        <v>26</v>
      </c>
      <c r="B238" s="15">
        <f>(E236*E236)/24</f>
        <v>924139.1000446924</v>
      </c>
      <c r="C238" s="14"/>
      <c r="D238" s="14"/>
      <c r="E238" s="14"/>
      <c r="F238" s="14"/>
      <c r="G238" s="13" t="s">
        <v>16</v>
      </c>
      <c r="H238" s="12">
        <f>(SQRT((2*J235)/3))*L236</f>
        <v>98.169127179128751</v>
      </c>
      <c r="I238" s="7"/>
      <c r="J238" s="7"/>
      <c r="K238" s="7"/>
      <c r="L238" s="7"/>
      <c r="M238" s="7"/>
      <c r="N238" s="7"/>
      <c r="O238" s="7"/>
    </row>
    <row r="239" spans="1:15" x14ac:dyDescent="0.25">
      <c r="A239" s="7" t="s">
        <v>27</v>
      </c>
      <c r="B239" s="15">
        <f>SUMSQ(B228:D235)-B238</f>
        <v>61675.687006358756</v>
      </c>
      <c r="C239" s="7" t="s">
        <v>28</v>
      </c>
      <c r="D239" s="15">
        <f>(SUMSQ(B236:D236)/8)-B238</f>
        <v>3439.6116734507959</v>
      </c>
      <c r="E239" s="14"/>
      <c r="F239" s="14"/>
      <c r="G239" s="13" t="s">
        <v>29</v>
      </c>
      <c r="H239" s="12">
        <f>((SQRT(J235))/F236)*100</f>
        <v>28.567576688226126</v>
      </c>
      <c r="I239" s="7"/>
      <c r="J239" s="21"/>
      <c r="K239" s="7"/>
      <c r="L239" s="7"/>
      <c r="M239" s="7"/>
      <c r="N239" s="7"/>
      <c r="O239" s="7"/>
    </row>
    <row r="240" spans="1:15" x14ac:dyDescent="0.25">
      <c r="A240" s="7" t="s">
        <v>30</v>
      </c>
      <c r="B240" s="15">
        <f>(SUMSQ(E228:E235)/3)-B238</f>
        <v>14241.316307674977</v>
      </c>
      <c r="C240" s="7" t="s">
        <v>31</v>
      </c>
      <c r="D240" s="15">
        <f>B239-B240-D239</f>
        <v>43994.759025232983</v>
      </c>
      <c r="E240" s="14"/>
      <c r="F240" s="14"/>
      <c r="G240" s="7"/>
      <c r="H240" s="7"/>
      <c r="I240" s="7"/>
      <c r="J240" s="7"/>
      <c r="K240" s="7"/>
      <c r="L240" s="7"/>
      <c r="M240" s="2"/>
      <c r="N240" s="7"/>
      <c r="O240" s="7"/>
    </row>
    <row r="242" spans="1:15" x14ac:dyDescent="0.25">
      <c r="A242" s="84" t="s">
        <v>67</v>
      </c>
      <c r="B242" s="85"/>
      <c r="C242" s="85"/>
      <c r="D242" s="22"/>
      <c r="E242" s="3"/>
      <c r="F242" s="3"/>
      <c r="G242" s="3"/>
      <c r="H242" s="3"/>
      <c r="I242" s="3"/>
      <c r="J242" s="3"/>
      <c r="K242" s="3"/>
      <c r="L242" s="3"/>
      <c r="M242" s="3"/>
      <c r="N242" s="5"/>
      <c r="O242" s="3"/>
    </row>
    <row r="243" spans="1:15" x14ac:dyDescent="0.25">
      <c r="A243" s="6" t="s">
        <v>0</v>
      </c>
      <c r="B243" s="6" t="s">
        <v>1</v>
      </c>
      <c r="C243" s="6" t="s">
        <v>2</v>
      </c>
      <c r="D243" s="6" t="s">
        <v>3</v>
      </c>
      <c r="E243" s="6" t="s">
        <v>4</v>
      </c>
      <c r="F243" s="6" t="s">
        <v>5</v>
      </c>
      <c r="G243" s="7"/>
      <c r="H243" s="7"/>
      <c r="I243" s="6" t="s">
        <v>6</v>
      </c>
      <c r="J243" s="7"/>
      <c r="K243" s="7"/>
      <c r="L243" s="7"/>
      <c r="M243" s="7"/>
      <c r="N243" s="88" t="s">
        <v>7</v>
      </c>
      <c r="O243" s="89"/>
    </row>
    <row r="244" spans="1:15" ht="15.75" x14ac:dyDescent="0.3">
      <c r="A244" s="6" t="s">
        <v>33</v>
      </c>
      <c r="B244" s="8">
        <v>469.17645662000001</v>
      </c>
      <c r="C244" s="8">
        <v>504.20498317199997</v>
      </c>
      <c r="D244" s="8">
        <v>412.8743484960001</v>
      </c>
      <c r="E244" s="9">
        <f t="shared" ref="E244:E251" si="47">SUM(B244:D244)</f>
        <v>1386.2557882880001</v>
      </c>
      <c r="F244" s="10">
        <f t="shared" ref="F244:F251" si="48">E244/3</f>
        <v>462.08526276266667</v>
      </c>
      <c r="G244" s="7"/>
      <c r="H244" s="7"/>
      <c r="I244" s="7"/>
      <c r="J244" s="7"/>
      <c r="K244" s="7"/>
      <c r="L244" s="7"/>
      <c r="M244" s="7"/>
      <c r="N244" s="11">
        <v>1</v>
      </c>
      <c r="O244" s="12">
        <f>SUM(F244:F247)/4</f>
        <v>386.59149529450002</v>
      </c>
    </row>
    <row r="245" spans="1:15" x14ac:dyDescent="0.25">
      <c r="A245" s="6" t="s">
        <v>32</v>
      </c>
      <c r="B245" s="8">
        <v>264.91394034000001</v>
      </c>
      <c r="C245" s="8">
        <v>254.93898024000001</v>
      </c>
      <c r="D245" s="8">
        <v>302.09879160000003</v>
      </c>
      <c r="E245" s="9">
        <f t="shared" si="47"/>
        <v>821.95171218000007</v>
      </c>
      <c r="F245" s="10">
        <f t="shared" si="48"/>
        <v>273.98390406000004</v>
      </c>
      <c r="G245" s="7"/>
      <c r="H245" s="13" t="s">
        <v>8</v>
      </c>
      <c r="I245" s="13" t="s">
        <v>9</v>
      </c>
      <c r="J245" s="13" t="s">
        <v>10</v>
      </c>
      <c r="K245" s="13" t="s">
        <v>11</v>
      </c>
      <c r="L245" s="13" t="s">
        <v>12</v>
      </c>
      <c r="M245" s="7"/>
      <c r="N245" s="11">
        <v>0.75</v>
      </c>
      <c r="O245" s="12">
        <f>SUM(F248:F251)/4</f>
        <v>399.4665271275</v>
      </c>
    </row>
    <row r="246" spans="1:15" ht="15.75" x14ac:dyDescent="0.3">
      <c r="A246" s="6" t="s">
        <v>34</v>
      </c>
      <c r="B246" s="8">
        <v>160.767356928</v>
      </c>
      <c r="C246" s="8">
        <v>575.32919867399994</v>
      </c>
      <c r="D246" s="8">
        <v>400.19673254000003</v>
      </c>
      <c r="E246" s="9">
        <f t="shared" si="47"/>
        <v>1136.2932881419999</v>
      </c>
      <c r="F246" s="10">
        <f t="shared" si="48"/>
        <v>378.76442938066663</v>
      </c>
      <c r="G246" s="13" t="s">
        <v>13</v>
      </c>
      <c r="H246" s="7">
        <v>2</v>
      </c>
      <c r="I246" s="14">
        <f>D255</f>
        <v>48340.465092821047</v>
      </c>
      <c r="J246" s="14">
        <f t="shared" ref="J246:J251" si="49">I246/H246</f>
        <v>24170.232546410523</v>
      </c>
      <c r="K246" s="15">
        <f>J246/J251</f>
        <v>2.1327260738061571</v>
      </c>
      <c r="L246" s="14">
        <f>FINV(0.05,2,14)</f>
        <v>3.7388918324407361</v>
      </c>
      <c r="M246" s="1" t="str">
        <f>IF(K246&gt;=L246,"sig","ns")</f>
        <v>ns</v>
      </c>
      <c r="N246" s="13" t="s">
        <v>14</v>
      </c>
      <c r="O246" s="12">
        <f>SQRT(J251/(3*4))</f>
        <v>30.731393400294344</v>
      </c>
    </row>
    <row r="247" spans="1:15" ht="15.75" x14ac:dyDescent="0.3">
      <c r="A247" s="6" t="s">
        <v>35</v>
      </c>
      <c r="B247" s="8">
        <v>368.989857368</v>
      </c>
      <c r="C247" s="8">
        <v>512.89394841599994</v>
      </c>
      <c r="D247" s="8">
        <v>412.71334913999999</v>
      </c>
      <c r="E247" s="9">
        <f t="shared" si="47"/>
        <v>1294.5971549239998</v>
      </c>
      <c r="F247" s="10">
        <f t="shared" si="48"/>
        <v>431.53238497466663</v>
      </c>
      <c r="G247" s="13" t="s">
        <v>15</v>
      </c>
      <c r="H247" s="7">
        <v>7</v>
      </c>
      <c r="I247" s="14">
        <f>B256</f>
        <v>190715.69494519383</v>
      </c>
      <c r="J247" s="14">
        <f t="shared" si="49"/>
        <v>27245.099277884834</v>
      </c>
      <c r="K247" s="15">
        <f>J247/J251</f>
        <v>2.404045285944572</v>
      </c>
      <c r="L247" s="14">
        <f>FINV(0.05,7,14)</f>
        <v>2.7641992567781792</v>
      </c>
      <c r="M247" s="1" t="str">
        <f>IF(K247&gt;=L247,"sig","ns")</f>
        <v>ns</v>
      </c>
      <c r="N247" s="13" t="s">
        <v>16</v>
      </c>
      <c r="O247" s="12">
        <f>SQRT((2*J251)/(3*4))*L252</f>
        <v>93.214045204761703</v>
      </c>
    </row>
    <row r="248" spans="1:15" ht="15.75" x14ac:dyDescent="0.3">
      <c r="A248" s="6" t="s">
        <v>36</v>
      </c>
      <c r="B248" s="8">
        <v>0</v>
      </c>
      <c r="C248" s="8">
        <v>354.017083926</v>
      </c>
      <c r="D248" s="8">
        <v>368.72552509199994</v>
      </c>
      <c r="E248" s="9">
        <f t="shared" si="47"/>
        <v>722.74260901799994</v>
      </c>
      <c r="F248" s="10">
        <f t="shared" si="48"/>
        <v>240.91420300599998</v>
      </c>
      <c r="G248" s="7" t="s">
        <v>17</v>
      </c>
      <c r="H248" s="7">
        <v>1</v>
      </c>
      <c r="I248" s="14">
        <f>((E244+E245+E246+E247)^2+(E248+E249+E250+E251)^2)/12-B254</f>
        <v>994.59866820462048</v>
      </c>
      <c r="J248" s="14">
        <f t="shared" si="49"/>
        <v>994.59866820462048</v>
      </c>
      <c r="K248" s="15">
        <f>J248/J251</f>
        <v>8.7761113120439938E-2</v>
      </c>
      <c r="L248" s="14">
        <f>FINV(0.05,1,14)</f>
        <v>4.6001099366694227</v>
      </c>
      <c r="M248" s="1" t="str">
        <f>IF(K248&gt;=L248,"sig","ns")</f>
        <v>ns</v>
      </c>
      <c r="N248" s="16" t="s">
        <v>18</v>
      </c>
      <c r="O248" s="12">
        <f>(F244+F248)/2</f>
        <v>351.4997328843333</v>
      </c>
    </row>
    <row r="249" spans="1:15" x14ac:dyDescent="0.25">
      <c r="A249" s="6" t="s">
        <v>37</v>
      </c>
      <c r="B249" s="8">
        <v>421.22898174400007</v>
      </c>
      <c r="C249" s="8">
        <v>293.92032431400003</v>
      </c>
      <c r="D249" s="8">
        <v>414.85584057000005</v>
      </c>
      <c r="E249" s="9">
        <f t="shared" si="47"/>
        <v>1130.0051466280001</v>
      </c>
      <c r="F249" s="10">
        <f t="shared" si="48"/>
        <v>376.6683822093334</v>
      </c>
      <c r="G249" s="7" t="s">
        <v>19</v>
      </c>
      <c r="H249" s="7">
        <v>3</v>
      </c>
      <c r="I249" s="14">
        <f xml:space="preserve"> ((E244+E248)^2+(E245+E249)^2+(E246+E250)^2+(E247+E251)^2)/6-B254</f>
        <v>73836.419061927125</v>
      </c>
      <c r="J249" s="14">
        <f t="shared" si="49"/>
        <v>24612.139687309042</v>
      </c>
      <c r="K249" s="15">
        <f>J249/J251</f>
        <v>2.1717189498484424</v>
      </c>
      <c r="L249" s="14">
        <f>FINV(0.05,3,14)</f>
        <v>3.3438886781189128</v>
      </c>
      <c r="M249" s="1" t="str">
        <f>IF(K249&gt;=L249,"sig","ns")</f>
        <v>ns</v>
      </c>
      <c r="N249" s="16" t="s">
        <v>20</v>
      </c>
      <c r="O249" s="12">
        <f>(F245+F249)/2</f>
        <v>325.32614313466672</v>
      </c>
    </row>
    <row r="250" spans="1:15" ht="15.75" x14ac:dyDescent="0.3">
      <c r="A250" s="6" t="s">
        <v>38</v>
      </c>
      <c r="B250" s="8">
        <v>523.88840443799995</v>
      </c>
      <c r="C250" s="8">
        <v>457.97133477400007</v>
      </c>
      <c r="D250" s="8">
        <v>543.76265827399993</v>
      </c>
      <c r="E250" s="9">
        <f t="shared" si="47"/>
        <v>1525.622397486</v>
      </c>
      <c r="F250" s="10">
        <f t="shared" si="48"/>
        <v>508.54079916199998</v>
      </c>
      <c r="G250" s="17" t="s">
        <v>21</v>
      </c>
      <c r="H250" s="18">
        <v>3</v>
      </c>
      <c r="I250" s="14">
        <f>(I247-(I248+I249))</f>
        <v>115884.67721506208</v>
      </c>
      <c r="J250" s="14">
        <f t="shared" si="49"/>
        <v>38628.225738354027</v>
      </c>
      <c r="K250" s="15">
        <f>J250/J251</f>
        <v>3.4084663463154117</v>
      </c>
      <c r="L250" s="14">
        <f>FINV(0.05,3,14)</f>
        <v>3.3438886781189128</v>
      </c>
      <c r="M250" s="1" t="str">
        <f>IF(K250&gt;=L250,"sig","ns")</f>
        <v>sig</v>
      </c>
      <c r="N250" s="16" t="s">
        <v>22</v>
      </c>
      <c r="O250" s="12">
        <f>(F246+F250)/2</f>
        <v>443.65261427133328</v>
      </c>
    </row>
    <row r="251" spans="1:15" ht="15.75" x14ac:dyDescent="0.3">
      <c r="A251" s="6" t="s">
        <v>39</v>
      </c>
      <c r="B251" s="8">
        <v>430.72577709000007</v>
      </c>
      <c r="C251" s="8">
        <v>492.62736281600002</v>
      </c>
      <c r="D251" s="8">
        <v>491.875032492</v>
      </c>
      <c r="E251" s="9">
        <f t="shared" si="47"/>
        <v>1415.228172398</v>
      </c>
      <c r="F251" s="10">
        <f t="shared" si="48"/>
        <v>471.74272413266664</v>
      </c>
      <c r="G251" s="13" t="s">
        <v>23</v>
      </c>
      <c r="H251" s="7">
        <v>14</v>
      </c>
      <c r="I251" s="14">
        <f>D256</f>
        <v>158662.31477437401</v>
      </c>
      <c r="J251" s="14">
        <f t="shared" si="49"/>
        <v>11333.022483883859</v>
      </c>
      <c r="K251" s="14"/>
      <c r="L251" s="14"/>
      <c r="M251" s="7"/>
      <c r="N251" s="16" t="s">
        <v>24</v>
      </c>
      <c r="O251" s="12">
        <f>(F247+F251)/2</f>
        <v>451.63755455366663</v>
      </c>
    </row>
    <row r="252" spans="1:15" x14ac:dyDescent="0.25">
      <c r="A252" s="6" t="s">
        <v>4</v>
      </c>
      <c r="B252" s="9">
        <f>SUM(B244:B251)</f>
        <v>2639.690774528</v>
      </c>
      <c r="C252" s="9">
        <f>SUM(C244:C251)</f>
        <v>3445.9032163320003</v>
      </c>
      <c r="D252" s="9">
        <f>SUM(D244:D251)</f>
        <v>3347.1022782040004</v>
      </c>
      <c r="E252" s="15">
        <f>SUM(E244:E251)</f>
        <v>9432.6962690639994</v>
      </c>
      <c r="F252" s="19">
        <f>AVERAGE(B244:D251)</f>
        <v>393.02901121100007</v>
      </c>
      <c r="G252" s="13" t="s">
        <v>4</v>
      </c>
      <c r="H252" s="7">
        <v>23</v>
      </c>
      <c r="I252" s="14">
        <f>B255</f>
        <v>397718.47481238889</v>
      </c>
      <c r="J252" s="14"/>
      <c r="K252" s="7" t="s">
        <v>25</v>
      </c>
      <c r="L252" s="20">
        <f>TINV(0.05,14)</f>
        <v>2.1447866879178044</v>
      </c>
      <c r="M252" s="7"/>
      <c r="N252" s="13" t="s">
        <v>14</v>
      </c>
      <c r="O252" s="12">
        <f>SQRT(J251/(3*2))</f>
        <v>43.460753337319289</v>
      </c>
    </row>
    <row r="253" spans="1:15" x14ac:dyDescent="0.25">
      <c r="A253" s="6" t="s">
        <v>5</v>
      </c>
      <c r="B253" s="9">
        <f>B252/8</f>
        <v>329.961346816</v>
      </c>
      <c r="C253" s="9">
        <f>C252/8</f>
        <v>430.73790204150004</v>
      </c>
      <c r="D253" s="9">
        <f>D252/8</f>
        <v>418.38778477550005</v>
      </c>
      <c r="E253" s="14"/>
      <c r="F253" s="14"/>
      <c r="G253" s="13" t="s">
        <v>14</v>
      </c>
      <c r="H253" s="12">
        <f>SQRT(J251/3)</f>
        <v>61.462786800588688</v>
      </c>
      <c r="I253" s="7"/>
      <c r="J253" s="21"/>
      <c r="K253" s="7"/>
      <c r="L253" s="7"/>
      <c r="M253" s="7"/>
      <c r="N253" s="13" t="s">
        <v>16</v>
      </c>
      <c r="O253" s="12">
        <f>SQRT((2*J251)/(3*2))*L252</f>
        <v>131.82456693223276</v>
      </c>
    </row>
    <row r="254" spans="1:15" x14ac:dyDescent="0.25">
      <c r="A254" s="7" t="s">
        <v>26</v>
      </c>
      <c r="B254" s="15">
        <f>(E252*E252)/24</f>
        <v>3707323.2876839121</v>
      </c>
      <c r="C254" s="14"/>
      <c r="D254" s="14"/>
      <c r="E254" s="14"/>
      <c r="F254" s="14"/>
      <c r="G254" s="13" t="s">
        <v>16</v>
      </c>
      <c r="H254" s="12">
        <f>(SQRT((2*J251)/3))*L252</f>
        <v>186.42809040952341</v>
      </c>
      <c r="I254" s="7"/>
      <c r="J254" s="7"/>
      <c r="K254" s="7"/>
      <c r="L254" s="7"/>
      <c r="M254" s="7"/>
      <c r="N254" s="7"/>
      <c r="O254" s="7"/>
    </row>
    <row r="255" spans="1:15" x14ac:dyDescent="0.25">
      <c r="A255" s="7" t="s">
        <v>27</v>
      </c>
      <c r="B255" s="15">
        <f>SUMSQ(B244:D251)-B254</f>
        <v>397718.47481238889</v>
      </c>
      <c r="C255" s="7" t="s">
        <v>28</v>
      </c>
      <c r="D255" s="15">
        <f>(SUMSQ(B252:D252)/8)-B254</f>
        <v>48340.465092821047</v>
      </c>
      <c r="E255" s="14"/>
      <c r="F255" s="14"/>
      <c r="G255" s="13" t="s">
        <v>29</v>
      </c>
      <c r="H255" s="12">
        <f>((SQRT(J251))/F252)*100</f>
        <v>27.086211571349235</v>
      </c>
      <c r="I255" s="7"/>
      <c r="J255" s="21"/>
      <c r="K255" s="7"/>
      <c r="L255" s="7"/>
      <c r="M255" s="7"/>
      <c r="N255" s="7"/>
      <c r="O255" s="7"/>
    </row>
    <row r="256" spans="1:15" x14ac:dyDescent="0.25">
      <c r="A256" s="7" t="s">
        <v>30</v>
      </c>
      <c r="B256" s="15">
        <f>(SUMSQ(E244:E251)/3)-B254</f>
        <v>190715.69494519383</v>
      </c>
      <c r="C256" s="7" t="s">
        <v>31</v>
      </c>
      <c r="D256" s="15">
        <f>B255-B256-D255</f>
        <v>158662.31477437401</v>
      </c>
      <c r="E256" s="14"/>
      <c r="F256" s="14"/>
      <c r="G256" s="7"/>
      <c r="H256" s="7"/>
      <c r="I256" s="7"/>
      <c r="J256" s="7"/>
      <c r="K256" s="7"/>
      <c r="L256" s="7"/>
      <c r="M256" s="2"/>
      <c r="N256" s="7"/>
      <c r="O256" s="7"/>
    </row>
    <row r="258" spans="1:15" x14ac:dyDescent="0.25">
      <c r="A258" s="84" t="s">
        <v>68</v>
      </c>
      <c r="B258" s="85"/>
      <c r="C258" s="85"/>
      <c r="D258" s="22"/>
      <c r="E258" s="3"/>
      <c r="F258" s="3"/>
      <c r="G258" s="3"/>
      <c r="H258" s="3"/>
      <c r="I258" s="3"/>
      <c r="J258" s="3"/>
      <c r="K258" s="3"/>
      <c r="L258" s="3"/>
      <c r="M258" s="3"/>
      <c r="N258" s="5"/>
      <c r="O258" s="3"/>
    </row>
    <row r="259" spans="1:15" x14ac:dyDescent="0.25">
      <c r="A259" s="6" t="s">
        <v>0</v>
      </c>
      <c r="B259" s="6" t="s">
        <v>1</v>
      </c>
      <c r="C259" s="6" t="s">
        <v>2</v>
      </c>
      <c r="D259" s="6" t="s">
        <v>3</v>
      </c>
      <c r="E259" s="6" t="s">
        <v>4</v>
      </c>
      <c r="F259" s="6" t="s">
        <v>5</v>
      </c>
      <c r="G259" s="7"/>
      <c r="H259" s="7"/>
      <c r="I259" s="6" t="s">
        <v>6</v>
      </c>
      <c r="J259" s="7"/>
      <c r="K259" s="7"/>
      <c r="L259" s="7"/>
      <c r="M259" s="7"/>
      <c r="N259" s="88" t="s">
        <v>7</v>
      </c>
      <c r="O259" s="89"/>
    </row>
    <row r="260" spans="1:15" ht="15.75" x14ac:dyDescent="0.3">
      <c r="A260" s="6" t="s">
        <v>33</v>
      </c>
      <c r="B260" s="8"/>
      <c r="C260" s="8"/>
      <c r="D260" s="8"/>
      <c r="E260" s="9">
        <f t="shared" ref="E260:E267" si="50">SUM(B260:D260)</f>
        <v>0</v>
      </c>
      <c r="F260" s="10">
        <f t="shared" ref="F260:F267" si="51">E260/3</f>
        <v>0</v>
      </c>
      <c r="G260" s="7"/>
      <c r="H260" s="7"/>
      <c r="I260" s="7"/>
      <c r="J260" s="7"/>
      <c r="K260" s="7"/>
      <c r="L260" s="7"/>
      <c r="M260" s="7"/>
      <c r="N260" s="11">
        <v>1</v>
      </c>
      <c r="O260" s="12">
        <f>SUM(F260:F263)/4</f>
        <v>0</v>
      </c>
    </row>
    <row r="261" spans="1:15" x14ac:dyDescent="0.25">
      <c r="A261" s="6" t="s">
        <v>32</v>
      </c>
      <c r="B261" s="8"/>
      <c r="C261" s="8"/>
      <c r="D261" s="8"/>
      <c r="E261" s="9">
        <f t="shared" si="50"/>
        <v>0</v>
      </c>
      <c r="F261" s="10">
        <f t="shared" si="51"/>
        <v>0</v>
      </c>
      <c r="G261" s="7"/>
      <c r="H261" s="13" t="s">
        <v>8</v>
      </c>
      <c r="I261" s="13" t="s">
        <v>9</v>
      </c>
      <c r="J261" s="13" t="s">
        <v>10</v>
      </c>
      <c r="K261" s="13" t="s">
        <v>11</v>
      </c>
      <c r="L261" s="13" t="s">
        <v>12</v>
      </c>
      <c r="M261" s="7"/>
      <c r="N261" s="11">
        <v>0.75</v>
      </c>
      <c r="O261" s="12">
        <f>SUM(F264:F267)/4</f>
        <v>0</v>
      </c>
    </row>
    <row r="262" spans="1:15" ht="15.75" x14ac:dyDescent="0.3">
      <c r="A262" s="6" t="s">
        <v>34</v>
      </c>
      <c r="B262" s="8"/>
      <c r="C262" s="8"/>
      <c r="D262" s="8"/>
      <c r="E262" s="9">
        <f t="shared" si="50"/>
        <v>0</v>
      </c>
      <c r="F262" s="10">
        <f t="shared" si="51"/>
        <v>0</v>
      </c>
      <c r="G262" s="13" t="s">
        <v>13</v>
      </c>
      <c r="H262" s="7">
        <v>2</v>
      </c>
      <c r="I262" s="14">
        <f>D271</f>
        <v>0</v>
      </c>
      <c r="J262" s="14">
        <f t="shared" ref="J262:J267" si="52">I262/H262</f>
        <v>0</v>
      </c>
      <c r="K262" s="15" t="e">
        <f>J262/J267</f>
        <v>#DIV/0!</v>
      </c>
      <c r="L262" s="14">
        <f>FINV(0.05,2,14)</f>
        <v>3.7388918324407361</v>
      </c>
      <c r="M262" s="1" t="e">
        <f>IF(K262&gt;=L262,"sig","ns")</f>
        <v>#DIV/0!</v>
      </c>
      <c r="N262" s="13" t="s">
        <v>14</v>
      </c>
      <c r="O262" s="12">
        <f>SQRT(J267/(3*4))</f>
        <v>0</v>
      </c>
    </row>
    <row r="263" spans="1:15" ht="15.75" x14ac:dyDescent="0.3">
      <c r="A263" s="6" t="s">
        <v>35</v>
      </c>
      <c r="B263" s="8"/>
      <c r="C263" s="8"/>
      <c r="D263" s="8"/>
      <c r="E263" s="9">
        <f t="shared" si="50"/>
        <v>0</v>
      </c>
      <c r="F263" s="10">
        <f t="shared" si="51"/>
        <v>0</v>
      </c>
      <c r="G263" s="13" t="s">
        <v>15</v>
      </c>
      <c r="H263" s="7">
        <v>7</v>
      </c>
      <c r="I263" s="14">
        <f>B272</f>
        <v>0</v>
      </c>
      <c r="J263" s="14">
        <f t="shared" si="52"/>
        <v>0</v>
      </c>
      <c r="K263" s="15" t="e">
        <f>J263/J267</f>
        <v>#DIV/0!</v>
      </c>
      <c r="L263" s="14">
        <f>FINV(0.05,7,14)</f>
        <v>2.7641992567781792</v>
      </c>
      <c r="M263" s="1" t="e">
        <f>IF(K263&gt;=L263,"sig","ns")</f>
        <v>#DIV/0!</v>
      </c>
      <c r="N263" s="13" t="s">
        <v>16</v>
      </c>
      <c r="O263" s="12">
        <f>SQRT((2*J267)/(3*4))*L268</f>
        <v>0</v>
      </c>
    </row>
    <row r="264" spans="1:15" ht="15.75" x14ac:dyDescent="0.3">
      <c r="A264" s="6" t="s">
        <v>36</v>
      </c>
      <c r="B264" s="8"/>
      <c r="C264" s="8"/>
      <c r="D264" s="8"/>
      <c r="E264" s="9">
        <f t="shared" si="50"/>
        <v>0</v>
      </c>
      <c r="F264" s="10">
        <f t="shared" si="51"/>
        <v>0</v>
      </c>
      <c r="G264" s="7" t="s">
        <v>17</v>
      </c>
      <c r="H264" s="7">
        <v>1</v>
      </c>
      <c r="I264" s="14">
        <f>((E260+E261+E262+E263)^2+(E264+E265+E266+E267)^2)/12-B270</f>
        <v>0</v>
      </c>
      <c r="J264" s="14">
        <f t="shared" si="52"/>
        <v>0</v>
      </c>
      <c r="K264" s="15" t="e">
        <f>J264/J267</f>
        <v>#DIV/0!</v>
      </c>
      <c r="L264" s="14">
        <f>FINV(0.05,1,14)</f>
        <v>4.6001099366694227</v>
      </c>
      <c r="M264" s="1" t="e">
        <f>IF(K264&gt;=L264,"sig","ns")</f>
        <v>#DIV/0!</v>
      </c>
      <c r="N264" s="16" t="s">
        <v>18</v>
      </c>
      <c r="O264" s="12">
        <f>(F260+F264)/2</f>
        <v>0</v>
      </c>
    </row>
    <row r="265" spans="1:15" x14ac:dyDescent="0.25">
      <c r="A265" s="6" t="s">
        <v>37</v>
      </c>
      <c r="B265" s="8"/>
      <c r="C265" s="8"/>
      <c r="D265" s="8"/>
      <c r="E265" s="9">
        <f t="shared" si="50"/>
        <v>0</v>
      </c>
      <c r="F265" s="10">
        <f t="shared" si="51"/>
        <v>0</v>
      </c>
      <c r="G265" s="7" t="s">
        <v>19</v>
      </c>
      <c r="H265" s="7">
        <v>3</v>
      </c>
      <c r="I265" s="14">
        <f xml:space="preserve"> ((E260+E264)^2+(E261+E265)^2+(E262+E266)^2+(E263+E267)^2)/6-B270</f>
        <v>0</v>
      </c>
      <c r="J265" s="14">
        <f t="shared" si="52"/>
        <v>0</v>
      </c>
      <c r="K265" s="15" t="e">
        <f>J265/J267</f>
        <v>#DIV/0!</v>
      </c>
      <c r="L265" s="14">
        <f>FINV(0.05,3,14)</f>
        <v>3.3438886781189128</v>
      </c>
      <c r="M265" s="1" t="e">
        <f>IF(K265&gt;=L265,"sig","ns")</f>
        <v>#DIV/0!</v>
      </c>
      <c r="N265" s="16" t="s">
        <v>20</v>
      </c>
      <c r="O265" s="12">
        <f>(F261+F265)/2</f>
        <v>0</v>
      </c>
    </row>
    <row r="266" spans="1:15" ht="15.75" x14ac:dyDescent="0.3">
      <c r="A266" s="6" t="s">
        <v>38</v>
      </c>
      <c r="B266" s="8"/>
      <c r="C266" s="8"/>
      <c r="D266" s="8"/>
      <c r="E266" s="9">
        <f t="shared" si="50"/>
        <v>0</v>
      </c>
      <c r="F266" s="10">
        <f t="shared" si="51"/>
        <v>0</v>
      </c>
      <c r="G266" s="17" t="s">
        <v>21</v>
      </c>
      <c r="H266" s="18">
        <v>3</v>
      </c>
      <c r="I266" s="14">
        <f>(I263-(I264+I265))</f>
        <v>0</v>
      </c>
      <c r="J266" s="14">
        <f t="shared" si="52"/>
        <v>0</v>
      </c>
      <c r="K266" s="15" t="e">
        <f>J266/J267</f>
        <v>#DIV/0!</v>
      </c>
      <c r="L266" s="14">
        <f>FINV(0.05,3,14)</f>
        <v>3.3438886781189128</v>
      </c>
      <c r="M266" s="1" t="e">
        <f>IF(K266&gt;=L266,"sig","ns")</f>
        <v>#DIV/0!</v>
      </c>
      <c r="N266" s="16" t="s">
        <v>22</v>
      </c>
      <c r="O266" s="12">
        <f>(F262+F266)/2</f>
        <v>0</v>
      </c>
    </row>
    <row r="267" spans="1:15" ht="15.75" x14ac:dyDescent="0.3">
      <c r="A267" s="6" t="s">
        <v>39</v>
      </c>
      <c r="B267" s="8"/>
      <c r="C267" s="8"/>
      <c r="D267" s="8"/>
      <c r="E267" s="9">
        <f t="shared" si="50"/>
        <v>0</v>
      </c>
      <c r="F267" s="10">
        <f t="shared" si="51"/>
        <v>0</v>
      </c>
      <c r="G267" s="13" t="s">
        <v>23</v>
      </c>
      <c r="H267" s="7">
        <v>14</v>
      </c>
      <c r="I267" s="14">
        <f>D272</f>
        <v>0</v>
      </c>
      <c r="J267" s="14">
        <f t="shared" si="52"/>
        <v>0</v>
      </c>
      <c r="K267" s="14"/>
      <c r="L267" s="14"/>
      <c r="M267" s="7"/>
      <c r="N267" s="16" t="s">
        <v>24</v>
      </c>
      <c r="O267" s="12">
        <f>(F263+F267)/2</f>
        <v>0</v>
      </c>
    </row>
    <row r="268" spans="1:15" x14ac:dyDescent="0.25">
      <c r="A268" s="6" t="s">
        <v>4</v>
      </c>
      <c r="B268" s="9">
        <f>SUM(B260:B267)</f>
        <v>0</v>
      </c>
      <c r="C268" s="9">
        <f>SUM(C260:C267)</f>
        <v>0</v>
      </c>
      <c r="D268" s="9">
        <f>SUM(D260:D267)</f>
        <v>0</v>
      </c>
      <c r="E268" s="15">
        <f>SUM(E260:E267)</f>
        <v>0</v>
      </c>
      <c r="F268" s="19" t="e">
        <f>AVERAGE(B260:D267)</f>
        <v>#DIV/0!</v>
      </c>
      <c r="G268" s="13" t="s">
        <v>4</v>
      </c>
      <c r="H268" s="7">
        <v>23</v>
      </c>
      <c r="I268" s="14">
        <f>B271</f>
        <v>0</v>
      </c>
      <c r="J268" s="14"/>
      <c r="K268" s="7" t="s">
        <v>25</v>
      </c>
      <c r="L268" s="20">
        <f>TINV(0.05,14)</f>
        <v>2.1447866879178044</v>
      </c>
      <c r="M268" s="7"/>
      <c r="N268" s="13" t="s">
        <v>14</v>
      </c>
      <c r="O268" s="12">
        <f>SQRT(J267/(3*2))</f>
        <v>0</v>
      </c>
    </row>
    <row r="269" spans="1:15" x14ac:dyDescent="0.25">
      <c r="A269" s="6" t="s">
        <v>5</v>
      </c>
      <c r="B269" s="9">
        <f>B268/8</f>
        <v>0</v>
      </c>
      <c r="C269" s="9">
        <f>C268/8</f>
        <v>0</v>
      </c>
      <c r="D269" s="9">
        <f>D268/8</f>
        <v>0</v>
      </c>
      <c r="E269" s="14"/>
      <c r="F269" s="14"/>
      <c r="G269" s="13" t="s">
        <v>14</v>
      </c>
      <c r="H269" s="12">
        <f>SQRT(J267/3)</f>
        <v>0</v>
      </c>
      <c r="I269" s="7"/>
      <c r="J269" s="21"/>
      <c r="K269" s="7"/>
      <c r="L269" s="7"/>
      <c r="M269" s="7"/>
      <c r="N269" s="13" t="s">
        <v>16</v>
      </c>
      <c r="O269" s="12">
        <f>SQRT((2*J267)/(3*2))*L268</f>
        <v>0</v>
      </c>
    </row>
    <row r="270" spans="1:15" x14ac:dyDescent="0.25">
      <c r="A270" s="7" t="s">
        <v>26</v>
      </c>
      <c r="B270" s="15">
        <f>(E268*E268)/24</f>
        <v>0</v>
      </c>
      <c r="C270" s="14"/>
      <c r="D270" s="14"/>
      <c r="E270" s="14"/>
      <c r="F270" s="14"/>
      <c r="G270" s="13" t="s">
        <v>16</v>
      </c>
      <c r="H270" s="12">
        <f>(SQRT((2*J267)/3))*L268</f>
        <v>0</v>
      </c>
      <c r="I270" s="7"/>
      <c r="J270" s="7"/>
      <c r="K270" s="7"/>
      <c r="L270" s="7"/>
      <c r="M270" s="7"/>
      <c r="N270" s="7"/>
      <c r="O270" s="7"/>
    </row>
    <row r="271" spans="1:15" x14ac:dyDescent="0.25">
      <c r="A271" s="7" t="s">
        <v>27</v>
      </c>
      <c r="B271" s="15">
        <f>SUMSQ(B260:D267)-B270</f>
        <v>0</v>
      </c>
      <c r="C271" s="7" t="s">
        <v>28</v>
      </c>
      <c r="D271" s="15">
        <f>(SUMSQ(B268:D268)/8)-B270</f>
        <v>0</v>
      </c>
      <c r="E271" s="14"/>
      <c r="F271" s="14"/>
      <c r="G271" s="13" t="s">
        <v>29</v>
      </c>
      <c r="H271" s="12" t="e">
        <f>((SQRT(J267))/F268)*100</f>
        <v>#DIV/0!</v>
      </c>
      <c r="I271" s="7"/>
      <c r="J271" s="21"/>
      <c r="K271" s="7"/>
      <c r="L271" s="7"/>
      <c r="M271" s="7"/>
      <c r="N271" s="7"/>
      <c r="O271" s="7"/>
    </row>
    <row r="272" spans="1:15" x14ac:dyDescent="0.25">
      <c r="A272" s="7" t="s">
        <v>30</v>
      </c>
      <c r="B272" s="15">
        <f>(SUMSQ(E260:E267)/3)-B270</f>
        <v>0</v>
      </c>
      <c r="C272" s="7" t="s">
        <v>31</v>
      </c>
      <c r="D272" s="15">
        <f>B271-B272-D271</f>
        <v>0</v>
      </c>
      <c r="E272" s="14"/>
      <c r="F272" s="14"/>
      <c r="G272" s="7"/>
      <c r="H272" s="7"/>
      <c r="I272" s="7"/>
      <c r="J272" s="7"/>
      <c r="K272" s="7"/>
      <c r="L272" s="7"/>
      <c r="M272" s="2"/>
      <c r="N272" s="7"/>
      <c r="O272" s="7"/>
    </row>
    <row r="274" spans="1:15" x14ac:dyDescent="0.25">
      <c r="A274" s="84" t="s">
        <v>85</v>
      </c>
      <c r="B274" s="85"/>
      <c r="C274" s="85"/>
      <c r="D274" s="22"/>
      <c r="E274" s="3"/>
      <c r="F274" s="3"/>
      <c r="G274" s="3"/>
      <c r="H274" s="3"/>
      <c r="I274" s="3"/>
      <c r="J274" s="3"/>
      <c r="K274" s="3"/>
      <c r="L274" s="3"/>
      <c r="M274" s="3"/>
      <c r="N274" s="5"/>
      <c r="O274" s="3"/>
    </row>
    <row r="275" spans="1:15" x14ac:dyDescent="0.25">
      <c r="A275" s="6" t="s">
        <v>0</v>
      </c>
      <c r="B275" s="6" t="s">
        <v>1</v>
      </c>
      <c r="C275" s="6" t="s">
        <v>2</v>
      </c>
      <c r="D275" s="6" t="s">
        <v>3</v>
      </c>
      <c r="E275" s="6" t="s">
        <v>4</v>
      </c>
      <c r="F275" s="6" t="s">
        <v>5</v>
      </c>
      <c r="G275" s="7"/>
      <c r="H275" s="7"/>
      <c r="I275" s="6" t="s">
        <v>6</v>
      </c>
      <c r="J275" s="7"/>
      <c r="K275" s="7"/>
      <c r="L275" s="7"/>
      <c r="M275" s="7"/>
      <c r="N275" s="88" t="s">
        <v>7</v>
      </c>
      <c r="O275" s="89"/>
    </row>
    <row r="276" spans="1:15" ht="15.75" x14ac:dyDescent="0.3">
      <c r="A276" s="6" t="s">
        <v>33</v>
      </c>
      <c r="B276" s="8">
        <f>B244+B260</f>
        <v>469.17645662000001</v>
      </c>
      <c r="C276" s="8">
        <f>C244+C260</f>
        <v>504.20498317199997</v>
      </c>
      <c r="D276" s="8">
        <f>D244+D260</f>
        <v>412.8743484960001</v>
      </c>
      <c r="E276" s="9">
        <f t="shared" ref="E276:E283" si="53">SUM(B276:D276)</f>
        <v>1386.2557882880001</v>
      </c>
      <c r="F276" s="10">
        <f t="shared" ref="F276:F283" si="54">E276/3</f>
        <v>462.08526276266667</v>
      </c>
      <c r="G276" s="7"/>
      <c r="H276" s="7"/>
      <c r="I276" s="7"/>
      <c r="J276" s="7"/>
      <c r="K276" s="7"/>
      <c r="L276" s="7"/>
      <c r="M276" s="7"/>
      <c r="N276" s="11">
        <v>1</v>
      </c>
      <c r="O276" s="12">
        <f>SUM(F276:F279)/4</f>
        <v>386.59149529450002</v>
      </c>
    </row>
    <row r="277" spans="1:15" x14ac:dyDescent="0.25">
      <c r="A277" s="6" t="s">
        <v>32</v>
      </c>
      <c r="B277" s="8">
        <f t="shared" ref="B277:D283" si="55">B245+B261</f>
        <v>264.91394034000001</v>
      </c>
      <c r="C277" s="8">
        <f t="shared" si="55"/>
        <v>254.93898024000001</v>
      </c>
      <c r="D277" s="8">
        <f t="shared" si="55"/>
        <v>302.09879160000003</v>
      </c>
      <c r="E277" s="9">
        <f t="shared" si="53"/>
        <v>821.95171218000007</v>
      </c>
      <c r="F277" s="10">
        <f t="shared" si="54"/>
        <v>273.98390406000004</v>
      </c>
      <c r="G277" s="7"/>
      <c r="H277" s="13" t="s">
        <v>8</v>
      </c>
      <c r="I277" s="13" t="s">
        <v>9</v>
      </c>
      <c r="J277" s="13" t="s">
        <v>10</v>
      </c>
      <c r="K277" s="13" t="s">
        <v>11</v>
      </c>
      <c r="L277" s="13" t="s">
        <v>12</v>
      </c>
      <c r="M277" s="7"/>
      <c r="N277" s="11">
        <v>0.75</v>
      </c>
      <c r="O277" s="12">
        <f>SUM(F280:F283)/4</f>
        <v>399.4665271275</v>
      </c>
    </row>
    <row r="278" spans="1:15" ht="15.75" x14ac:dyDescent="0.3">
      <c r="A278" s="6" t="s">
        <v>34</v>
      </c>
      <c r="B278" s="8">
        <f t="shared" si="55"/>
        <v>160.767356928</v>
      </c>
      <c r="C278" s="8">
        <f t="shared" si="55"/>
        <v>575.32919867399994</v>
      </c>
      <c r="D278" s="8">
        <f t="shared" si="55"/>
        <v>400.19673254000003</v>
      </c>
      <c r="E278" s="9">
        <f t="shared" si="53"/>
        <v>1136.2932881419999</v>
      </c>
      <c r="F278" s="10">
        <f t="shared" si="54"/>
        <v>378.76442938066663</v>
      </c>
      <c r="G278" s="13" t="s">
        <v>13</v>
      </c>
      <c r="H278" s="7">
        <v>2</v>
      </c>
      <c r="I278" s="14">
        <f>D287</f>
        <v>48340.465092821047</v>
      </c>
      <c r="J278" s="14">
        <f t="shared" ref="J278:J283" si="56">I278/H278</f>
        <v>24170.232546410523</v>
      </c>
      <c r="K278" s="15">
        <f>J278/J283</f>
        <v>2.1327260738061571</v>
      </c>
      <c r="L278" s="14">
        <f>FINV(0.05,2,14)</f>
        <v>3.7388918324407361</v>
      </c>
      <c r="M278" s="1" t="str">
        <f>IF(K278&gt;=L278,"sig","ns")</f>
        <v>ns</v>
      </c>
      <c r="N278" s="13" t="s">
        <v>14</v>
      </c>
      <c r="O278" s="12">
        <f>SQRT(J283/(3*4))</f>
        <v>30.731393400294344</v>
      </c>
    </row>
    <row r="279" spans="1:15" ht="15.75" x14ac:dyDescent="0.3">
      <c r="A279" s="6" t="s">
        <v>35</v>
      </c>
      <c r="B279" s="8">
        <f t="shared" si="55"/>
        <v>368.989857368</v>
      </c>
      <c r="C279" s="8">
        <f t="shared" si="55"/>
        <v>512.89394841599994</v>
      </c>
      <c r="D279" s="8">
        <f t="shared" si="55"/>
        <v>412.71334913999999</v>
      </c>
      <c r="E279" s="9">
        <f t="shared" si="53"/>
        <v>1294.5971549239998</v>
      </c>
      <c r="F279" s="10">
        <f t="shared" si="54"/>
        <v>431.53238497466663</v>
      </c>
      <c r="G279" s="13" t="s">
        <v>15</v>
      </c>
      <c r="H279" s="7">
        <v>7</v>
      </c>
      <c r="I279" s="14">
        <f>B288</f>
        <v>190715.69494519383</v>
      </c>
      <c r="J279" s="14">
        <f t="shared" si="56"/>
        <v>27245.099277884834</v>
      </c>
      <c r="K279" s="15">
        <f>J279/J283</f>
        <v>2.404045285944572</v>
      </c>
      <c r="L279" s="14">
        <f>FINV(0.05,7,14)</f>
        <v>2.7641992567781792</v>
      </c>
      <c r="M279" s="1" t="str">
        <f>IF(K279&gt;=L279,"sig","ns")</f>
        <v>ns</v>
      </c>
      <c r="N279" s="13" t="s">
        <v>16</v>
      </c>
      <c r="O279" s="12">
        <f>SQRT((2*J283)/(3*4))*L284</f>
        <v>93.214045204761703</v>
      </c>
    </row>
    <row r="280" spans="1:15" ht="15.75" x14ac:dyDescent="0.3">
      <c r="A280" s="6" t="s">
        <v>36</v>
      </c>
      <c r="B280" s="8">
        <v>0</v>
      </c>
      <c r="C280" s="8">
        <f t="shared" si="55"/>
        <v>354.017083926</v>
      </c>
      <c r="D280" s="8">
        <f t="shared" si="55"/>
        <v>368.72552509199994</v>
      </c>
      <c r="E280" s="9">
        <f t="shared" si="53"/>
        <v>722.74260901799994</v>
      </c>
      <c r="F280" s="10">
        <f t="shared" si="54"/>
        <v>240.91420300599998</v>
      </c>
      <c r="G280" s="7" t="s">
        <v>17</v>
      </c>
      <c r="H280" s="7">
        <v>1</v>
      </c>
      <c r="I280" s="14">
        <f>((E276+E277+E278+E279)^2+(E280+E281+E282+E283)^2)/12-B286</f>
        <v>994.59866820462048</v>
      </c>
      <c r="J280" s="14">
        <f t="shared" si="56"/>
        <v>994.59866820462048</v>
      </c>
      <c r="K280" s="15">
        <f>J280/J283</f>
        <v>8.7761113120439938E-2</v>
      </c>
      <c r="L280" s="14">
        <f>FINV(0.05,1,14)</f>
        <v>4.6001099366694227</v>
      </c>
      <c r="M280" s="1" t="str">
        <f>IF(K280&gt;=L280,"sig","ns")</f>
        <v>ns</v>
      </c>
      <c r="N280" s="16" t="s">
        <v>18</v>
      </c>
      <c r="O280" s="12">
        <f>(F276+F280)/2</f>
        <v>351.4997328843333</v>
      </c>
    </row>
    <row r="281" spans="1:15" x14ac:dyDescent="0.25">
      <c r="A281" s="6" t="s">
        <v>37</v>
      </c>
      <c r="B281" s="8">
        <f t="shared" si="55"/>
        <v>421.22898174400007</v>
      </c>
      <c r="C281" s="8">
        <f t="shared" si="55"/>
        <v>293.92032431400003</v>
      </c>
      <c r="D281" s="8">
        <f t="shared" si="55"/>
        <v>414.85584057000005</v>
      </c>
      <c r="E281" s="9">
        <f t="shared" si="53"/>
        <v>1130.0051466280001</v>
      </c>
      <c r="F281" s="10">
        <f t="shared" si="54"/>
        <v>376.6683822093334</v>
      </c>
      <c r="G281" s="7" t="s">
        <v>19</v>
      </c>
      <c r="H281" s="7">
        <v>3</v>
      </c>
      <c r="I281" s="14">
        <f xml:space="preserve"> ((E276+E280)^2+(E277+E281)^2+(E278+E282)^2+(E279+E283)^2)/6-B286</f>
        <v>73836.419061927125</v>
      </c>
      <c r="J281" s="14">
        <f t="shared" si="56"/>
        <v>24612.139687309042</v>
      </c>
      <c r="K281" s="15">
        <f>J281/J283</f>
        <v>2.1717189498484424</v>
      </c>
      <c r="L281" s="14">
        <f>FINV(0.05,3,14)</f>
        <v>3.3438886781189128</v>
      </c>
      <c r="M281" s="1" t="str">
        <f>IF(K281&gt;=L281,"sig","ns")</f>
        <v>ns</v>
      </c>
      <c r="N281" s="16" t="s">
        <v>20</v>
      </c>
      <c r="O281" s="12">
        <f>(F277+F281)/2</f>
        <v>325.32614313466672</v>
      </c>
    </row>
    <row r="282" spans="1:15" ht="15.75" x14ac:dyDescent="0.3">
      <c r="A282" s="6" t="s">
        <v>38</v>
      </c>
      <c r="B282" s="8">
        <f t="shared" si="55"/>
        <v>523.88840443799995</v>
      </c>
      <c r="C282" s="8">
        <f t="shared" si="55"/>
        <v>457.97133477400007</v>
      </c>
      <c r="D282" s="8">
        <f t="shared" si="55"/>
        <v>543.76265827399993</v>
      </c>
      <c r="E282" s="9">
        <f t="shared" si="53"/>
        <v>1525.622397486</v>
      </c>
      <c r="F282" s="10">
        <f t="shared" si="54"/>
        <v>508.54079916199998</v>
      </c>
      <c r="G282" s="17" t="s">
        <v>21</v>
      </c>
      <c r="H282" s="18">
        <v>3</v>
      </c>
      <c r="I282" s="14">
        <f>(I279-(I280+I281))</f>
        <v>115884.67721506208</v>
      </c>
      <c r="J282" s="14">
        <f t="shared" si="56"/>
        <v>38628.225738354027</v>
      </c>
      <c r="K282" s="15">
        <f>J282/J283</f>
        <v>3.4084663463154117</v>
      </c>
      <c r="L282" s="14">
        <f>FINV(0.05,3,14)</f>
        <v>3.3438886781189128</v>
      </c>
      <c r="M282" s="1" t="str">
        <f>IF(K282&gt;=L282,"sig","ns")</f>
        <v>sig</v>
      </c>
      <c r="N282" s="16" t="s">
        <v>22</v>
      </c>
      <c r="O282" s="12">
        <f>(F278+F282)/2</f>
        <v>443.65261427133328</v>
      </c>
    </row>
    <row r="283" spans="1:15" ht="15.75" x14ac:dyDescent="0.3">
      <c r="A283" s="6" t="s">
        <v>39</v>
      </c>
      <c r="B283" s="8">
        <f t="shared" si="55"/>
        <v>430.72577709000007</v>
      </c>
      <c r="C283" s="8">
        <f t="shared" si="55"/>
        <v>492.62736281600002</v>
      </c>
      <c r="D283" s="8">
        <f t="shared" si="55"/>
        <v>491.875032492</v>
      </c>
      <c r="E283" s="9">
        <f t="shared" si="53"/>
        <v>1415.228172398</v>
      </c>
      <c r="F283" s="10">
        <f t="shared" si="54"/>
        <v>471.74272413266664</v>
      </c>
      <c r="G283" s="13" t="s">
        <v>23</v>
      </c>
      <c r="H283" s="7">
        <v>14</v>
      </c>
      <c r="I283" s="14">
        <f>D288</f>
        <v>158662.31477437401</v>
      </c>
      <c r="J283" s="14">
        <f t="shared" si="56"/>
        <v>11333.022483883859</v>
      </c>
      <c r="K283" s="14"/>
      <c r="L283" s="14"/>
      <c r="M283" s="7"/>
      <c r="N283" s="16" t="s">
        <v>24</v>
      </c>
      <c r="O283" s="12">
        <f>(F279+F283)/2</f>
        <v>451.63755455366663</v>
      </c>
    </row>
    <row r="284" spans="1:15" x14ac:dyDescent="0.25">
      <c r="A284" s="6" t="s">
        <v>4</v>
      </c>
      <c r="B284" s="9">
        <f>SUM(B276:B283)</f>
        <v>2639.690774528</v>
      </c>
      <c r="C284" s="9">
        <f>SUM(C276:C283)</f>
        <v>3445.9032163320003</v>
      </c>
      <c r="D284" s="9">
        <f>SUM(D276:D283)</f>
        <v>3347.1022782040004</v>
      </c>
      <c r="E284" s="15">
        <f>SUM(E276:E283)</f>
        <v>9432.6962690639994</v>
      </c>
      <c r="F284" s="19">
        <f>AVERAGE(B276:D283)</f>
        <v>393.02901121100007</v>
      </c>
      <c r="G284" s="13" t="s">
        <v>4</v>
      </c>
      <c r="H284" s="7">
        <v>23</v>
      </c>
      <c r="I284" s="14">
        <f>B287</f>
        <v>397718.47481238889</v>
      </c>
      <c r="J284" s="14"/>
      <c r="K284" s="7" t="s">
        <v>25</v>
      </c>
      <c r="L284" s="20">
        <f>TINV(0.05,14)</f>
        <v>2.1447866879178044</v>
      </c>
      <c r="M284" s="7"/>
      <c r="N284" s="13" t="s">
        <v>14</v>
      </c>
      <c r="O284" s="12">
        <f>SQRT(J283/(3*2))</f>
        <v>43.460753337319289</v>
      </c>
    </row>
    <row r="285" spans="1:15" x14ac:dyDescent="0.25">
      <c r="A285" s="6" t="s">
        <v>5</v>
      </c>
      <c r="B285" s="9">
        <f>B284/8</f>
        <v>329.961346816</v>
      </c>
      <c r="C285" s="9">
        <f>C284/8</f>
        <v>430.73790204150004</v>
      </c>
      <c r="D285" s="9">
        <f>D284/8</f>
        <v>418.38778477550005</v>
      </c>
      <c r="E285" s="14"/>
      <c r="F285" s="14"/>
      <c r="G285" s="13" t="s">
        <v>14</v>
      </c>
      <c r="H285" s="12">
        <f>SQRT(J283/3)</f>
        <v>61.462786800588688</v>
      </c>
      <c r="I285" s="7"/>
      <c r="J285" s="21"/>
      <c r="K285" s="7"/>
      <c r="L285" s="7"/>
      <c r="M285" s="7"/>
      <c r="N285" s="13" t="s">
        <v>16</v>
      </c>
      <c r="O285" s="12">
        <f>SQRT((2*J283)/(3*2))*L284</f>
        <v>131.82456693223276</v>
      </c>
    </row>
    <row r="286" spans="1:15" x14ac:dyDescent="0.25">
      <c r="A286" s="7" t="s">
        <v>26</v>
      </c>
      <c r="B286" s="15">
        <f>(E284*E284)/24</f>
        <v>3707323.2876839121</v>
      </c>
      <c r="C286" s="14"/>
      <c r="D286" s="14"/>
      <c r="E286" s="14"/>
      <c r="F286" s="14"/>
      <c r="G286" s="13" t="s">
        <v>16</v>
      </c>
      <c r="H286" s="12">
        <f>(SQRT((2*J283)/3))*L284</f>
        <v>186.42809040952341</v>
      </c>
      <c r="I286" s="7"/>
      <c r="J286" s="7"/>
      <c r="K286" s="7"/>
      <c r="L286" s="7"/>
      <c r="M286" s="7"/>
      <c r="N286" s="7"/>
      <c r="O286" s="7"/>
    </row>
    <row r="287" spans="1:15" x14ac:dyDescent="0.25">
      <c r="A287" s="7" t="s">
        <v>27</v>
      </c>
      <c r="B287" s="15">
        <f>SUMSQ(B276:D283)-B286</f>
        <v>397718.47481238889</v>
      </c>
      <c r="C287" s="7" t="s">
        <v>28</v>
      </c>
      <c r="D287" s="15">
        <f>(SUMSQ(B284:D284)/8)-B286</f>
        <v>48340.465092821047</v>
      </c>
      <c r="E287" s="14"/>
      <c r="F287" s="14"/>
      <c r="G287" s="13" t="s">
        <v>29</v>
      </c>
      <c r="H287" s="12">
        <f>((SQRT(J283))/F284)*100</f>
        <v>27.086211571349235</v>
      </c>
      <c r="I287" s="7"/>
      <c r="J287" s="21"/>
      <c r="K287" s="7"/>
      <c r="L287" s="7"/>
      <c r="M287" s="7"/>
      <c r="N287" s="7"/>
      <c r="O287" s="7"/>
    </row>
    <row r="288" spans="1:15" x14ac:dyDescent="0.25">
      <c r="A288" s="7" t="s">
        <v>30</v>
      </c>
      <c r="B288" s="15">
        <f>(SUMSQ(E276:E283)/3)-B286</f>
        <v>190715.69494519383</v>
      </c>
      <c r="C288" s="7" t="s">
        <v>31</v>
      </c>
      <c r="D288" s="15">
        <f>B287-B288-D287</f>
        <v>158662.31477437401</v>
      </c>
      <c r="E288" s="14"/>
      <c r="F288" s="14"/>
      <c r="G288" s="7"/>
      <c r="H288" s="7"/>
      <c r="I288" s="7"/>
      <c r="J288" s="7"/>
      <c r="K288" s="7"/>
      <c r="L288" s="7"/>
      <c r="M288" s="2"/>
      <c r="N288" s="7"/>
      <c r="O288" s="7"/>
    </row>
  </sheetData>
  <mergeCells count="36">
    <mergeCell ref="N99:O99"/>
    <mergeCell ref="A114:C114"/>
    <mergeCell ref="N115:O115"/>
    <mergeCell ref="N179:O179"/>
    <mergeCell ref="A274:C274"/>
    <mergeCell ref="A210:C210"/>
    <mergeCell ref="N163:O163"/>
    <mergeCell ref="A194:C194"/>
    <mergeCell ref="N195:O195"/>
    <mergeCell ref="A130:C130"/>
    <mergeCell ref="N131:O131"/>
    <mergeCell ref="A146:C146"/>
    <mergeCell ref="N147:O147"/>
    <mergeCell ref="A162:C162"/>
    <mergeCell ref="A178:C178"/>
    <mergeCell ref="N275:O275"/>
    <mergeCell ref="N259:O259"/>
    <mergeCell ref="N211:O211"/>
    <mergeCell ref="A226:C226"/>
    <mergeCell ref="N227:O227"/>
    <mergeCell ref="A242:C242"/>
    <mergeCell ref="N243:O243"/>
    <mergeCell ref="A258:C258"/>
    <mergeCell ref="N35:O35"/>
    <mergeCell ref="N51:O51"/>
    <mergeCell ref="A66:C66"/>
    <mergeCell ref="N67:O67"/>
    <mergeCell ref="A98:C98"/>
    <mergeCell ref="A82:C82"/>
    <mergeCell ref="N83:O83"/>
    <mergeCell ref="A34:C34"/>
    <mergeCell ref="B1:G1"/>
    <mergeCell ref="A2:C2"/>
    <mergeCell ref="N3:O3"/>
    <mergeCell ref="A18:C18"/>
    <mergeCell ref="N19:O19"/>
  </mergeCells>
  <pageMargins left="0.7" right="0.7" top="0.75" bottom="0.75" header="0.3" footer="0.3"/>
  <pageSetup scale="5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"/>
  <sheetViews>
    <sheetView topLeftCell="E1" workbookViewId="0">
      <selection activeCell="G6" sqref="B2:U11"/>
    </sheetView>
  </sheetViews>
  <sheetFormatPr defaultRowHeight="15" x14ac:dyDescent="0.25"/>
  <cols>
    <col min="3" max="3" width="15.28515625" bestFit="1" customWidth="1"/>
    <col min="4" max="4" width="15.5703125" bestFit="1" customWidth="1"/>
    <col min="5" max="5" width="16" bestFit="1" customWidth="1"/>
    <col min="6" max="6" width="12.7109375" bestFit="1" customWidth="1"/>
    <col min="7" max="7" width="24.28515625" bestFit="1" customWidth="1"/>
    <col min="8" max="8" width="12.28515625" bestFit="1" customWidth="1"/>
    <col min="9" max="9" width="14.7109375" bestFit="1" customWidth="1"/>
    <col min="10" max="10" width="37.7109375" bestFit="1" customWidth="1"/>
    <col min="11" max="11" width="12" bestFit="1" customWidth="1"/>
    <col min="12" max="12" width="24.140625" bestFit="1" customWidth="1"/>
    <col min="13" max="13" width="15.28515625" bestFit="1" customWidth="1"/>
    <col min="14" max="14" width="17.28515625" bestFit="1" customWidth="1"/>
    <col min="15" max="15" width="19.140625" bestFit="1" customWidth="1"/>
    <col min="16" max="16" width="22.140625" bestFit="1" customWidth="1"/>
    <col min="17" max="17" width="25.7109375" bestFit="1" customWidth="1"/>
    <col min="18" max="18" width="25.42578125" bestFit="1" customWidth="1"/>
    <col min="19" max="19" width="25.5703125" bestFit="1" customWidth="1"/>
    <col min="20" max="20" width="18.5703125" bestFit="1" customWidth="1"/>
    <col min="21" max="21" width="12" bestFit="1" customWidth="1"/>
  </cols>
  <sheetData>
    <row r="2" spans="2:21" x14ac:dyDescent="0.25">
      <c r="B2" s="28"/>
      <c r="C2" s="90" t="s">
        <v>69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8"/>
      <c r="Q2" s="28"/>
      <c r="R2" s="28"/>
      <c r="S2" s="28"/>
      <c r="T2" s="28"/>
      <c r="U2" s="28"/>
    </row>
    <row r="3" spans="2:21" ht="17.25" x14ac:dyDescent="0.25">
      <c r="B3" s="27" t="s">
        <v>41</v>
      </c>
      <c r="C3" s="27" t="s">
        <v>15</v>
      </c>
      <c r="D3" s="27" t="s">
        <v>42</v>
      </c>
      <c r="E3" s="27" t="s">
        <v>43</v>
      </c>
      <c r="F3" s="27" t="s">
        <v>44</v>
      </c>
      <c r="G3" s="27" t="s">
        <v>45</v>
      </c>
      <c r="H3" s="27" t="s">
        <v>46</v>
      </c>
      <c r="I3" s="27" t="s">
        <v>47</v>
      </c>
      <c r="J3" s="27" t="s">
        <v>48</v>
      </c>
      <c r="K3" s="27" t="s">
        <v>49</v>
      </c>
      <c r="L3" s="27" t="s">
        <v>76</v>
      </c>
      <c r="M3" s="27" t="s">
        <v>50</v>
      </c>
      <c r="N3" s="27" t="s">
        <v>51</v>
      </c>
      <c r="O3" s="27" t="s">
        <v>52</v>
      </c>
      <c r="P3" s="27" t="s">
        <v>77</v>
      </c>
      <c r="Q3" s="27" t="s">
        <v>78</v>
      </c>
      <c r="R3" s="27" t="s">
        <v>82</v>
      </c>
      <c r="S3" s="27" t="s">
        <v>79</v>
      </c>
      <c r="T3" s="27" t="s">
        <v>80</v>
      </c>
      <c r="U3" s="27" t="s">
        <v>81</v>
      </c>
    </row>
    <row r="4" spans="2:21" ht="18" x14ac:dyDescent="0.35">
      <c r="B4" s="28">
        <v>1</v>
      </c>
      <c r="C4" s="28" t="s">
        <v>70</v>
      </c>
      <c r="D4" s="29">
        <v>6000</v>
      </c>
      <c r="E4" s="28">
        <v>4220</v>
      </c>
      <c r="F4" s="29">
        <f>17686.2</f>
        <v>17686.2</v>
      </c>
      <c r="G4" s="28">
        <v>1000</v>
      </c>
      <c r="H4" s="28">
        <v>3900</v>
      </c>
      <c r="I4" s="28">
        <v>3460</v>
      </c>
      <c r="J4" s="28">
        <v>16000</v>
      </c>
      <c r="K4" s="28">
        <f>P4*0.5</f>
        <v>3306.8783068783068</v>
      </c>
      <c r="L4" s="28">
        <v>5412.9</v>
      </c>
      <c r="M4" s="28">
        <v>1500</v>
      </c>
      <c r="N4" s="28">
        <v>9600</v>
      </c>
      <c r="O4" s="28">
        <f>D4+E4+F4+G4+H4+I11+J4+K4+L4+N4</f>
        <v>70585.9783068783</v>
      </c>
      <c r="P4" s="28">
        <v>6613.7566137566137</v>
      </c>
      <c r="Q4" s="28">
        <f>(P4*1425)/100</f>
        <v>94246.03174603176</v>
      </c>
      <c r="R4" s="28">
        <v>3500</v>
      </c>
      <c r="S4" s="28">
        <f t="shared" ref="S4:S11" si="0">SUM(Q4:R4)</f>
        <v>97746.03174603176</v>
      </c>
      <c r="T4" s="28">
        <f t="shared" ref="T4:T11" si="1">S4-O4</f>
        <v>27160.05343915346</v>
      </c>
      <c r="U4" s="28">
        <f t="shared" ref="U4:U11" si="2">S4/O4</f>
        <v>1.3847797266628921</v>
      </c>
    </row>
    <row r="5" spans="2:21" ht="15.75" x14ac:dyDescent="0.25">
      <c r="B5" s="28">
        <v>2</v>
      </c>
      <c r="C5" s="28" t="s">
        <v>32</v>
      </c>
      <c r="D5" s="29">
        <v>6000</v>
      </c>
      <c r="E5" s="28">
        <v>4220</v>
      </c>
      <c r="F5" s="29">
        <f>17686.2+500</f>
        <v>18186.2</v>
      </c>
      <c r="G5" s="28">
        <v>1000</v>
      </c>
      <c r="H5" s="28">
        <v>3900</v>
      </c>
      <c r="I5" s="28">
        <v>3460</v>
      </c>
      <c r="J5" s="28">
        <v>16000</v>
      </c>
      <c r="K5" s="28">
        <f t="shared" ref="K5:K11" si="3">P5*0.5</f>
        <v>3844.2460317460318</v>
      </c>
      <c r="L5" s="28">
        <v>5412.9</v>
      </c>
      <c r="M5" s="28">
        <v>1500</v>
      </c>
      <c r="N5" s="28">
        <v>9600</v>
      </c>
      <c r="O5" s="28">
        <f>D5+E5+F5+G5+H5+I5+J5+K5+L5+N5</f>
        <v>71623.346031746041</v>
      </c>
      <c r="P5" s="28">
        <v>7688.4920634920636</v>
      </c>
      <c r="Q5" s="28">
        <f t="shared" ref="Q5:Q11" si="4">(P5*1425)/100</f>
        <v>109561.01190476191</v>
      </c>
      <c r="R5" s="28">
        <v>3500</v>
      </c>
      <c r="S5" s="28">
        <f t="shared" si="0"/>
        <v>113061.01190476191</v>
      </c>
      <c r="T5" s="28">
        <f t="shared" si="1"/>
        <v>41437.665873015867</v>
      </c>
      <c r="U5" s="28">
        <f t="shared" si="2"/>
        <v>1.5785497071673977</v>
      </c>
    </row>
    <row r="6" spans="2:21" ht="18" x14ac:dyDescent="0.35">
      <c r="B6" s="28">
        <v>3</v>
      </c>
      <c r="C6" s="28" t="s">
        <v>71</v>
      </c>
      <c r="D6" s="29">
        <v>6000</v>
      </c>
      <c r="E6" s="28">
        <v>4220</v>
      </c>
      <c r="F6" s="29">
        <f>17686.2+500</f>
        <v>18186.2</v>
      </c>
      <c r="G6" s="28">
        <v>1000</v>
      </c>
      <c r="H6" s="28">
        <v>3900</v>
      </c>
      <c r="I6" s="28">
        <v>3460</v>
      </c>
      <c r="J6" s="28">
        <v>16000</v>
      </c>
      <c r="K6" s="28">
        <f t="shared" si="3"/>
        <v>3893.8492063492067</v>
      </c>
      <c r="L6" s="28">
        <v>5412.9</v>
      </c>
      <c r="M6" s="28">
        <v>1500</v>
      </c>
      <c r="N6" s="28">
        <v>9600</v>
      </c>
      <c r="O6" s="28">
        <f>D6+E6+F6+G6+H6+I6+J6+K6+L6+N6</f>
        <v>71672.949206349207</v>
      </c>
      <c r="P6" s="28">
        <v>7787.6984126984134</v>
      </c>
      <c r="Q6" s="28">
        <f t="shared" si="4"/>
        <v>110974.70238095238</v>
      </c>
      <c r="R6" s="28">
        <v>3500</v>
      </c>
      <c r="S6" s="28">
        <f t="shared" si="0"/>
        <v>114474.70238095238</v>
      </c>
      <c r="T6" s="28">
        <f t="shared" si="1"/>
        <v>42801.753174603175</v>
      </c>
      <c r="U6" s="28">
        <f t="shared" si="2"/>
        <v>1.5971814143070249</v>
      </c>
    </row>
    <row r="7" spans="2:21" ht="18" x14ac:dyDescent="0.35">
      <c r="B7" s="28">
        <v>4</v>
      </c>
      <c r="C7" s="28" t="s">
        <v>72</v>
      </c>
      <c r="D7" s="29">
        <v>6000</v>
      </c>
      <c r="E7" s="28">
        <v>4220</v>
      </c>
      <c r="F7" s="29">
        <f>17686.2+500</f>
        <v>18186.2</v>
      </c>
      <c r="G7" s="28">
        <v>1000</v>
      </c>
      <c r="H7" s="28">
        <v>3900</v>
      </c>
      <c r="I7" s="28">
        <v>3460</v>
      </c>
      <c r="J7" s="28">
        <v>16000</v>
      </c>
      <c r="K7" s="28">
        <f t="shared" si="3"/>
        <v>4067.460317460318</v>
      </c>
      <c r="L7" s="28">
        <v>5412.9</v>
      </c>
      <c r="M7" s="28">
        <v>1500</v>
      </c>
      <c r="N7" s="28">
        <v>9600</v>
      </c>
      <c r="O7" s="28">
        <f>D7+E7+F7+G7+H7+I7+J7+K7+L7+N7</f>
        <v>71846.560317460317</v>
      </c>
      <c r="P7" s="28">
        <v>8134.9206349206361</v>
      </c>
      <c r="Q7" s="28">
        <f t="shared" si="4"/>
        <v>115922.61904761907</v>
      </c>
      <c r="R7" s="28">
        <v>3500</v>
      </c>
      <c r="S7" s="28">
        <f t="shared" si="0"/>
        <v>119422.61904761907</v>
      </c>
      <c r="T7" s="28">
        <f t="shared" si="1"/>
        <v>47576.058730158751</v>
      </c>
      <c r="U7" s="28">
        <f t="shared" si="2"/>
        <v>1.662189790575078</v>
      </c>
    </row>
    <row r="8" spans="2:21" ht="18" x14ac:dyDescent="0.35">
      <c r="B8" s="28">
        <v>5</v>
      </c>
      <c r="C8" s="28" t="s">
        <v>73</v>
      </c>
      <c r="D8" s="29">
        <v>6000</v>
      </c>
      <c r="E8" s="28">
        <v>4220</v>
      </c>
      <c r="F8" s="29">
        <v>13264.8</v>
      </c>
      <c r="G8" s="28">
        <v>1000</v>
      </c>
      <c r="H8" s="28">
        <v>3900</v>
      </c>
      <c r="I8" s="28">
        <v>3460</v>
      </c>
      <c r="J8" s="28">
        <v>16000</v>
      </c>
      <c r="K8" s="28">
        <f t="shared" si="3"/>
        <v>3348.2142857142858</v>
      </c>
      <c r="L8" s="28">
        <v>5412.9</v>
      </c>
      <c r="M8" s="28">
        <v>1500</v>
      </c>
      <c r="N8" s="28">
        <v>9600</v>
      </c>
      <c r="O8" s="28">
        <f>SUM(D8,E8,F8,G8,H8,I8,J8,L8,M8,N8,)</f>
        <v>64357.700000000004</v>
      </c>
      <c r="P8" s="28">
        <v>6696.4285714285716</v>
      </c>
      <c r="Q8" s="28">
        <f t="shared" si="4"/>
        <v>95424.107142857145</v>
      </c>
      <c r="R8" s="28">
        <v>3500</v>
      </c>
      <c r="S8" s="28">
        <f t="shared" si="0"/>
        <v>98924.107142857145</v>
      </c>
      <c r="T8" s="28">
        <f t="shared" si="1"/>
        <v>34566.407142857141</v>
      </c>
      <c r="U8" s="28">
        <f t="shared" si="2"/>
        <v>1.5370982359975129</v>
      </c>
    </row>
    <row r="9" spans="2:21" ht="15.75" x14ac:dyDescent="0.25">
      <c r="B9" s="28">
        <v>6</v>
      </c>
      <c r="C9" s="28" t="s">
        <v>37</v>
      </c>
      <c r="D9" s="29">
        <v>6000</v>
      </c>
      <c r="E9" s="28">
        <v>4220</v>
      </c>
      <c r="F9" s="29">
        <f>13264.8+500</f>
        <v>13764.8</v>
      </c>
      <c r="G9" s="28">
        <v>1000</v>
      </c>
      <c r="H9" s="28">
        <v>3900</v>
      </c>
      <c r="I9" s="28">
        <v>3460</v>
      </c>
      <c r="J9" s="28">
        <v>16000</v>
      </c>
      <c r="K9" s="28">
        <f t="shared" si="3"/>
        <v>3348.2142857142858</v>
      </c>
      <c r="L9" s="28">
        <v>5412.9</v>
      </c>
      <c r="M9" s="28">
        <v>1500</v>
      </c>
      <c r="N9" s="28">
        <v>9600</v>
      </c>
      <c r="O9" s="28">
        <f>SUM(D9,E9,F9,G9,H9,I9,J9,L9,M9,N9,)</f>
        <v>64857.700000000004</v>
      </c>
      <c r="P9" s="28">
        <v>6696.4285714285716</v>
      </c>
      <c r="Q9" s="28">
        <f t="shared" si="4"/>
        <v>95424.107142857145</v>
      </c>
      <c r="R9" s="28">
        <v>3500</v>
      </c>
      <c r="S9" s="28">
        <f t="shared" si="0"/>
        <v>98924.107142857145</v>
      </c>
      <c r="T9" s="28">
        <f t="shared" si="1"/>
        <v>34066.407142857141</v>
      </c>
      <c r="U9" s="28">
        <f t="shared" si="2"/>
        <v>1.5252484615220265</v>
      </c>
    </row>
    <row r="10" spans="2:21" ht="18" x14ac:dyDescent="0.35">
      <c r="B10" s="28">
        <v>7</v>
      </c>
      <c r="C10" s="28" t="s">
        <v>74</v>
      </c>
      <c r="D10" s="29">
        <v>6000</v>
      </c>
      <c r="E10" s="28">
        <v>4220</v>
      </c>
      <c r="F10" s="29">
        <f>13264.8+500</f>
        <v>13764.8</v>
      </c>
      <c r="G10" s="28">
        <v>1000</v>
      </c>
      <c r="H10" s="28">
        <v>3900</v>
      </c>
      <c r="I10" s="28">
        <v>3460</v>
      </c>
      <c r="J10" s="28">
        <v>16000</v>
      </c>
      <c r="K10" s="28">
        <f t="shared" si="3"/>
        <v>3968.2539682539682</v>
      </c>
      <c r="L10" s="28">
        <v>5412.9</v>
      </c>
      <c r="M10" s="28">
        <v>1500</v>
      </c>
      <c r="N10" s="28">
        <v>9600</v>
      </c>
      <c r="O10" s="28">
        <f>SUM(D10,E10,F10,G10,H10,I10,J10,L10,M10,N10,)</f>
        <v>64857.700000000004</v>
      </c>
      <c r="P10" s="28">
        <v>7936.5079365079364</v>
      </c>
      <c r="Q10" s="28">
        <f t="shared" si="4"/>
        <v>113095.23809523809</v>
      </c>
      <c r="R10" s="28">
        <v>3500</v>
      </c>
      <c r="S10" s="28">
        <f t="shared" si="0"/>
        <v>116595.23809523809</v>
      </c>
      <c r="T10" s="28">
        <f t="shared" si="1"/>
        <v>51737.538095238087</v>
      </c>
      <c r="U10" s="28">
        <f t="shared" si="2"/>
        <v>1.7977084925188234</v>
      </c>
    </row>
    <row r="11" spans="2:21" ht="18" x14ac:dyDescent="0.35">
      <c r="B11" s="28">
        <v>8</v>
      </c>
      <c r="C11" s="28" t="s">
        <v>75</v>
      </c>
      <c r="D11" s="29">
        <v>6000</v>
      </c>
      <c r="E11" s="28">
        <v>4220</v>
      </c>
      <c r="F11" s="29">
        <f>13264.8+500</f>
        <v>13764.8</v>
      </c>
      <c r="G11" s="28">
        <v>1000</v>
      </c>
      <c r="H11" s="28">
        <v>3900</v>
      </c>
      <c r="I11" s="28">
        <v>3460</v>
      </c>
      <c r="J11" s="28">
        <v>16000</v>
      </c>
      <c r="K11" s="28">
        <f t="shared" si="3"/>
        <v>4092.2619047619046</v>
      </c>
      <c r="L11" s="28">
        <v>5412.9</v>
      </c>
      <c r="M11" s="28">
        <v>1500</v>
      </c>
      <c r="N11" s="28">
        <v>9600</v>
      </c>
      <c r="O11" s="28">
        <f>SUM(D11,E11,F11,G11,H11,I11,J11,L11,M11,N11,)</f>
        <v>64857.700000000004</v>
      </c>
      <c r="P11" s="28">
        <v>8184.5238095238092</v>
      </c>
      <c r="Q11" s="28">
        <f t="shared" si="4"/>
        <v>116629.46428571428</v>
      </c>
      <c r="R11" s="28">
        <v>3500</v>
      </c>
      <c r="S11" s="28">
        <f t="shared" si="0"/>
        <v>120129.46428571428</v>
      </c>
      <c r="T11" s="28">
        <f t="shared" si="1"/>
        <v>55271.764285714271</v>
      </c>
      <c r="U11" s="28">
        <f t="shared" si="2"/>
        <v>1.8522004987181826</v>
      </c>
    </row>
  </sheetData>
  <mergeCells count="1">
    <mergeCell ref="C2:O2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1"/>
  <sheetViews>
    <sheetView tabSelected="1" zoomScale="85" zoomScaleNormal="85" workbookViewId="0">
      <selection activeCell="R10" sqref="R10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75">
        <v>2019</v>
      </c>
    </row>
    <row r="3" spans="1:21" x14ac:dyDescent="0.25">
      <c r="C3" s="48" t="s">
        <v>122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5"/>
      <c r="T8" s="55"/>
      <c r="U8" s="55"/>
    </row>
    <row r="9" spans="1:21" x14ac:dyDescent="0.25">
      <c r="A9" s="32" t="s">
        <v>95</v>
      </c>
      <c r="B9" s="81">
        <f>('log Dry mt. '!B41-'log Dry mt. '!B9)/30</f>
        <v>3.679912768898988E-2</v>
      </c>
      <c r="C9" s="81">
        <f>('log Dry mt. '!C41-'log Dry mt. '!C9)/30</f>
        <v>3.0298210492738984E-2</v>
      </c>
      <c r="D9" s="81">
        <f>('log Dry mt. '!D41-'log Dry mt. '!D9)/30</f>
        <v>3.4227379502346417E-2</v>
      </c>
      <c r="E9" s="31">
        <f t="shared" ref="E9:E26" si="0">SUM(B9:D9)</f>
        <v>0.10132471768407528</v>
      </c>
      <c r="F9" s="31">
        <f>E9/3</f>
        <v>3.3774905894691759E-2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83">
        <f>SUM(F9:F17)/9</f>
        <v>3.0165374069960955E-2</v>
      </c>
      <c r="Q9" s="49">
        <f>RANK(P9,P$9:P$10,0)</f>
        <v>2</v>
      </c>
      <c r="S9" s="55"/>
      <c r="T9" s="55"/>
      <c r="U9" s="55"/>
    </row>
    <row r="10" spans="1:21" x14ac:dyDescent="0.25">
      <c r="A10" s="32" t="s">
        <v>96</v>
      </c>
      <c r="B10" s="81">
        <f>('log Dry mt. '!B42-'log Dry mt. '!B10)/30</f>
        <v>3.2813591208912682E-2</v>
      </c>
      <c r="C10" s="81">
        <f>('log Dry mt. '!C42-'log Dry mt. '!C10)/30</f>
        <v>3.1930025526137988E-2</v>
      </c>
      <c r="D10" s="81">
        <f>('log Dry mt. '!D42-'log Dry mt. '!D10)/30</f>
        <v>3.0612344707943606E-2</v>
      </c>
      <c r="E10" s="31">
        <f t="shared" si="0"/>
        <v>9.5355961442994269E-2</v>
      </c>
      <c r="F10" s="31">
        <f t="shared" ref="F10:F26" si="1">E10/3</f>
        <v>3.1785320480998087E-2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83">
        <f>SUM(F18:F26)/9</f>
        <v>3.0389993559193654E-2</v>
      </c>
      <c r="Q10" s="49">
        <f>RANK(P10,P$9:P$10,0)</f>
        <v>1</v>
      </c>
      <c r="S10" s="55"/>
      <c r="T10" s="55"/>
      <c r="U10" s="55"/>
    </row>
    <row r="11" spans="1:21" x14ac:dyDescent="0.25">
      <c r="A11" s="32" t="s">
        <v>97</v>
      </c>
      <c r="B11" s="81">
        <f>('log Dry mt. '!B43-'log Dry mt. '!B11)/30</f>
        <v>3.2637886585840312E-2</v>
      </c>
      <c r="C11" s="81">
        <f>('log Dry mt. '!C43-'log Dry mt. '!C11)/30</f>
        <v>3.033124774835955E-2</v>
      </c>
      <c r="D11" s="81">
        <f>('log Dry mt. '!D43-'log Dry mt. '!D11)/30</f>
        <v>2.6863144841886979E-2</v>
      </c>
      <c r="E11" s="31">
        <f t="shared" si="0"/>
        <v>8.9832279176086841E-2</v>
      </c>
      <c r="F11" s="31">
        <f t="shared" si="1"/>
        <v>2.9944093058695612E-2</v>
      </c>
      <c r="G11" s="31" t="s">
        <v>13</v>
      </c>
      <c r="H11" s="31">
        <f>B7-1</f>
        <v>2</v>
      </c>
      <c r="I11" s="31">
        <f>D30</f>
        <v>2.6219942618466163E-4</v>
      </c>
      <c r="J11" s="31">
        <f>I11/H11</f>
        <v>1.3109971309233082E-4</v>
      </c>
      <c r="K11" s="31">
        <f>J11/$J$16</f>
        <v>16.111048090211398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83">
        <f>SQRT(J16/(3*9))</f>
        <v>5.4898071885721325E-4</v>
      </c>
      <c r="S11" s="55"/>
      <c r="T11" s="55"/>
      <c r="U11" s="55"/>
    </row>
    <row r="12" spans="1:21" x14ac:dyDescent="0.25">
      <c r="A12" s="32" t="s">
        <v>98</v>
      </c>
      <c r="B12" s="81">
        <f>('log Dry mt. '!B44-'log Dry mt. '!B12)/30</f>
        <v>3.4823340286333458E-2</v>
      </c>
      <c r="C12" s="81">
        <f>('log Dry mt. '!C44-'log Dry mt. '!C12)/30</f>
        <v>2.6921024203101347E-2</v>
      </c>
      <c r="D12" s="81">
        <f>('log Dry mt. '!D44-'log Dry mt. '!D12)/30</f>
        <v>2.2358102718963983E-2</v>
      </c>
      <c r="E12" s="31">
        <f t="shared" si="0"/>
        <v>8.4102467208398785E-2</v>
      </c>
      <c r="F12" s="31">
        <f t="shared" si="1"/>
        <v>2.8034155736132927E-2</v>
      </c>
      <c r="G12" s="31" t="s">
        <v>15</v>
      </c>
      <c r="H12" s="31">
        <f>D6-1</f>
        <v>17</v>
      </c>
      <c r="I12" s="31">
        <f>B31</f>
        <v>1.9474919963605869E-4</v>
      </c>
      <c r="J12" s="31">
        <f t="shared" ref="J12:J16" si="2">I12/H12</f>
        <v>1.1455835272709334E-5</v>
      </c>
      <c r="K12" s="31">
        <f>J12/$J$16</f>
        <v>1.4078254531508729</v>
      </c>
      <c r="L12" s="31">
        <f>FINV(0.05,H12,$H$16)</f>
        <v>1.9332068318040869</v>
      </c>
      <c r="M12" s="43" t="str">
        <f t="shared" ref="M12:M15" si="3">IF(K12&gt;=L12, "S", "NS")</f>
        <v>NS</v>
      </c>
      <c r="N12" s="30" t="s">
        <v>113</v>
      </c>
      <c r="O12" s="30" t="s">
        <v>16</v>
      </c>
      <c r="P12" s="83">
        <f>SQRT((2*J16)/(3*9))*L17</f>
        <v>1.5777858186379547E-3</v>
      </c>
      <c r="S12" s="55"/>
      <c r="T12" s="55"/>
      <c r="U12" s="55"/>
    </row>
    <row r="13" spans="1:21" x14ac:dyDescent="0.25">
      <c r="A13" s="32" t="s">
        <v>99</v>
      </c>
      <c r="B13" s="81">
        <f>('log Dry mt. '!B45-'log Dry mt. '!B13)/30</f>
        <v>3.0513284390095811E-2</v>
      </c>
      <c r="C13" s="81">
        <f>('log Dry mt. '!C45-'log Dry mt. '!C13)/30</f>
        <v>3.0227591105414574E-2</v>
      </c>
      <c r="D13" s="81">
        <f>('log Dry mt. '!D45-'log Dry mt. '!D13)/30</f>
        <v>2.9472705223947848E-2</v>
      </c>
      <c r="E13" s="31">
        <f t="shared" si="0"/>
        <v>9.0213580719458231E-2</v>
      </c>
      <c r="F13" s="31">
        <f t="shared" si="1"/>
        <v>3.0071193573152744E-2</v>
      </c>
      <c r="G13" s="31" t="s">
        <v>108</v>
      </c>
      <c r="H13" s="31">
        <f>B5-1</f>
        <v>1</v>
      </c>
      <c r="I13" s="31">
        <f>(SUM(E9:E17)^2+SUM(E18:E26)^2)/27-B29</f>
        <v>6.8112785173851664E-7</v>
      </c>
      <c r="J13" s="31">
        <f t="shared" si="2"/>
        <v>6.8112785173851664E-7</v>
      </c>
      <c r="K13" s="31">
        <f>J13/$J$16</f>
        <v>8.3704863390609258E-2</v>
      </c>
      <c r="L13" s="31">
        <f>FINV(0.05,H13,$H$16)</f>
        <v>4.1300177456520188</v>
      </c>
      <c r="M13" s="31" t="str">
        <f>IF(K13&gt;=L13, "S", "NS")</f>
        <v>NS</v>
      </c>
      <c r="N13" s="39"/>
      <c r="O13" s="33">
        <v>1</v>
      </c>
      <c r="P13" s="83">
        <f>(F9+F18)/2</f>
        <v>3.4001927172105109E-2</v>
      </c>
      <c r="Q13" s="49">
        <f>RANK(P13,P$13:P$21,0)</f>
        <v>1</v>
      </c>
      <c r="R13" s="52">
        <v>9</v>
      </c>
      <c r="S13" s="56"/>
      <c r="T13" s="56"/>
      <c r="U13" s="56"/>
    </row>
    <row r="14" spans="1:21" x14ac:dyDescent="0.25">
      <c r="A14" s="32" t="s">
        <v>100</v>
      </c>
      <c r="B14" s="81">
        <f>('log Dry mt. '!B46-'log Dry mt. '!B14)/30</f>
        <v>3.7318536438474638E-2</v>
      </c>
      <c r="C14" s="81">
        <f>('log Dry mt. '!C46-'log Dry mt. '!C14)/30</f>
        <v>2.8289825437828438E-2</v>
      </c>
      <c r="D14" s="81">
        <f>('log Dry mt. '!D46-'log Dry mt. '!D14)/30</f>
        <v>2.5451325248130156E-2</v>
      </c>
      <c r="E14" s="31">
        <f t="shared" si="0"/>
        <v>9.1059687124433228E-2</v>
      </c>
      <c r="F14" s="31">
        <f t="shared" si="1"/>
        <v>3.0353229041477744E-2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0.22543856011043964</v>
      </c>
      <c r="J14" s="31">
        <f t="shared" si="2"/>
        <v>2.8179820013804955E-2</v>
      </c>
      <c r="K14" s="31">
        <f>J14/$J$16</f>
        <v>3463.0620060637802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83">
        <f t="shared" ref="P14:P21" si="4">(F10+F19)/2</f>
        <v>3.1731242621398315E-2</v>
      </c>
      <c r="Q14" s="49">
        <f t="shared" ref="Q14:Q21" si="5">RANK(P14,P$13:P$21,0)</f>
        <v>2</v>
      </c>
      <c r="R14" s="53">
        <v>5</v>
      </c>
      <c r="S14" s="55"/>
      <c r="T14" s="55"/>
      <c r="U14" s="55"/>
    </row>
    <row r="15" spans="1:21" x14ac:dyDescent="0.25">
      <c r="A15" s="32" t="s">
        <v>101</v>
      </c>
      <c r="B15" s="81">
        <f>('log Dry mt. '!B47-'log Dry mt. '!B15)/30</f>
        <v>3.5069668049354193E-2</v>
      </c>
      <c r="C15" s="81">
        <f>('log Dry mt. '!C47-'log Dry mt. '!C15)/30</f>
        <v>3.1757814006382529E-2</v>
      </c>
      <c r="D15" s="81">
        <f>('log Dry mt. '!D47-'log Dry mt. '!D15)/30</f>
        <v>1.9151418671530872E-2</v>
      </c>
      <c r="E15" s="31">
        <f t="shared" si="0"/>
        <v>8.597890072726759E-2</v>
      </c>
      <c r="F15" s="31">
        <f t="shared" si="1"/>
        <v>2.8659633575755863E-2</v>
      </c>
      <c r="G15" s="26" t="s">
        <v>110</v>
      </c>
      <c r="H15" s="31">
        <f>H13*H14</f>
        <v>8</v>
      </c>
      <c r="I15" s="31">
        <f>I12-(I13+I14)</f>
        <v>-0.22524449203865532</v>
      </c>
      <c r="J15" s="31">
        <f t="shared" si="2"/>
        <v>-2.8155561504831915E-2</v>
      </c>
      <c r="K15" s="44">
        <f>J15/$J$16</f>
        <v>-3460.0808400837586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83">
        <f t="shared" si="4"/>
        <v>3.024636414043079E-2</v>
      </c>
      <c r="Q15" s="49">
        <f t="shared" si="5"/>
        <v>6</v>
      </c>
      <c r="R15" s="53">
        <v>2</v>
      </c>
      <c r="S15" s="55"/>
      <c r="T15" s="55"/>
      <c r="U15" s="55"/>
    </row>
    <row r="16" spans="1:21" x14ac:dyDescent="0.25">
      <c r="A16" s="32" t="s">
        <v>102</v>
      </c>
      <c r="B16" s="81">
        <f>('log Dry mt. '!B48-'log Dry mt. '!B16)/30</f>
        <v>3.3029813086821756E-2</v>
      </c>
      <c r="C16" s="81">
        <f>('log Dry mt. '!C48-'log Dry mt. '!C16)/30</f>
        <v>3.0936010121090204E-2</v>
      </c>
      <c r="D16" s="81">
        <f>('log Dry mt. '!D48-'log Dry mt. '!D16)/30</f>
        <v>2.9159282852129563E-2</v>
      </c>
      <c r="E16" s="31">
        <f t="shared" si="0"/>
        <v>9.3125106060041513E-2</v>
      </c>
      <c r="F16" s="31">
        <f t="shared" si="1"/>
        <v>3.1041702020013839E-2</v>
      </c>
      <c r="G16" s="45" t="s">
        <v>23</v>
      </c>
      <c r="H16" s="31">
        <f>((B7-1)*(B5*B6-1))</f>
        <v>34</v>
      </c>
      <c r="I16" s="31">
        <f>D31</f>
        <v>2.7666668364347002E-4</v>
      </c>
      <c r="J16" s="31">
        <f t="shared" si="2"/>
        <v>8.1372554012785293E-6</v>
      </c>
      <c r="O16" s="33">
        <v>4</v>
      </c>
      <c r="P16" s="83">
        <f t="shared" si="4"/>
        <v>2.7904703514309306E-2</v>
      </c>
      <c r="Q16" s="49">
        <f t="shared" si="5"/>
        <v>8</v>
      </c>
      <c r="R16" s="53">
        <v>7</v>
      </c>
      <c r="S16" s="55"/>
      <c r="T16" s="55"/>
      <c r="U16" s="55"/>
    </row>
    <row r="17" spans="1:21" x14ac:dyDescent="0.25">
      <c r="A17" s="32" t="s">
        <v>103</v>
      </c>
      <c r="B17" s="81">
        <f>('log Dry mt. '!B49-'log Dry mt. '!B17)/30</f>
        <v>3.2216095201132923E-2</v>
      </c>
      <c r="C17" s="81">
        <f>('log Dry mt. '!C49-'log Dry mt. '!C17)/30</f>
        <v>2.7696983335920501E-2</v>
      </c>
      <c r="D17" s="81">
        <f>('log Dry mt. '!D49-'log Dry mt. '!D17)/30</f>
        <v>2.3559321209136789E-2</v>
      </c>
      <c r="E17" s="31">
        <f t="shared" si="0"/>
        <v>8.347239974619021E-2</v>
      </c>
      <c r="F17" s="31">
        <f t="shared" si="1"/>
        <v>2.7824133248730069E-2</v>
      </c>
      <c r="G17" s="44" t="s">
        <v>4</v>
      </c>
      <c r="H17" s="31">
        <f>SUM(H11:H16)-H12</f>
        <v>53</v>
      </c>
      <c r="I17" s="31">
        <f>B30</f>
        <v>7.3361530946419035E-4</v>
      </c>
      <c r="K17" s="31" t="s">
        <v>111</v>
      </c>
      <c r="L17" s="41">
        <f>TINV(0.05,34)</f>
        <v>2.0322445093177191</v>
      </c>
      <c r="O17" s="33">
        <v>5</v>
      </c>
      <c r="P17" s="83">
        <f t="shared" si="4"/>
        <v>3.0464276844865572E-2</v>
      </c>
      <c r="Q17" s="49">
        <f t="shared" si="5"/>
        <v>5</v>
      </c>
      <c r="R17" s="52">
        <v>3</v>
      </c>
      <c r="S17" s="76"/>
      <c r="T17" s="76"/>
      <c r="U17" s="76"/>
    </row>
    <row r="18" spans="1:21" x14ac:dyDescent="0.25">
      <c r="A18" s="32" t="s">
        <v>86</v>
      </c>
      <c r="B18" s="81">
        <f>('log Dry mt. '!B50-'log Dry mt. '!B18)/30</f>
        <v>3.8312584072701925E-2</v>
      </c>
      <c r="C18" s="81">
        <f>('log Dry mt. '!C50-'log Dry mt. '!C18)/30</f>
        <v>3.7359482650256987E-2</v>
      </c>
      <c r="D18" s="81">
        <f>('log Dry mt. '!D50-'log Dry mt. '!D18)/30</f>
        <v>2.7014778625596432E-2</v>
      </c>
      <c r="E18" s="31">
        <f t="shared" si="0"/>
        <v>0.10268684534855535</v>
      </c>
      <c r="F18" s="31">
        <f t="shared" si="1"/>
        <v>3.4228948449518452E-2</v>
      </c>
      <c r="G18" s="34" t="s">
        <v>14</v>
      </c>
      <c r="H18" s="31">
        <f>SQRT(J16/3)</f>
        <v>1.6469421565716395E-3</v>
      </c>
      <c r="O18" s="33">
        <v>6</v>
      </c>
      <c r="P18" s="83">
        <f t="shared" si="4"/>
        <v>3.0836057538438447E-2</v>
      </c>
      <c r="Q18" s="49">
        <f t="shared" si="5"/>
        <v>4</v>
      </c>
      <c r="R18" s="53">
        <v>1</v>
      </c>
      <c r="S18" s="76"/>
      <c r="T18" s="76"/>
      <c r="U18" s="76"/>
    </row>
    <row r="19" spans="1:21" x14ac:dyDescent="0.25">
      <c r="A19" s="32" t="s">
        <v>87</v>
      </c>
      <c r="B19" s="81">
        <f>('log Dry mt. '!B51-'log Dry mt. '!B19)/30</f>
        <v>3.1945067161962666E-2</v>
      </c>
      <c r="C19" s="81">
        <f>('log Dry mt. '!C51-'log Dry mt. '!C19)/30</f>
        <v>3.2033724082494545E-2</v>
      </c>
      <c r="D19" s="81">
        <f>('log Dry mt. '!D51-'log Dry mt. '!D19)/30</f>
        <v>3.1052703040938389E-2</v>
      </c>
      <c r="E19" s="31">
        <f t="shared" si="0"/>
        <v>9.5031494285395604E-2</v>
      </c>
      <c r="F19" s="31">
        <f t="shared" si="1"/>
        <v>3.1677164761798535E-2</v>
      </c>
      <c r="G19" s="34" t="s">
        <v>16</v>
      </c>
      <c r="H19" s="31">
        <f>(SQRT((2*J16)/3))*L17</f>
        <v>4.7333574559138645E-3</v>
      </c>
      <c r="O19" s="33">
        <v>7</v>
      </c>
      <c r="P19" s="83">
        <f t="shared" si="4"/>
        <v>2.8455410840048823E-2</v>
      </c>
      <c r="Q19" s="49">
        <f t="shared" si="5"/>
        <v>7</v>
      </c>
      <c r="R19" s="53">
        <v>6</v>
      </c>
      <c r="S19" s="76"/>
      <c r="T19" s="76"/>
      <c r="U19" s="76"/>
    </row>
    <row r="20" spans="1:21" x14ac:dyDescent="0.25">
      <c r="A20" s="32" t="s">
        <v>88</v>
      </c>
      <c r="B20" s="81">
        <f>('log Dry mt. '!B52-'log Dry mt. '!B20)/30</f>
        <v>3.5094221348941565E-2</v>
      </c>
      <c r="C20" s="81">
        <f>('log Dry mt. '!C52-'log Dry mt. '!C20)/30</f>
        <v>2.9001642870648475E-2</v>
      </c>
      <c r="D20" s="81">
        <f>('log Dry mt. '!D52-'log Dry mt. '!D20)/30</f>
        <v>2.7550041446907869E-2</v>
      </c>
      <c r="E20" s="31">
        <f t="shared" si="0"/>
        <v>9.1645905666497912E-2</v>
      </c>
      <c r="F20" s="31">
        <f t="shared" si="1"/>
        <v>3.0548635222165971E-2</v>
      </c>
      <c r="G20" s="34" t="s">
        <v>29</v>
      </c>
      <c r="H20" s="31">
        <f>((SQRT(J16))/F27)*100</f>
        <v>9.4214191210218896</v>
      </c>
      <c r="O20" s="33">
        <v>8</v>
      </c>
      <c r="P20" s="83">
        <f t="shared" si="4"/>
        <v>3.1033571898633552E-2</v>
      </c>
      <c r="Q20" s="49">
        <f t="shared" si="5"/>
        <v>3</v>
      </c>
      <c r="R20" s="52">
        <v>4</v>
      </c>
      <c r="S20" s="76"/>
      <c r="T20" s="76"/>
      <c r="U20" s="76"/>
    </row>
    <row r="21" spans="1:21" x14ac:dyDescent="0.25">
      <c r="A21" s="32" t="s">
        <v>89</v>
      </c>
      <c r="B21" s="81">
        <f>('log Dry mt. '!B53-'log Dry mt. '!B21)/30</f>
        <v>2.6805444486771891E-2</v>
      </c>
      <c r="C21" s="81">
        <f>('log Dry mt. '!C53-'log Dry mt. '!C21)/30</f>
        <v>2.8934377350552952E-2</v>
      </c>
      <c r="D21" s="81">
        <f>('log Dry mt. '!D53-'log Dry mt. '!D21)/30</f>
        <v>2.7585932040132228E-2</v>
      </c>
      <c r="E21" s="31">
        <f t="shared" si="0"/>
        <v>8.3325753877457068E-2</v>
      </c>
      <c r="F21" s="31">
        <f t="shared" si="1"/>
        <v>2.7775251292485689E-2</v>
      </c>
      <c r="O21" s="33">
        <v>9</v>
      </c>
      <c r="P21" s="83">
        <f t="shared" si="4"/>
        <v>2.7825599760965852E-2</v>
      </c>
      <c r="Q21" s="49">
        <f t="shared" si="5"/>
        <v>9</v>
      </c>
      <c r="R21" s="53">
        <v>8</v>
      </c>
      <c r="S21" s="76"/>
      <c r="T21" s="76"/>
      <c r="U21" s="76"/>
    </row>
    <row r="22" spans="1:21" x14ac:dyDescent="0.25">
      <c r="A22" s="32" t="s">
        <v>90</v>
      </c>
      <c r="B22" s="81">
        <f>('log Dry mt. '!B54-'log Dry mt. '!B22)/30</f>
        <v>3.1399616176224963E-2</v>
      </c>
      <c r="C22" s="81">
        <f>('log Dry mt. '!C54-'log Dry mt. '!C22)/30</f>
        <v>3.0303563305608173E-2</v>
      </c>
      <c r="D22" s="81">
        <f>('log Dry mt. '!D54-'log Dry mt. '!D22)/30</f>
        <v>3.0868900867902067E-2</v>
      </c>
      <c r="E22" s="31">
        <f t="shared" si="0"/>
        <v>9.2572080349735214E-2</v>
      </c>
      <c r="F22" s="31">
        <f t="shared" si="1"/>
        <v>3.0857360116578404E-2</v>
      </c>
      <c r="O22" s="30" t="s">
        <v>14</v>
      </c>
      <c r="P22" s="83">
        <f>SQRT(J16/(3*2))</f>
        <v>1.1645639671338031E-3</v>
      </c>
      <c r="Q22" s="49"/>
      <c r="S22" s="76"/>
      <c r="T22" s="76"/>
      <c r="U22" s="76"/>
    </row>
    <row r="23" spans="1:21" x14ac:dyDescent="0.25">
      <c r="A23" s="32" t="s">
        <v>91</v>
      </c>
      <c r="B23" s="81">
        <f>('log Dry mt. '!B55-'log Dry mt. '!B23)/30</f>
        <v>3.5679487875415104E-2</v>
      </c>
      <c r="C23" s="81">
        <f>('log Dry mt. '!C55-'log Dry mt. '!C23)/30</f>
        <v>3.0437374256453136E-2</v>
      </c>
      <c r="D23" s="81">
        <f>('log Dry mt. '!D55-'log Dry mt. '!D23)/30</f>
        <v>2.7839795974329225E-2</v>
      </c>
      <c r="E23" s="31">
        <f t="shared" si="0"/>
        <v>9.3956658106197466E-2</v>
      </c>
      <c r="F23" s="31">
        <f t="shared" si="1"/>
        <v>3.1318886035399153E-2</v>
      </c>
      <c r="N23" s="30" t="s">
        <v>109</v>
      </c>
      <c r="O23" s="30" t="s">
        <v>16</v>
      </c>
      <c r="P23" s="83">
        <f>SQRT((2*J16)/(3*2))*L17</f>
        <v>3.3469891548565975E-3</v>
      </c>
      <c r="Q23" s="49"/>
      <c r="S23" s="76"/>
      <c r="T23" s="76"/>
      <c r="U23" s="76"/>
    </row>
    <row r="24" spans="1:21" x14ac:dyDescent="0.25">
      <c r="A24" s="32" t="s">
        <v>92</v>
      </c>
      <c r="B24" s="81">
        <f>('log Dry mt. '!B56-'log Dry mt. '!B24)/30</f>
        <v>2.9248261012715916E-2</v>
      </c>
      <c r="C24" s="81">
        <f>('log Dry mt. '!C56-'log Dry mt. '!C24)/30</f>
        <v>2.8584727764894513E-2</v>
      </c>
      <c r="D24" s="81">
        <f>('log Dry mt. '!D56-'log Dry mt. '!D24)/30</f>
        <v>2.6920575535414937E-2</v>
      </c>
      <c r="E24" s="31">
        <f t="shared" si="0"/>
        <v>8.4753564313025359E-2</v>
      </c>
      <c r="F24" s="31">
        <f>E24/3</f>
        <v>2.8251188104341785E-2</v>
      </c>
      <c r="Q24" s="49"/>
      <c r="S24" s="76"/>
      <c r="T24" s="76"/>
      <c r="U24" s="76"/>
    </row>
    <row r="25" spans="1:21" x14ac:dyDescent="0.25">
      <c r="A25" s="32" t="s">
        <v>93</v>
      </c>
      <c r="B25" s="81">
        <f>('log Dry mt. '!B57-'log Dry mt. '!B25)/30</f>
        <v>3.2896782173354094E-2</v>
      </c>
      <c r="C25" s="81">
        <f>('log Dry mt. '!C57-'log Dry mt. '!C25)/30</f>
        <v>3.0244906058436674E-2</v>
      </c>
      <c r="D25" s="81">
        <f>('log Dry mt. '!D57-'log Dry mt. '!D25)/30</f>
        <v>2.993463709996904E-2</v>
      </c>
      <c r="E25" s="31">
        <f t="shared" si="0"/>
        <v>9.3076325331759802E-2</v>
      </c>
      <c r="F25" s="31">
        <f t="shared" si="1"/>
        <v>3.1025441777253266E-2</v>
      </c>
      <c r="S25" s="76"/>
      <c r="T25" s="76"/>
      <c r="U25" s="76"/>
    </row>
    <row r="26" spans="1:21" x14ac:dyDescent="0.25">
      <c r="A26" s="32" t="s">
        <v>94</v>
      </c>
      <c r="B26" s="81">
        <f>('log Dry mt. '!B58-'log Dry mt. '!B26)/30</f>
        <v>2.8247029305058766E-2</v>
      </c>
      <c r="C26" s="81">
        <f>('log Dry mt. '!C58-'log Dry mt. '!C26)/30</f>
        <v>2.7053134528626246E-2</v>
      </c>
      <c r="D26" s="81">
        <f>('log Dry mt. '!D58-'log Dry mt. '!D26)/30</f>
        <v>2.8181034985919892E-2</v>
      </c>
      <c r="E26" s="31">
        <f t="shared" si="0"/>
        <v>8.3481198819604904E-2</v>
      </c>
      <c r="F26" s="31">
        <f t="shared" si="1"/>
        <v>2.7827066273201636E-2</v>
      </c>
    </row>
    <row r="27" spans="1:21" x14ac:dyDescent="0.25">
      <c r="A27" s="30" t="s">
        <v>4</v>
      </c>
      <c r="B27" s="31">
        <f>SUM(B9:B26)</f>
        <v>0.59484983654910262</v>
      </c>
      <c r="C27" s="31">
        <f>SUM(C9:C26)</f>
        <v>0.54234166484494584</v>
      </c>
      <c r="D27" s="31">
        <f>SUM(D9:D26)</f>
        <v>0.49780342459312626</v>
      </c>
      <c r="E27" s="31">
        <f>SUM(E9:E26)</f>
        <v>1.6349949259871746</v>
      </c>
      <c r="F27" s="31">
        <f>AVERAGE(B9:D26)</f>
        <v>3.0277683814577312E-2</v>
      </c>
    </row>
    <row r="28" spans="1:21" x14ac:dyDescent="0.25">
      <c r="A28" s="30" t="s">
        <v>5</v>
      </c>
      <c r="B28" s="31">
        <f>B27/18</f>
        <v>3.3047213141616814E-2</v>
      </c>
      <c r="C28" s="31">
        <f>C27/18</f>
        <v>3.0130092491385881E-2</v>
      </c>
      <c r="D28" s="31">
        <f>D27/18</f>
        <v>2.7655745810729236E-2</v>
      </c>
    </row>
    <row r="29" spans="1:21" x14ac:dyDescent="0.25">
      <c r="A29" s="30" t="s">
        <v>26</v>
      </c>
      <c r="B29" s="31">
        <f>(E27*E27)/54</f>
        <v>4.9503859407477896E-2</v>
      </c>
      <c r="C29" s="31"/>
      <c r="D29" s="31"/>
    </row>
    <row r="30" spans="1:21" x14ac:dyDescent="0.25">
      <c r="A30" s="30" t="s">
        <v>27</v>
      </c>
      <c r="B30" s="31">
        <f>SUMSQ(B9:D26)-B29</f>
        <v>7.3361530946419035E-4</v>
      </c>
      <c r="C30" s="30" t="s">
        <v>28</v>
      </c>
      <c r="D30" s="31">
        <f>(SUMSQ(B27:D27)/18)-B29</f>
        <v>2.6219942618466163E-4</v>
      </c>
    </row>
    <row r="31" spans="1:21" x14ac:dyDescent="0.25">
      <c r="A31" s="30" t="s">
        <v>30</v>
      </c>
      <c r="B31" s="31">
        <f>(SUMSQ(E9:E26)/3)-B29</f>
        <v>1.9474919963605869E-4</v>
      </c>
      <c r="C31" s="30" t="s">
        <v>31</v>
      </c>
      <c r="D31" s="31">
        <f>B30-B31-D30</f>
        <v>2.7666668364347002E-4</v>
      </c>
    </row>
    <row r="35" spans="1:18" x14ac:dyDescent="0.25">
      <c r="C35" s="48" t="s">
        <v>114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95</v>
      </c>
      <c r="B41" s="81">
        <f>('log Dry mt. '!B73-'log Dry mt. '!B41)/30</f>
        <v>8.3061445681160851E-3</v>
      </c>
      <c r="C41" s="81">
        <f>('log Dry mt. '!C73-'log Dry mt. '!C41)/30</f>
        <v>1.2875680354537077E-2</v>
      </c>
      <c r="D41" s="81">
        <f>('log Dry mt. '!D73-'log Dry mt. '!D41)/30</f>
        <v>1.6464459059595201E-2</v>
      </c>
      <c r="E41" s="31">
        <f>SUM(B41:D41)</f>
        <v>3.7646283982248369E-2</v>
      </c>
      <c r="F41" s="31">
        <f>E41/3</f>
        <v>1.2548761327416122E-2</v>
      </c>
      <c r="H41" s="47"/>
      <c r="I41" s="47"/>
      <c r="J41" s="47" t="s">
        <v>6</v>
      </c>
      <c r="K41" s="47"/>
      <c r="L41" s="47"/>
      <c r="M41" s="47"/>
      <c r="N41" s="47"/>
      <c r="O41" s="33">
        <v>2</v>
      </c>
      <c r="P41" s="83">
        <f>SUM(F41:F49)/9</f>
        <v>1.2230966294154011E-2</v>
      </c>
      <c r="Q41" s="49">
        <f>RANK(P41,P$41:P$42,0)</f>
        <v>1</v>
      </c>
    </row>
    <row r="42" spans="1:18" s="41" customFormat="1" x14ac:dyDescent="0.25">
      <c r="A42" s="32" t="s">
        <v>96</v>
      </c>
      <c r="B42" s="81">
        <f>('log Dry mt. '!B74-'log Dry mt. '!B42)/30</f>
        <v>1.1412644705850608E-2</v>
      </c>
      <c r="C42" s="81">
        <f>('log Dry mt. '!C74-'log Dry mt. '!C42)/30</f>
        <v>6.666163835008199E-3</v>
      </c>
      <c r="D42" s="81">
        <f>('log Dry mt. '!D74-'log Dry mt. '!D42)/30</f>
        <v>1.2673139329836314E-2</v>
      </c>
      <c r="E42" s="31">
        <f>SUM(B42:D42)</f>
        <v>3.0751947870695122E-2</v>
      </c>
      <c r="F42" s="31">
        <f t="shared" ref="F42:F55" si="6">E42/3</f>
        <v>1.0250649290231707E-2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1</v>
      </c>
      <c r="P42" s="83">
        <f>SUM(F50:F58)/9</f>
        <v>1.1809164126368987E-2</v>
      </c>
      <c r="Q42" s="49">
        <f>RANK(P42,P$41:P$42,0)</f>
        <v>2</v>
      </c>
    </row>
    <row r="43" spans="1:18" s="41" customFormat="1" x14ac:dyDescent="0.25">
      <c r="A43" s="32" t="s">
        <v>97</v>
      </c>
      <c r="B43" s="81">
        <f>('log Dry mt. '!B75-'log Dry mt. '!B43)/30</f>
        <v>9.7946237883248227E-3</v>
      </c>
      <c r="C43" s="81">
        <f>('log Dry mt. '!C75-'log Dry mt. '!C43)/30</f>
        <v>1.2945620370523455E-2</v>
      </c>
      <c r="D43" s="81">
        <f>('log Dry mt. '!D75-'log Dry mt. '!D43)/30</f>
        <v>1.1054847775799697E-2</v>
      </c>
      <c r="E43" s="31">
        <f t="shared" ref="E43:E58" si="7">SUM(B43:D43)</f>
        <v>3.3795091934647976E-2</v>
      </c>
      <c r="F43" s="31">
        <f t="shared" si="6"/>
        <v>1.1265030644882658E-2</v>
      </c>
      <c r="G43" s="31" t="s">
        <v>13</v>
      </c>
      <c r="H43" s="31">
        <f>B39-1</f>
        <v>2</v>
      </c>
      <c r="I43" s="31">
        <f>D62</f>
        <v>1.3762082242208418E-4</v>
      </c>
      <c r="J43" s="31">
        <f>I43/H43</f>
        <v>6.8810411211042092E-5</v>
      </c>
      <c r="K43" s="31">
        <f>J43/$J$16</f>
        <v>8.4562186901778418</v>
      </c>
      <c r="L43" s="31">
        <f>FINV(0.05,H43,$H$16)</f>
        <v>3.275897990672394</v>
      </c>
      <c r="M43" s="31" t="str">
        <f>IF(K43&gt;=L43, "S", "NS")</f>
        <v>S</v>
      </c>
      <c r="N43" s="39"/>
      <c r="O43" s="30" t="s">
        <v>14</v>
      </c>
      <c r="P43" s="83">
        <f>SQRT(J48/(3*9))</f>
        <v>5.8744826412809826E-4</v>
      </c>
      <c r="Q43" s="37"/>
    </row>
    <row r="44" spans="1:18" s="41" customFormat="1" x14ac:dyDescent="0.25">
      <c r="A44" s="32" t="s">
        <v>98</v>
      </c>
      <c r="B44" s="81">
        <f>('log Dry mt. '!B76-'log Dry mt. '!B44)/30</f>
        <v>9.5669501623131779E-3</v>
      </c>
      <c r="C44" s="81">
        <f>('log Dry mt. '!C76-'log Dry mt. '!C44)/30</f>
        <v>1.3918480198606146E-2</v>
      </c>
      <c r="D44" s="81">
        <f>('log Dry mt. '!D76-'log Dry mt. '!D44)/30</f>
        <v>1.9230570700417862E-2</v>
      </c>
      <c r="E44" s="31">
        <f t="shared" si="7"/>
        <v>4.2716001061337189E-2</v>
      </c>
      <c r="F44" s="31">
        <f t="shared" si="6"/>
        <v>1.423866702044573E-2</v>
      </c>
      <c r="G44" s="31" t="s">
        <v>15</v>
      </c>
      <c r="H44" s="31">
        <f>D38-1</f>
        <v>17</v>
      </c>
      <c r="I44" s="31">
        <f>B63</f>
        <v>1.2540707489094773E-4</v>
      </c>
      <c r="J44" s="31">
        <f t="shared" ref="J44:J48" si="8">I44/H44</f>
        <v>7.3768867582910431E-6</v>
      </c>
      <c r="K44" s="31">
        <f>J44/$J$16</f>
        <v>0.9065571122582663</v>
      </c>
      <c r="L44" s="31">
        <f>FINV(0.05,H44,$H$16)</f>
        <v>1.9332068318040869</v>
      </c>
      <c r="M44" s="43" t="str">
        <f t="shared" ref="M44" si="9">IF(K44&gt;=L44, "S", "NS")</f>
        <v>NS</v>
      </c>
      <c r="N44" s="30" t="s">
        <v>113</v>
      </c>
      <c r="O44" s="30" t="s">
        <v>16</v>
      </c>
      <c r="P44" s="83">
        <f>SQRT((2*J48)/(3*9))*L49</f>
        <v>1.6883426111106645E-3</v>
      </c>
      <c r="Q44" s="37"/>
    </row>
    <row r="45" spans="1:18" s="41" customFormat="1" x14ac:dyDescent="0.25">
      <c r="A45" s="32" t="s">
        <v>99</v>
      </c>
      <c r="B45" s="81">
        <f>('log Dry mt. '!B77-'log Dry mt. '!B45)/30</f>
        <v>1.0071738830443077E-2</v>
      </c>
      <c r="C45" s="81">
        <f>('log Dry mt. '!C77-'log Dry mt. '!C45)/30</f>
        <v>1.3620394518241567E-2</v>
      </c>
      <c r="D45" s="81">
        <f>('log Dry mt. '!D77-'log Dry mt. '!D45)/30</f>
        <v>9.9270591661552096E-3</v>
      </c>
      <c r="E45" s="31">
        <f t="shared" si="7"/>
        <v>3.3619192514839857E-2</v>
      </c>
      <c r="F45" s="31">
        <f t="shared" si="6"/>
        <v>1.1206397504946619E-2</v>
      </c>
      <c r="G45" s="31" t="s">
        <v>108</v>
      </c>
      <c r="H45" s="31">
        <f>B37-1</f>
        <v>1</v>
      </c>
      <c r="I45" s="31">
        <f>(SUM(E41:E49)^2+SUM(E50:E58)^2)/27-B61</f>
        <v>2.4018804280984477E-6</v>
      </c>
      <c r="J45" s="31">
        <f t="shared" si="8"/>
        <v>2.4018804280984477E-6</v>
      </c>
      <c r="K45" s="31">
        <f>J45/$J$16</f>
        <v>0.295170829678157</v>
      </c>
      <c r="L45" s="31">
        <f>FINV(0.05,H45,$H$16)</f>
        <v>4.1300177456520188</v>
      </c>
      <c r="M45" s="31" t="str">
        <f>IF(K45&gt;=L45, "S", "NS")</f>
        <v>NS</v>
      </c>
      <c r="N45" s="39"/>
      <c r="O45" s="33">
        <v>1</v>
      </c>
      <c r="P45" s="83">
        <f>(F41+F50)/2</f>
        <v>1.1992775024522928E-2</v>
      </c>
      <c r="Q45" s="49">
        <f>RANK(P45,P$45:P$53,0)</f>
        <v>4</v>
      </c>
      <c r="R45" s="52">
        <v>9</v>
      </c>
    </row>
    <row r="46" spans="1:18" s="41" customFormat="1" x14ac:dyDescent="0.25">
      <c r="A46" s="32" t="s">
        <v>100</v>
      </c>
      <c r="B46" s="81">
        <f>('log Dry mt. '!B78-'log Dry mt. '!B46)/30</f>
        <v>4.3217827896894732E-3</v>
      </c>
      <c r="C46" s="81">
        <f>('log Dry mt. '!C78-'log Dry mt. '!C46)/30</f>
        <v>1.374969385031862E-2</v>
      </c>
      <c r="D46" s="81">
        <f>('log Dry mt. '!D78-'log Dry mt. '!D46)/30</f>
        <v>1.4942753680883462E-2</v>
      </c>
      <c r="E46" s="31">
        <f t="shared" si="7"/>
        <v>3.3014230320891555E-2</v>
      </c>
      <c r="F46" s="31">
        <f t="shared" si="6"/>
        <v>1.1004743440297185E-2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3.3808396916470806E-2</v>
      </c>
      <c r="J46" s="31">
        <f t="shared" si="8"/>
        <v>4.2260496145588508E-3</v>
      </c>
      <c r="K46" s="31">
        <f>J46/$J$16</f>
        <v>519.34582437892414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83">
        <f t="shared" ref="P46:P53" si="10">(F42+F51)/2</f>
        <v>9.7786347712404444E-3</v>
      </c>
      <c r="Q46" s="49">
        <f t="shared" ref="Q46:Q53" si="11">RANK(P46,P$45:P$53,0)</f>
        <v>9</v>
      </c>
      <c r="R46" s="53">
        <v>5</v>
      </c>
    </row>
    <row r="47" spans="1:18" s="41" customFormat="1" x14ac:dyDescent="0.25">
      <c r="A47" s="32" t="s">
        <v>101</v>
      </c>
      <c r="B47" s="81">
        <f>('log Dry mt. '!B79-'log Dry mt. '!B47)/30</f>
        <v>9.1155642816176542E-3</v>
      </c>
      <c r="C47" s="81">
        <f>('log Dry mt. '!C79-'log Dry mt. '!C47)/30</f>
        <v>1.4173856477967412E-2</v>
      </c>
      <c r="D47" s="81">
        <f>('log Dry mt. '!D79-'log Dry mt. '!D47)/30</f>
        <v>1.9123688121291327E-2</v>
      </c>
      <c r="E47" s="31">
        <f t="shared" si="7"/>
        <v>4.2413108880876391E-2</v>
      </c>
      <c r="F47" s="31">
        <f t="shared" si="6"/>
        <v>1.4137702960292131E-2</v>
      </c>
      <c r="G47" s="26" t="s">
        <v>110</v>
      </c>
      <c r="H47" s="31">
        <f>H45*H46</f>
        <v>8</v>
      </c>
      <c r="I47" s="31">
        <f>I44-(I45+I46)</f>
        <v>-3.3685391722007955E-2</v>
      </c>
      <c r="J47" s="31">
        <f t="shared" si="8"/>
        <v>-4.2106739652509944E-3</v>
      </c>
      <c r="K47" s="44">
        <f>J47/$J$16</f>
        <v>-517.45628686908503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83">
        <f t="shared" si="10"/>
        <v>1.1172353232056825E-2</v>
      </c>
      <c r="Q47" s="49">
        <f t="shared" si="11"/>
        <v>7</v>
      </c>
      <c r="R47" s="53">
        <v>2</v>
      </c>
    </row>
    <row r="48" spans="1:18" s="41" customFormat="1" x14ac:dyDescent="0.25">
      <c r="A48" s="32" t="s">
        <v>102</v>
      </c>
      <c r="B48" s="81">
        <f>('log Dry mt. '!B80-'log Dry mt. '!B48)/30</f>
        <v>1.1124892427617449E-2</v>
      </c>
      <c r="C48" s="81">
        <f>('log Dry mt. '!C80-'log Dry mt. '!C48)/30</f>
        <v>1.081728285042572E-2</v>
      </c>
      <c r="D48" s="81">
        <f>('log Dry mt. '!D80-'log Dry mt. '!D48)/30</f>
        <v>1.1423053563109924E-2</v>
      </c>
      <c r="E48" s="31">
        <f t="shared" si="7"/>
        <v>3.3365228841153095E-2</v>
      </c>
      <c r="F48" s="31">
        <f t="shared" si="6"/>
        <v>1.1121742947051032E-2</v>
      </c>
      <c r="G48" s="45" t="s">
        <v>23</v>
      </c>
      <c r="H48" s="31">
        <f>((B39-1)*(B37*B38-1))</f>
        <v>34</v>
      </c>
      <c r="I48" s="31">
        <f>D63</f>
        <v>3.1679763505889236E-4</v>
      </c>
      <c r="J48" s="31">
        <f t="shared" si="8"/>
        <v>9.3175775017321287E-6</v>
      </c>
      <c r="O48" s="33">
        <v>4</v>
      </c>
      <c r="P48" s="83">
        <f t="shared" si="10"/>
        <v>1.3930317650150957E-2</v>
      </c>
      <c r="Q48" s="49">
        <f t="shared" si="11"/>
        <v>2</v>
      </c>
      <c r="R48" s="53">
        <v>7</v>
      </c>
    </row>
    <row r="49" spans="1:18" x14ac:dyDescent="0.25">
      <c r="A49" s="32" t="s">
        <v>103</v>
      </c>
      <c r="B49" s="81">
        <f>('log Dry mt. '!B81-'log Dry mt. '!B49)/30</f>
        <v>8.9793179108574126E-3</v>
      </c>
      <c r="C49" s="81">
        <f>('log Dry mt. '!C81-'log Dry mt. '!C49)/30</f>
        <v>1.4863689656386942E-2</v>
      </c>
      <c r="D49" s="81">
        <f>('log Dry mt. '!D81-'log Dry mt. '!D49)/30</f>
        <v>1.9071996968224376E-2</v>
      </c>
      <c r="E49" s="31">
        <f t="shared" si="7"/>
        <v>4.2915004535468732E-2</v>
      </c>
      <c r="F49" s="31">
        <f t="shared" si="6"/>
        <v>1.430500151182291E-2</v>
      </c>
      <c r="G49" s="44" t="s">
        <v>4</v>
      </c>
      <c r="H49" s="31">
        <f>SUM(H43:H48)-H44</f>
        <v>53</v>
      </c>
      <c r="I49" s="31">
        <f>B62</f>
        <v>5.7982553237192428E-4</v>
      </c>
      <c r="K49" s="31" t="s">
        <v>111</v>
      </c>
      <c r="L49" s="41">
        <f>TINV(0.05,34)</f>
        <v>2.0322445093177191</v>
      </c>
      <c r="O49" s="33">
        <v>5</v>
      </c>
      <c r="P49" s="83">
        <f t="shared" si="10"/>
        <v>1.1327598310512148E-2</v>
      </c>
      <c r="Q49" s="49">
        <f t="shared" si="11"/>
        <v>6</v>
      </c>
      <c r="R49" s="52">
        <v>3</v>
      </c>
    </row>
    <row r="50" spans="1:18" x14ac:dyDescent="0.25">
      <c r="A50" s="32" t="s">
        <v>86</v>
      </c>
      <c r="B50" s="81">
        <f>('log Dry mt. '!B82-'log Dry mt. '!B50)/30</f>
        <v>9.3811448143549178E-3</v>
      </c>
      <c r="C50" s="81">
        <f>('log Dry mt. '!C82-'log Dry mt. '!C50)/30</f>
        <v>1.0891708314755603E-2</v>
      </c>
      <c r="D50" s="81">
        <f>('log Dry mt. '!D82-'log Dry mt. '!D50)/30</f>
        <v>1.4037513035778678E-2</v>
      </c>
      <c r="E50" s="31">
        <f t="shared" si="7"/>
        <v>3.4310366164889201E-2</v>
      </c>
      <c r="F50" s="31">
        <f t="shared" si="6"/>
        <v>1.1436788721629733E-2</v>
      </c>
      <c r="G50" s="34" t="s">
        <v>14</v>
      </c>
      <c r="H50" s="31">
        <f>SQRT(J48/3)</f>
        <v>1.7623447923842948E-3</v>
      </c>
      <c r="O50" s="33">
        <v>6</v>
      </c>
      <c r="P50" s="83">
        <f t="shared" si="10"/>
        <v>1.0622020747553057E-2</v>
      </c>
      <c r="Q50" s="49">
        <f t="shared" si="11"/>
        <v>8</v>
      </c>
      <c r="R50" s="53">
        <v>1</v>
      </c>
    </row>
    <row r="51" spans="1:18" x14ac:dyDescent="0.25">
      <c r="A51" s="32" t="s">
        <v>87</v>
      </c>
      <c r="B51" s="81">
        <f>('log Dry mt. '!B83-'log Dry mt. '!B51)/30</f>
        <v>6.7582875025566187E-3</v>
      </c>
      <c r="C51" s="81">
        <f>('log Dry mt. '!C83-'log Dry mt. '!C51)/30</f>
        <v>1.3704981787016202E-2</v>
      </c>
      <c r="D51" s="81">
        <f>('log Dry mt. '!D83-'log Dry mt. '!D51)/30</f>
        <v>7.4565914671747297E-3</v>
      </c>
      <c r="E51" s="31">
        <f t="shared" si="7"/>
        <v>2.7919860756747551E-2</v>
      </c>
      <c r="F51" s="31">
        <f t="shared" si="6"/>
        <v>9.3066202522491832E-3</v>
      </c>
      <c r="G51" s="34" t="s">
        <v>16</v>
      </c>
      <c r="H51" s="31">
        <f>(SQRT((2*J48)/3))*L49</f>
        <v>5.0650278333319925E-3</v>
      </c>
      <c r="O51" s="33">
        <v>7</v>
      </c>
      <c r="P51" s="83">
        <f t="shared" si="10"/>
        <v>1.3915458243799726E-2</v>
      </c>
      <c r="Q51" s="49">
        <f t="shared" si="11"/>
        <v>3</v>
      </c>
      <c r="R51" s="53">
        <v>6</v>
      </c>
    </row>
    <row r="52" spans="1:18" x14ac:dyDescent="0.25">
      <c r="A52" s="32" t="s">
        <v>88</v>
      </c>
      <c r="B52" s="81">
        <f>('log Dry mt. '!B84-'log Dry mt. '!B52)/30</f>
        <v>8.6383155472069834E-3</v>
      </c>
      <c r="C52" s="81">
        <f>('log Dry mt. '!C84-'log Dry mt. '!C52)/30</f>
        <v>1.506981716603093E-2</v>
      </c>
      <c r="D52" s="81">
        <f>('log Dry mt. '!D84-'log Dry mt. '!D52)/30</f>
        <v>9.5308947444550547E-3</v>
      </c>
      <c r="E52" s="31">
        <f t="shared" si="7"/>
        <v>3.3239027457692971E-2</v>
      </c>
      <c r="F52" s="31">
        <f t="shared" si="6"/>
        <v>1.1079675819230991E-2</v>
      </c>
      <c r="G52" s="34" t="s">
        <v>29</v>
      </c>
      <c r="H52" s="31">
        <f>((SQRT(J48))/F59)*100</f>
        <v>25.39479335152139</v>
      </c>
      <c r="O52" s="33">
        <v>8</v>
      </c>
      <c r="P52" s="83">
        <f t="shared" si="10"/>
        <v>1.1395552509721223E-2</v>
      </c>
      <c r="Q52" s="49">
        <f t="shared" si="11"/>
        <v>5</v>
      </c>
      <c r="R52" s="52">
        <v>4</v>
      </c>
    </row>
    <row r="53" spans="1:18" x14ac:dyDescent="0.25">
      <c r="A53" s="32" t="s">
        <v>89</v>
      </c>
      <c r="B53" s="81">
        <f>('log Dry mt. '!B85-'log Dry mt. '!B53)/30</f>
        <v>1.1781947043699562E-2</v>
      </c>
      <c r="C53" s="81">
        <f>('log Dry mt. '!C85-'log Dry mt. '!C53)/30</f>
        <v>1.36704826544654E-2</v>
      </c>
      <c r="D53" s="81">
        <f>('log Dry mt. '!D85-'log Dry mt. '!D53)/30</f>
        <v>1.5413475141403588E-2</v>
      </c>
      <c r="E53" s="31">
        <f t="shared" si="7"/>
        <v>4.0865904839568548E-2</v>
      </c>
      <c r="F53" s="31">
        <f t="shared" si="6"/>
        <v>1.3621968279856183E-2</v>
      </c>
      <c r="O53" s="33">
        <v>9</v>
      </c>
      <c r="P53" s="83">
        <f t="shared" si="10"/>
        <v>1.4045876402796182E-2</v>
      </c>
      <c r="Q53" s="49">
        <f t="shared" si="11"/>
        <v>1</v>
      </c>
      <c r="R53" s="53">
        <v>8</v>
      </c>
    </row>
    <row r="54" spans="1:18" x14ac:dyDescent="0.25">
      <c r="A54" s="32" t="s">
        <v>90</v>
      </c>
      <c r="B54" s="81">
        <f>('log Dry mt. '!B86-'log Dry mt. '!B54)/30</f>
        <v>9.6013918426934627E-3</v>
      </c>
      <c r="C54" s="81">
        <f>('log Dry mt. '!C86-'log Dry mt. '!C54)/30</f>
        <v>1.428811654950651E-2</v>
      </c>
      <c r="D54" s="81">
        <f>('log Dry mt. '!D86-'log Dry mt. '!D54)/30</f>
        <v>1.0456888956033073E-2</v>
      </c>
      <c r="E54" s="31">
        <f t="shared" si="7"/>
        <v>3.434639734823304E-2</v>
      </c>
      <c r="F54" s="31">
        <f t="shared" si="6"/>
        <v>1.144879911607768E-2</v>
      </c>
      <c r="I54" s="77"/>
      <c r="J54" s="77"/>
      <c r="K54" s="77"/>
      <c r="O54" s="30" t="s">
        <v>14</v>
      </c>
      <c r="P54" s="83">
        <f>SQRT(J48/(3*2))</f>
        <v>1.246165953483733E-3</v>
      </c>
      <c r="Q54" s="49"/>
    </row>
    <row r="55" spans="1:18" x14ac:dyDescent="0.25">
      <c r="A55" s="32" t="s">
        <v>91</v>
      </c>
      <c r="B55" s="81">
        <f>('log Dry mt. '!B87-'log Dry mt. '!B55)/30</f>
        <v>8.2097086178621655E-3</v>
      </c>
      <c r="C55" s="81">
        <f>('log Dry mt. '!C87-'log Dry mt. '!C55)/30</f>
        <v>1.136142187270206E-2</v>
      </c>
      <c r="D55" s="81">
        <f>('log Dry mt. '!D87-'log Dry mt. '!D55)/30</f>
        <v>1.1146763673862558E-2</v>
      </c>
      <c r="E55" s="31">
        <f t="shared" si="7"/>
        <v>3.0717894164426787E-2</v>
      </c>
      <c r="F55" s="31">
        <f t="shared" si="6"/>
        <v>1.0239298054808929E-2</v>
      </c>
      <c r="I55" s="77"/>
      <c r="J55" s="77"/>
      <c r="K55" s="77"/>
      <c r="N55" s="30" t="s">
        <v>109</v>
      </c>
      <c r="O55" s="30" t="s">
        <v>16</v>
      </c>
      <c r="P55" s="83">
        <f>SQRT((2*J48)/(3*2))*L49</f>
        <v>3.5815155278476588E-3</v>
      </c>
      <c r="Q55" s="49"/>
    </row>
    <row r="56" spans="1:18" x14ac:dyDescent="0.25">
      <c r="A56" s="32" t="s">
        <v>92</v>
      </c>
      <c r="B56" s="81">
        <f>('log Dry mt. '!B88-'log Dry mt. '!B56)/30</f>
        <v>1.2471482596203358E-2</v>
      </c>
      <c r="C56" s="81">
        <f>('log Dry mt. '!C88-'log Dry mt. '!C56)/30</f>
        <v>1.6861378103309597E-2</v>
      </c>
      <c r="D56" s="81">
        <f>('log Dry mt. '!D88-'log Dry mt. '!D56)/30</f>
        <v>1.1746779882408997E-2</v>
      </c>
      <c r="E56" s="31">
        <f t="shared" si="7"/>
        <v>4.1079640581921956E-2</v>
      </c>
      <c r="F56" s="31">
        <f>E56/3</f>
        <v>1.3693213527307319E-2</v>
      </c>
      <c r="I56" s="77"/>
      <c r="J56" s="77"/>
      <c r="K56" s="77"/>
      <c r="Q56" s="49"/>
    </row>
    <row r="57" spans="1:18" x14ac:dyDescent="0.25">
      <c r="A57" s="32" t="s">
        <v>93</v>
      </c>
      <c r="B57" s="81">
        <f>('log Dry mt. '!B89-'log Dry mt. '!B57)/30</f>
        <v>1.1912994115029937E-2</v>
      </c>
      <c r="C57" s="81">
        <f>('log Dry mt. '!C89-'log Dry mt. '!C57)/30</f>
        <v>9.1166345325041157E-3</v>
      </c>
      <c r="D57" s="81">
        <f>('log Dry mt. '!D89-'log Dry mt. '!D57)/30</f>
        <v>1.3978457569640194E-2</v>
      </c>
      <c r="E57" s="31">
        <f t="shared" si="7"/>
        <v>3.5008086217174245E-2</v>
      </c>
      <c r="F57" s="31">
        <f t="shared" ref="F57:F58" si="13">E57/3</f>
        <v>1.1669362072391415E-2</v>
      </c>
    </row>
    <row r="58" spans="1:18" x14ac:dyDescent="0.25">
      <c r="A58" s="32" t="s">
        <v>94</v>
      </c>
      <c r="B58" s="81">
        <f>('log Dry mt. '!B90-'log Dry mt. '!B58)/30</f>
        <v>1.4280461075422786E-2</v>
      </c>
      <c r="C58" s="81">
        <f>('log Dry mt. '!C90-'log Dry mt. '!C58)/30</f>
        <v>1.8699052016374472E-2</v>
      </c>
      <c r="D58" s="81">
        <f>('log Dry mt. '!D90-'log Dry mt. '!D58)/30</f>
        <v>8.3807407895111052E-3</v>
      </c>
      <c r="E58" s="31">
        <f t="shared" si="7"/>
        <v>4.1360253881308366E-2</v>
      </c>
      <c r="F58" s="31">
        <f t="shared" si="13"/>
        <v>1.3786751293769455E-2</v>
      </c>
    </row>
    <row r="59" spans="1:18" x14ac:dyDescent="0.25">
      <c r="A59" s="30" t="s">
        <v>4</v>
      </c>
      <c r="B59" s="31">
        <f>SUM(B41:B58)</f>
        <v>0.17572939261985956</v>
      </c>
      <c r="C59" s="31">
        <f t="shared" ref="C59:D59" si="14">SUM(C41:C58)</f>
        <v>0.23729445510868002</v>
      </c>
      <c r="D59" s="31">
        <f t="shared" si="14"/>
        <v>0.23605967362558136</v>
      </c>
      <c r="E59" s="31">
        <f>SUM(E41:E58)</f>
        <v>0.64908352135412106</v>
      </c>
      <c r="F59" s="31">
        <f>AVERAGE(B41:D58)</f>
        <v>1.2020065210261501E-2</v>
      </c>
    </row>
    <row r="60" spans="1:18" x14ac:dyDescent="0.25">
      <c r="A60" s="30" t="s">
        <v>5</v>
      </c>
      <c r="B60" s="31">
        <f>B59/18</f>
        <v>9.7627440344366431E-3</v>
      </c>
      <c r="C60" s="31">
        <f>C59/18</f>
        <v>1.3183025283815557E-2</v>
      </c>
      <c r="D60" s="31">
        <f>D59/18</f>
        <v>1.3114426312532297E-2</v>
      </c>
    </row>
    <row r="61" spans="1:18" x14ac:dyDescent="0.25">
      <c r="A61" s="30" t="s">
        <v>26</v>
      </c>
      <c r="B61" s="31">
        <f>(E59*E59)/54</f>
        <v>7.8020262535826992E-3</v>
      </c>
      <c r="C61" s="31"/>
      <c r="D61" s="31"/>
    </row>
    <row r="62" spans="1:18" x14ac:dyDescent="0.25">
      <c r="A62" s="30" t="s">
        <v>27</v>
      </c>
      <c r="B62" s="31">
        <f>SUMSQ(B41:D58)-B61</f>
        <v>5.7982553237192428E-4</v>
      </c>
      <c r="C62" s="30" t="s">
        <v>28</v>
      </c>
      <c r="D62" s="31">
        <f>(SUMSQ(B59:D59)/18)-B61</f>
        <v>1.3762082242208418E-4</v>
      </c>
    </row>
    <row r="63" spans="1:18" x14ac:dyDescent="0.25">
      <c r="A63" s="30" t="s">
        <v>30</v>
      </c>
      <c r="B63" s="31">
        <f>(SUMSQ(E41:E58)/3)-B61</f>
        <v>1.2540707489094773E-4</v>
      </c>
      <c r="C63" s="30" t="s">
        <v>31</v>
      </c>
      <c r="D63" s="31">
        <f>B62-B63-D62</f>
        <v>3.1679763505889236E-4</v>
      </c>
    </row>
    <row r="67" spans="1:19" x14ac:dyDescent="0.25">
      <c r="C67" s="66" t="s">
        <v>115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95</v>
      </c>
      <c r="B73" s="81">
        <f>('log Dry mt. '!B105-'log Dry mt. '!B73)/30</f>
        <v>4.9117974920553035E-3</v>
      </c>
      <c r="C73" s="81">
        <f>('log Dry mt. '!C105-'log Dry mt. '!C73)/30</f>
        <v>4.6937146318749194E-3</v>
      </c>
      <c r="D73" s="81">
        <f>('log Dry mt. '!D105-'log Dry mt. '!D73)/30</f>
        <v>3.4362744332544124E-3</v>
      </c>
      <c r="E73" s="31">
        <f>SUM(B73:D73)</f>
        <v>1.3041786557184637E-2</v>
      </c>
      <c r="F73" s="31">
        <f>E73/3</f>
        <v>4.3472621857282125E-3</v>
      </c>
      <c r="H73" s="47"/>
      <c r="I73" s="47"/>
      <c r="J73" s="47" t="s">
        <v>6</v>
      </c>
      <c r="K73" s="47"/>
      <c r="L73" s="47"/>
      <c r="M73" s="47"/>
      <c r="N73" s="47"/>
      <c r="O73" s="33">
        <v>2</v>
      </c>
      <c r="P73" s="83">
        <f>SUM(F73:F81)/9</f>
        <v>4.877599612770114E-3</v>
      </c>
      <c r="Q73" s="49">
        <f>RANK(P73,P$73:P$74,0)</f>
        <v>1</v>
      </c>
      <c r="R73" s="41"/>
      <c r="S73" s="41"/>
    </row>
    <row r="74" spans="1:19" x14ac:dyDescent="0.25">
      <c r="A74" s="32" t="s">
        <v>96</v>
      </c>
      <c r="B74" s="81">
        <f>('log Dry mt. '!B106-'log Dry mt. '!B74)/30</f>
        <v>5.7265474138569116E-3</v>
      </c>
      <c r="C74" s="81">
        <f>('log Dry mt. '!C106-'log Dry mt. '!C74)/30</f>
        <v>7.1319771274859891E-3</v>
      </c>
      <c r="D74" s="81">
        <f>('log Dry mt. '!D106-'log Dry mt. '!D74)/30</f>
        <v>4.2319011152955003E-3</v>
      </c>
      <c r="E74" s="31">
        <f t="shared" ref="E74:E90" si="15">SUM(B74:D74)</f>
        <v>1.7090425656638403E-2</v>
      </c>
      <c r="F74" s="31">
        <f t="shared" ref="F74:F87" si="16">E74/3</f>
        <v>5.6968085522128009E-3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1</v>
      </c>
      <c r="P74" s="83">
        <f>SUM(F82:F90)/9</f>
        <v>4.8157796038932827E-3</v>
      </c>
      <c r="Q74" s="49">
        <f>RANK(P74,P$73:P$74,0)</f>
        <v>2</v>
      </c>
      <c r="R74" s="41"/>
      <c r="S74" s="41"/>
    </row>
    <row r="75" spans="1:19" x14ac:dyDescent="0.25">
      <c r="A75" s="32" t="s">
        <v>97</v>
      </c>
      <c r="B75" s="81">
        <f>('log Dry mt. '!B107-'log Dry mt. '!B75)/30</f>
        <v>3.4906894439764653E-3</v>
      </c>
      <c r="C75" s="81">
        <f>('log Dry mt. '!C107-'log Dry mt. '!C75)/30</f>
        <v>1.7295895141017149E-3</v>
      </c>
      <c r="D75" s="81">
        <f>('log Dry mt. '!D107-'log Dry mt. '!D75)/30</f>
        <v>7.9090448508552843E-3</v>
      </c>
      <c r="E75" s="31">
        <f t="shared" si="15"/>
        <v>1.3129323808933464E-2</v>
      </c>
      <c r="F75" s="31">
        <f t="shared" si="16"/>
        <v>4.3764412696444882E-3</v>
      </c>
      <c r="G75" s="31" t="s">
        <v>13</v>
      </c>
      <c r="H75" s="31">
        <f>B71-1</f>
        <v>2</v>
      </c>
      <c r="I75" s="31">
        <f>D94</f>
        <v>9.535992094392761E-5</v>
      </c>
      <c r="J75" s="31">
        <f>I75/H75</f>
        <v>4.7679960471963805E-5</v>
      </c>
      <c r="K75" s="31">
        <f>J75/$J$16</f>
        <v>5.8594646623076754</v>
      </c>
      <c r="L75" s="31">
        <f>FINV(0.05,H75,$H$16)</f>
        <v>3.275897990672394</v>
      </c>
      <c r="M75" s="31" t="str">
        <f>IF(K75&gt;=L75, "S", "NS")</f>
        <v>S</v>
      </c>
      <c r="N75" s="39"/>
      <c r="O75" s="30" t="s">
        <v>14</v>
      </c>
      <c r="P75" s="83">
        <f>SQRT(J80/(3*9))</f>
        <v>5.0538074989611747E-4</v>
      </c>
      <c r="R75" s="41"/>
      <c r="S75" s="41"/>
    </row>
    <row r="76" spans="1:19" x14ac:dyDescent="0.25">
      <c r="A76" s="32" t="s">
        <v>98</v>
      </c>
      <c r="B76" s="81">
        <f>('log Dry mt. '!B108-'log Dry mt. '!B76)/30</f>
        <v>7.7657721111682974E-3</v>
      </c>
      <c r="C76" s="81">
        <f>('log Dry mt. '!C108-'log Dry mt. '!C76)/30</f>
        <v>5.4044022459642646E-3</v>
      </c>
      <c r="D76" s="81">
        <f>('log Dry mt. '!D108-'log Dry mt. '!D76)/30</f>
        <v>2.1438856230159213E-3</v>
      </c>
      <c r="E76" s="31">
        <f t="shared" si="15"/>
        <v>1.5314059980148485E-2</v>
      </c>
      <c r="F76" s="31">
        <f t="shared" si="16"/>
        <v>5.1046866600494949E-3</v>
      </c>
      <c r="G76" s="31" t="s">
        <v>15</v>
      </c>
      <c r="H76" s="31">
        <f>D70-1</f>
        <v>17</v>
      </c>
      <c r="I76" s="31">
        <f>B95</f>
        <v>1.9320979109179121E-5</v>
      </c>
      <c r="J76" s="31">
        <f t="shared" ref="J76:J80" si="17">I76/H76</f>
        <v>1.1365281828928894E-6</v>
      </c>
      <c r="K76" s="31">
        <f>J76/$J$16</f>
        <v>0.13966971992968508</v>
      </c>
      <c r="L76" s="31">
        <f>FINV(0.05,H76,$H$16)</f>
        <v>1.9332068318040869</v>
      </c>
      <c r="M76" s="43" t="str">
        <f t="shared" ref="M76" si="18">IF(K76&gt;=L76, "S", "NS")</f>
        <v>NS</v>
      </c>
      <c r="N76" s="30" t="s">
        <v>113</v>
      </c>
      <c r="O76" s="30" t="s">
        <v>16</v>
      </c>
      <c r="P76" s="83">
        <f>SQRT((2*J80)/(3*9))*L81</f>
        <v>1.4524782980695242E-3</v>
      </c>
      <c r="R76" s="41"/>
      <c r="S76" s="41"/>
    </row>
    <row r="77" spans="1:19" x14ac:dyDescent="0.25">
      <c r="A77" s="32" t="s">
        <v>99</v>
      </c>
      <c r="B77" s="81">
        <f>('log Dry mt. '!B109-'log Dry mt. '!B77)/30</f>
        <v>6.8081641438151467E-3</v>
      </c>
      <c r="C77" s="81">
        <f>('log Dry mt. '!C109-'log Dry mt. '!C77)/30</f>
        <v>2.2991155064139512E-3</v>
      </c>
      <c r="D77" s="81">
        <f>('log Dry mt. '!D109-'log Dry mt. '!D77)/30</f>
        <v>5.8659125335009501E-3</v>
      </c>
      <c r="E77" s="31">
        <f t="shared" si="15"/>
        <v>1.4973192183730048E-2</v>
      </c>
      <c r="F77" s="31">
        <f t="shared" si="16"/>
        <v>4.9910640612433497E-3</v>
      </c>
      <c r="G77" s="31" t="s">
        <v>108</v>
      </c>
      <c r="H77" s="31">
        <f>B69-1</f>
        <v>1</v>
      </c>
      <c r="I77" s="31">
        <f>(SUM(E73:E81)^2+SUM(E82:E90)^2)/27-B93</f>
        <v>5.159313221678001E-8</v>
      </c>
      <c r="J77" s="31">
        <f t="shared" si="17"/>
        <v>5.159313221678001E-8</v>
      </c>
      <c r="K77" s="31">
        <f>J77/$J$16</f>
        <v>6.3403604375836201E-3</v>
      </c>
      <c r="L77" s="31">
        <f>FINV(0.05,H77,$H$16)</f>
        <v>4.1300177456520188</v>
      </c>
      <c r="M77" s="31" t="str">
        <f>IF(K77&gt;=L77, "S", "NS")</f>
        <v>NS</v>
      </c>
      <c r="N77" s="39"/>
      <c r="O77" s="33">
        <v>1</v>
      </c>
      <c r="P77" s="83">
        <f>(F73+F82)/2</f>
        <v>3.9960407292745038E-3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100</v>
      </c>
      <c r="B78" s="81">
        <f>('log Dry mt. '!B110-'log Dry mt. '!B78)/30</f>
        <v>8.6161877377835278E-3</v>
      </c>
      <c r="C78" s="81">
        <f>('log Dry mt. '!C110-'log Dry mt. '!C78)/30</f>
        <v>2.9008256565766703E-3</v>
      </c>
      <c r="D78" s="81">
        <f>('log Dry mt. '!D110-'log Dry mt. '!D78)/30</f>
        <v>1.5783908082669976E-3</v>
      </c>
      <c r="E78" s="31">
        <f t="shared" si="15"/>
        <v>1.3095404202627196E-2</v>
      </c>
      <c r="F78" s="31">
        <f t="shared" si="16"/>
        <v>4.3651347342090656E-3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5.6210292926582861E-3</v>
      </c>
      <c r="J78" s="31">
        <f t="shared" si="17"/>
        <v>7.0262866158228576E-4</v>
      </c>
      <c r="K78" s="31">
        <f>J78/$J$16</f>
        <v>86.347131426142582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83">
        <f t="shared" ref="P78:P85" si="19">(F74+F83)/2</f>
        <v>5.8228530754586717E-3</v>
      </c>
      <c r="Q78" s="49">
        <f t="shared" ref="Q78:Q84" si="20">RANK(P78,P$77:P$85,0)</f>
        <v>1</v>
      </c>
      <c r="R78" s="53">
        <v>5</v>
      </c>
      <c r="S78" s="41"/>
    </row>
    <row r="79" spans="1:19" x14ac:dyDescent="0.25">
      <c r="A79" s="32" t="s">
        <v>101</v>
      </c>
      <c r="B79" s="81">
        <f>('log Dry mt. '!B111-'log Dry mt. '!B79)/30</f>
        <v>7.0747845925023256E-3</v>
      </c>
      <c r="C79" s="81">
        <f>('log Dry mt. '!C111-'log Dry mt. '!C79)/30</f>
        <v>5.4186614170873186E-3</v>
      </c>
      <c r="D79" s="81">
        <f>('log Dry mt. '!D111-'log Dry mt. '!D79)/30</f>
        <v>3.2585818877391166E-3</v>
      </c>
      <c r="E79" s="31">
        <f t="shared" si="15"/>
        <v>1.5752027897328762E-2</v>
      </c>
      <c r="F79" s="31">
        <f t="shared" si="16"/>
        <v>5.2506759657762539E-3</v>
      </c>
      <c r="G79" s="26" t="s">
        <v>110</v>
      </c>
      <c r="H79" s="31">
        <f>H77*H78</f>
        <v>8</v>
      </c>
      <c r="I79" s="31">
        <f>I76-(I77+I78)</f>
        <v>-5.6017599066813242E-3</v>
      </c>
      <c r="J79" s="31">
        <f t="shared" si="17"/>
        <v>-7.0021998833516552E-4</v>
      </c>
      <c r="K79" s="44">
        <f>J79/$J$16</f>
        <v>-86.051125816346712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83">
        <f t="shared" si="19"/>
        <v>4.4504055150158192E-3</v>
      </c>
      <c r="Q79" s="49">
        <f t="shared" si="20"/>
        <v>7</v>
      </c>
      <c r="R79" s="53">
        <v>2</v>
      </c>
      <c r="S79" s="41"/>
    </row>
    <row r="80" spans="1:19" x14ac:dyDescent="0.25">
      <c r="A80" s="32" t="s">
        <v>102</v>
      </c>
      <c r="B80" s="81">
        <f>('log Dry mt. '!B112-'log Dry mt. '!B80)/30</f>
        <v>5.2040007670767297E-3</v>
      </c>
      <c r="C80" s="81">
        <f>('log Dry mt. '!C112-'log Dry mt. '!C80)/30</f>
        <v>4.7473252942683191E-3</v>
      </c>
      <c r="D80" s="81">
        <f>('log Dry mt. '!D112-'log Dry mt. '!D80)/30</f>
        <v>4.0186663187443015E-3</v>
      </c>
      <c r="E80" s="31">
        <f t="shared" si="15"/>
        <v>1.3969992380089349E-2</v>
      </c>
      <c r="F80" s="31">
        <f t="shared" si="16"/>
        <v>4.6566641266964498E-3</v>
      </c>
      <c r="G80" s="45" t="s">
        <v>23</v>
      </c>
      <c r="H80" s="31">
        <f>((B71-1)*(B69*B70-1))</f>
        <v>34</v>
      </c>
      <c r="I80" s="31">
        <f>D95</f>
        <v>2.3446610677158594E-4</v>
      </c>
      <c r="J80" s="31">
        <f t="shared" si="17"/>
        <v>6.8960619638701749E-6</v>
      </c>
      <c r="O80" s="33">
        <v>4</v>
      </c>
      <c r="P80" s="83">
        <f t="shared" si="19"/>
        <v>5.452495051107226E-3</v>
      </c>
      <c r="Q80" s="49">
        <f t="shared" si="20"/>
        <v>2</v>
      </c>
      <c r="R80" s="53">
        <v>7</v>
      </c>
      <c r="S80" s="41"/>
    </row>
    <row r="81" spans="1:18" x14ac:dyDescent="0.25">
      <c r="A81" s="32" t="s">
        <v>103</v>
      </c>
      <c r="B81" s="81">
        <f>('log Dry mt. '!B113-'log Dry mt. '!B81)/30</f>
        <v>8.3056559540046013E-3</v>
      </c>
      <c r="C81" s="81">
        <f>('log Dry mt. '!C113-'log Dry mt. '!C81)/30</f>
        <v>4.1308556535037512E-3</v>
      </c>
      <c r="D81" s="81">
        <f>('log Dry mt. '!D113-'log Dry mt. '!D81)/30</f>
        <v>2.892465270604383E-3</v>
      </c>
      <c r="E81" s="31">
        <f t="shared" si="15"/>
        <v>1.5328976878112736E-2</v>
      </c>
      <c r="F81" s="31">
        <f t="shared" si="16"/>
        <v>5.1096589593709121E-3</v>
      </c>
      <c r="G81" s="44" t="s">
        <v>4</v>
      </c>
      <c r="H81" s="31">
        <f>SUM(H75:H80)-H76</f>
        <v>53</v>
      </c>
      <c r="I81" s="31">
        <f>B94</f>
        <v>3.4914700682469268E-4</v>
      </c>
      <c r="K81" s="31" t="s">
        <v>111</v>
      </c>
      <c r="L81" s="41">
        <f>TINV(0.05,34)</f>
        <v>2.0322445093177191</v>
      </c>
      <c r="O81" s="33">
        <v>5</v>
      </c>
      <c r="P81" s="83">
        <f t="shared" si="19"/>
        <v>4.6236854380511125E-3</v>
      </c>
      <c r="Q81" s="49">
        <f t="shared" si="20"/>
        <v>6</v>
      </c>
      <c r="R81" s="52">
        <v>3</v>
      </c>
    </row>
    <row r="82" spans="1:18" x14ac:dyDescent="0.25">
      <c r="A82" s="32" t="s">
        <v>86</v>
      </c>
      <c r="B82" s="81">
        <f>('log Dry mt. '!B114-'log Dry mt. '!B82)/30</f>
        <v>5.1089821448566516E-3</v>
      </c>
      <c r="C82" s="81">
        <f>('log Dry mt. '!C114-'log Dry mt. '!C82)/30</f>
        <v>5.1092387802869508E-3</v>
      </c>
      <c r="D82" s="81">
        <f>('log Dry mt. '!D114-'log Dry mt. '!D82)/30</f>
        <v>7.1623689331878166E-4</v>
      </c>
      <c r="E82" s="31">
        <f t="shared" si="15"/>
        <v>1.0934457818462385E-2</v>
      </c>
      <c r="F82" s="31">
        <f t="shared" si="16"/>
        <v>3.6448192728207947E-3</v>
      </c>
      <c r="G82" s="34" t="s">
        <v>14</v>
      </c>
      <c r="H82" s="31">
        <f>SQRT(J80/3)</f>
        <v>1.5161422496883523E-3</v>
      </c>
      <c r="O82" s="33">
        <v>6</v>
      </c>
      <c r="P82" s="83">
        <f t="shared" si="19"/>
        <v>4.3113216980416452E-3</v>
      </c>
      <c r="Q82" s="49">
        <f t="shared" si="20"/>
        <v>8</v>
      </c>
      <c r="R82" s="53">
        <v>1</v>
      </c>
    </row>
    <row r="83" spans="1:18" x14ac:dyDescent="0.25">
      <c r="A83" s="32" t="s">
        <v>87</v>
      </c>
      <c r="B83" s="81">
        <f>('log Dry mt. '!B115-'log Dry mt. '!B83)/30</f>
        <v>6.1630041305479411E-3</v>
      </c>
      <c r="C83" s="81">
        <f>('log Dry mt. '!C115-'log Dry mt. '!C83)/30</f>
        <v>2.985151764943813E-4</v>
      </c>
      <c r="D83" s="81">
        <f>('log Dry mt. '!D115-'log Dry mt. '!D83)/30</f>
        <v>1.138517348907131E-2</v>
      </c>
      <c r="E83" s="31">
        <f t="shared" si="15"/>
        <v>1.7846692796113631E-2</v>
      </c>
      <c r="F83" s="31">
        <f t="shared" si="16"/>
        <v>5.9488975987045433E-3</v>
      </c>
      <c r="G83" s="34" t="s">
        <v>16</v>
      </c>
      <c r="H83" s="31">
        <f>(SQRT((2*J80)/3))*L81</f>
        <v>4.3574348942085729E-3</v>
      </c>
      <c r="O83" s="33">
        <v>7</v>
      </c>
      <c r="P83" s="83">
        <f t="shared" si="19"/>
        <v>5.0701608800958736E-3</v>
      </c>
      <c r="Q83" s="49">
        <f t="shared" si="20"/>
        <v>4</v>
      </c>
      <c r="R83" s="53">
        <v>6</v>
      </c>
    </row>
    <row r="84" spans="1:18" x14ac:dyDescent="0.25">
      <c r="A84" s="32" t="s">
        <v>88</v>
      </c>
      <c r="B84" s="81">
        <f>('log Dry mt. '!B116-'log Dry mt. '!B84)/30</f>
        <v>6.3973702464066307E-3</v>
      </c>
      <c r="C84" s="81">
        <f>('log Dry mt. '!C116-'log Dry mt. '!C84)/30</f>
        <v>6.8539047862262354E-4</v>
      </c>
      <c r="D84" s="81">
        <f>('log Dry mt. '!D116-'log Dry mt. '!D84)/30</f>
        <v>6.4903485561321975E-3</v>
      </c>
      <c r="E84" s="31">
        <f t="shared" si="15"/>
        <v>1.3573109281161452E-2</v>
      </c>
      <c r="F84" s="31">
        <f t="shared" si="16"/>
        <v>4.5243697603871503E-3</v>
      </c>
      <c r="G84" s="34" t="s">
        <v>29</v>
      </c>
      <c r="H84" s="31">
        <f>((SQRT(J80))/F91)*100</f>
        <v>54.182042180867555</v>
      </c>
      <c r="O84" s="33">
        <v>8</v>
      </c>
      <c r="P84" s="83">
        <f t="shared" si="19"/>
        <v>4.6617109315195328E-3</v>
      </c>
      <c r="Q84" s="49">
        <f t="shared" si="20"/>
        <v>5</v>
      </c>
      <c r="R84" s="52">
        <v>4</v>
      </c>
    </row>
    <row r="85" spans="1:18" x14ac:dyDescent="0.25">
      <c r="A85" s="32" t="s">
        <v>89</v>
      </c>
      <c r="B85" s="81">
        <f>('log Dry mt. '!B117-'log Dry mt. '!B85)/30</f>
        <v>8.5361602994216135E-3</v>
      </c>
      <c r="C85" s="81">
        <f>('log Dry mt. '!C117-'log Dry mt. '!C85)/30</f>
        <v>7.6335489455492105E-3</v>
      </c>
      <c r="D85" s="81">
        <f>('log Dry mt. '!D117-'log Dry mt. '!D85)/30</f>
        <v>1.2312010815240507E-3</v>
      </c>
      <c r="E85" s="31">
        <f t="shared" si="15"/>
        <v>1.7400910326494875E-2</v>
      </c>
      <c r="F85" s="31">
        <f t="shared" si="16"/>
        <v>5.800303442164958E-3</v>
      </c>
      <c r="O85" s="33">
        <v>9</v>
      </c>
      <c r="P85" s="83">
        <f t="shared" si="19"/>
        <v>5.2315331564208988E-3</v>
      </c>
      <c r="Q85" s="49">
        <f>RANK(P85,P$77:P$85,0)</f>
        <v>3</v>
      </c>
      <c r="R85" s="53">
        <v>8</v>
      </c>
    </row>
    <row r="86" spans="1:18" x14ac:dyDescent="0.25">
      <c r="A86" s="32" t="s">
        <v>90</v>
      </c>
      <c r="B86" s="81">
        <f>('log Dry mt. '!B118-'log Dry mt. '!B86)/30</f>
        <v>6.4412759567244867E-3</v>
      </c>
      <c r="C86" s="81">
        <f>('log Dry mt. '!C118-'log Dry mt. '!C86)/30</f>
        <v>3.1875506237125134E-3</v>
      </c>
      <c r="D86" s="81">
        <f>('log Dry mt. '!D118-'log Dry mt. '!D86)/30</f>
        <v>3.1400938641396258E-3</v>
      </c>
      <c r="E86" s="31">
        <f t="shared" si="15"/>
        <v>1.2768920444576627E-2</v>
      </c>
      <c r="F86" s="31">
        <f t="shared" si="16"/>
        <v>4.2563068148588753E-3</v>
      </c>
      <c r="O86" s="30" t="s">
        <v>14</v>
      </c>
      <c r="P86" s="83">
        <f>SQRT(J80/(3*2))</f>
        <v>1.0720744659980617E-3</v>
      </c>
      <c r="Q86" s="49"/>
    </row>
    <row r="87" spans="1:18" x14ac:dyDescent="0.25">
      <c r="A87" s="32" t="s">
        <v>91</v>
      </c>
      <c r="B87" s="81">
        <f>('log Dry mt. '!B119-'log Dry mt. '!B87)/30</f>
        <v>6.0794809918485919E-3</v>
      </c>
      <c r="C87" s="81">
        <f>('log Dry mt. '!C119-'log Dry mt. '!C87)/30</f>
        <v>1.2955876166534117E-3</v>
      </c>
      <c r="D87" s="81">
        <f>('log Dry mt. '!D119-'log Dry mt. '!D87)/30</f>
        <v>5.3974573771206737E-3</v>
      </c>
      <c r="E87" s="31">
        <f t="shared" si="15"/>
        <v>1.2772525985622677E-2</v>
      </c>
      <c r="F87" s="31">
        <f t="shared" si="16"/>
        <v>4.2575086618742257E-3</v>
      </c>
      <c r="N87" s="30" t="s">
        <v>109</v>
      </c>
      <c r="O87" s="30" t="s">
        <v>16</v>
      </c>
      <c r="P87" s="83">
        <f>SQRT((2*J80)/(3*2))*L81</f>
        <v>3.0811717622737681E-3</v>
      </c>
      <c r="Q87" s="49"/>
    </row>
    <row r="88" spans="1:18" x14ac:dyDescent="0.25">
      <c r="A88" s="32" t="s">
        <v>92</v>
      </c>
      <c r="B88" s="81">
        <f>('log Dry mt. '!B120-'log Dry mt. '!B88)/30</f>
        <v>7.9217877003797451E-3</v>
      </c>
      <c r="C88" s="81">
        <f>('log Dry mt. '!C120-'log Dry mt. '!C88)/30</f>
        <v>1.1337582477168281E-3</v>
      </c>
      <c r="D88" s="81">
        <f>('log Dry mt. '!D120-'log Dry mt. '!D88)/30</f>
        <v>5.6133914351499097E-3</v>
      </c>
      <c r="E88" s="31">
        <f t="shared" si="15"/>
        <v>1.4668937383246483E-2</v>
      </c>
      <c r="F88" s="31">
        <f>E88/3</f>
        <v>4.8896457944154941E-3</v>
      </c>
      <c r="Q88" s="49"/>
    </row>
    <row r="89" spans="1:18" x14ac:dyDescent="0.25">
      <c r="A89" s="32" t="s">
        <v>93</v>
      </c>
      <c r="B89" s="81">
        <f>('log Dry mt. '!B121-'log Dry mt. '!B89)/30</f>
        <v>8.0447861518275175E-3</v>
      </c>
      <c r="C89" s="81">
        <f>('log Dry mt. '!C121-'log Dry mt. '!C89)/30</f>
        <v>4.1059452991540017E-3</v>
      </c>
      <c r="D89" s="81">
        <f>('log Dry mt. '!D121-'log Dry mt. '!D89)/30</f>
        <v>1.8495417580463246E-3</v>
      </c>
      <c r="E89" s="31">
        <f t="shared" si="15"/>
        <v>1.4000273209027844E-2</v>
      </c>
      <c r="F89" s="31">
        <f t="shared" ref="F89:F90" si="22">E89/3</f>
        <v>4.666757736342615E-3</v>
      </c>
    </row>
    <row r="90" spans="1:18" x14ac:dyDescent="0.25">
      <c r="A90" s="32" t="s">
        <v>94</v>
      </c>
      <c r="B90" s="81">
        <f>('log Dry mt. '!B122-'log Dry mt. '!B90)/30</f>
        <v>7.0604624436688768E-3</v>
      </c>
      <c r="C90" s="81">
        <f>('log Dry mt. '!C122-'log Dry mt. '!C90)/30</f>
        <v>7.5255253728642539E-4</v>
      </c>
      <c r="D90" s="81">
        <f>('log Dry mt. '!D122-'log Dry mt. '!D90)/30</f>
        <v>8.2472070794573568E-3</v>
      </c>
      <c r="E90" s="31">
        <f t="shared" si="15"/>
        <v>1.606022206041266E-2</v>
      </c>
      <c r="F90" s="31">
        <f t="shared" si="22"/>
        <v>5.3534073534708864E-3</v>
      </c>
    </row>
    <row r="91" spans="1:18" x14ac:dyDescent="0.25">
      <c r="A91" s="30" t="s">
        <v>4</v>
      </c>
      <c r="B91" s="31">
        <f>SUM(B73:B90)</f>
        <v>0.11965690972192136</v>
      </c>
      <c r="C91" s="31">
        <f t="shared" ref="C91:D91" si="23">SUM(C73:C90)</f>
        <v>6.265855475275324E-2</v>
      </c>
      <c r="D91" s="31">
        <f t="shared" si="23"/>
        <v>7.9405774375237104E-2</v>
      </c>
      <c r="E91" s="31">
        <f>SUM(E73:E90)</f>
        <v>0.26172123884991172</v>
      </c>
      <c r="F91" s="31">
        <f>AVERAGE(B73:D90)</f>
        <v>4.8466896083316979E-3</v>
      </c>
    </row>
    <row r="92" spans="1:18" x14ac:dyDescent="0.25">
      <c r="A92" s="30" t="s">
        <v>5</v>
      </c>
      <c r="B92" s="31">
        <f>B91/18</f>
        <v>6.6476060956622979E-3</v>
      </c>
      <c r="C92" s="31">
        <f>C91/18</f>
        <v>3.4810308195974021E-3</v>
      </c>
      <c r="D92" s="31">
        <f>D91/18</f>
        <v>4.411431909735395E-3</v>
      </c>
    </row>
    <row r="93" spans="1:18" x14ac:dyDescent="0.25">
      <c r="A93" s="30" t="s">
        <v>26</v>
      </c>
      <c r="B93" s="31">
        <f>(E91*E91)/54</f>
        <v>1.2684816086135655E-3</v>
      </c>
      <c r="C93" s="31"/>
      <c r="D93" s="31"/>
    </row>
    <row r="94" spans="1:18" x14ac:dyDescent="0.25">
      <c r="A94" s="30" t="s">
        <v>27</v>
      </c>
      <c r="B94" s="31">
        <f>SUMSQ(B73:D90)-B93</f>
        <v>3.4914700682469268E-4</v>
      </c>
      <c r="C94" s="30" t="s">
        <v>28</v>
      </c>
      <c r="D94" s="31">
        <f>(SUMSQ(B91:D91)/18)-B93</f>
        <v>9.535992094392761E-5</v>
      </c>
    </row>
    <row r="95" spans="1:18" x14ac:dyDescent="0.25">
      <c r="A95" s="30" t="s">
        <v>30</v>
      </c>
      <c r="B95" s="31">
        <f>(SUMSQ(E73:E90)/3)-B93</f>
        <v>1.9320979109179121E-5</v>
      </c>
      <c r="C95" s="30" t="s">
        <v>31</v>
      </c>
      <c r="D95" s="31">
        <f>B94-B95-D94</f>
        <v>2.3446610677158594E-4</v>
      </c>
    </row>
    <row r="97" spans="1:18" s="69" customFormat="1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8" s="69" customFormat="1" x14ac:dyDescent="0.25">
      <c r="B98" s="70"/>
      <c r="C98" s="75">
        <v>2020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8" s="69" customFormat="1" x14ac:dyDescent="0.25">
      <c r="B99" s="70"/>
      <c r="C99" s="48" t="s">
        <v>122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8" s="69" customFormat="1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</row>
    <row r="105" spans="1:18" x14ac:dyDescent="0.25">
      <c r="A105" s="32" t="s">
        <v>95</v>
      </c>
      <c r="B105" s="81">
        <f>('log Dry mt. '!B170-'log Dry mt. '!B138)/30</f>
        <v>3.8462607098084425E-2</v>
      </c>
      <c r="C105" s="81">
        <f>('log Dry mt. '!C170-'log Dry mt. '!C138)/30</f>
        <v>3.1786772484637016E-2</v>
      </c>
      <c r="D105" s="81">
        <f>('log Dry mt. '!D170-'log Dry mt. '!D138)/30</f>
        <v>3.5967291096636995E-2</v>
      </c>
      <c r="E105" s="31">
        <f t="shared" ref="E105:E122" si="24">SUM(B105:D105)</f>
        <v>0.10621667067935844</v>
      </c>
      <c r="F105" s="31">
        <f>E105/3</f>
        <v>3.5405556893119479E-2</v>
      </c>
      <c r="H105" s="47"/>
      <c r="I105" s="47"/>
      <c r="J105" s="47" t="s">
        <v>6</v>
      </c>
      <c r="K105" s="47"/>
      <c r="L105" s="47"/>
      <c r="M105" s="47"/>
      <c r="N105" s="47"/>
      <c r="O105" s="33">
        <v>2</v>
      </c>
      <c r="P105" s="83">
        <f>SUM(F105:F113)/9</f>
        <v>3.0035231150962835E-2</v>
      </c>
      <c r="Q105" s="49">
        <f>RANK(P105,P$105:P$106,0)</f>
        <v>1</v>
      </c>
      <c r="R105" s="75">
        <v>1</v>
      </c>
    </row>
    <row r="106" spans="1:18" x14ac:dyDescent="0.25">
      <c r="A106" s="32" t="s">
        <v>96</v>
      </c>
      <c r="B106" s="81">
        <f>('log Dry mt. '!B171-'log Dry mt. '!B139)/30</f>
        <v>3.2138204727195627E-2</v>
      </c>
      <c r="C106" s="81">
        <f>('log Dry mt. '!C171-'log Dry mt. '!C139)/30</f>
        <v>3.0229206921969086E-2</v>
      </c>
      <c r="D106" s="81">
        <f>('log Dry mt. '!D171-'log Dry mt. '!D139)/30</f>
        <v>3.1291868731694747E-2</v>
      </c>
      <c r="E106" s="31">
        <f t="shared" si="24"/>
        <v>9.3659280380859466E-2</v>
      </c>
      <c r="F106" s="31">
        <f t="shared" ref="F106:F119" si="25">E106/3</f>
        <v>3.1219760126953155E-2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1</v>
      </c>
      <c r="P106" s="83">
        <f>SUM(F114:F122)/9</f>
        <v>2.9850752802818674E-2</v>
      </c>
      <c r="Q106" s="49">
        <f>RANK(P106,P$105:P$106,0)</f>
        <v>2</v>
      </c>
      <c r="R106" s="75">
        <v>2</v>
      </c>
    </row>
    <row r="107" spans="1:18" x14ac:dyDescent="0.25">
      <c r="A107" s="32" t="s">
        <v>97</v>
      </c>
      <c r="B107" s="81">
        <f>('log Dry mt. '!B172-'log Dry mt. '!B140)/30</f>
        <v>2.7100274495157468E-2</v>
      </c>
      <c r="C107" s="81">
        <f>('log Dry mt. '!C172-'log Dry mt. '!C140)/30</f>
        <v>3.0542547452439804E-2</v>
      </c>
      <c r="D107" s="81">
        <f>('log Dry mt. '!D172-'log Dry mt. '!D140)/30</f>
        <v>3.1258042788594821E-2</v>
      </c>
      <c r="E107" s="31">
        <f t="shared" si="24"/>
        <v>8.8900864736192103E-2</v>
      </c>
      <c r="F107" s="31">
        <f t="shared" si="25"/>
        <v>2.9633621578730701E-2</v>
      </c>
      <c r="G107" s="31" t="s">
        <v>13</v>
      </c>
      <c r="H107" s="31">
        <f>B103-1</f>
        <v>2</v>
      </c>
      <c r="I107" s="31">
        <f>D126</f>
        <v>1.056655215163349E-5</v>
      </c>
      <c r="J107" s="31">
        <f>I107/H107</f>
        <v>5.2832760758167452E-6</v>
      </c>
      <c r="K107" s="31">
        <f>J107/$J$16</f>
        <v>0.64927003212737233</v>
      </c>
      <c r="L107" s="31">
        <f>FINV(0.05,H107,$H$16)</f>
        <v>3.275897990672394</v>
      </c>
      <c r="M107" s="31" t="str">
        <f>IF(K107&gt;=L107, "S", "NS")</f>
        <v>NS</v>
      </c>
      <c r="N107" s="39"/>
      <c r="O107" s="30" t="s">
        <v>14</v>
      </c>
      <c r="P107" s="83">
        <f>SQRT(J112/(3*9))</f>
        <v>4.8993171585813057E-4</v>
      </c>
    </row>
    <row r="108" spans="1:18" x14ac:dyDescent="0.25">
      <c r="A108" s="32" t="s">
        <v>98</v>
      </c>
      <c r="B108" s="81">
        <f>('log Dry mt. '!B173-'log Dry mt. '!B141)/30</f>
        <v>2.6960039896322653E-2</v>
      </c>
      <c r="C108" s="81">
        <f>('log Dry mt. '!C173-'log Dry mt. '!C141)/30</f>
        <v>2.733690692431754E-2</v>
      </c>
      <c r="D108" s="81">
        <f>('log Dry mt. '!D173-'log Dry mt. '!D141)/30</f>
        <v>2.8554433225603047E-2</v>
      </c>
      <c r="E108" s="31">
        <f t="shared" si="24"/>
        <v>8.2851380046243234E-2</v>
      </c>
      <c r="F108" s="31">
        <f t="shared" si="25"/>
        <v>2.7617126682081078E-2</v>
      </c>
      <c r="G108" s="31" t="s">
        <v>15</v>
      </c>
      <c r="H108" s="31">
        <f>D102-1</f>
        <v>17</v>
      </c>
      <c r="I108" s="31">
        <f>B127</f>
        <v>2.2795373864504392E-4</v>
      </c>
      <c r="J108" s="31">
        <f t="shared" ref="J108:J112" si="26">I108/H108</f>
        <v>1.3409043449708466E-5</v>
      </c>
      <c r="K108" s="31">
        <f>J108/$J$16</f>
        <v>1.6478582505351413</v>
      </c>
      <c r="L108" s="31">
        <f>FINV(0.05,H108,$H$16)</f>
        <v>1.9332068318040869</v>
      </c>
      <c r="M108" s="43" t="str">
        <f t="shared" ref="M108" si="27">IF(K108&gt;=L108, "S", "NS")</f>
        <v>NS</v>
      </c>
      <c r="N108" s="30" t="s">
        <v>113</v>
      </c>
      <c r="O108" s="30" t="s">
        <v>16</v>
      </c>
      <c r="P108" s="83">
        <f>SQRT((2*J112)/(3*9))*L113</f>
        <v>1.4080773455779113E-3</v>
      </c>
    </row>
    <row r="109" spans="1:18" x14ac:dyDescent="0.25">
      <c r="A109" s="32" t="s">
        <v>99</v>
      </c>
      <c r="B109" s="81">
        <f>('log Dry mt. '!B174-'log Dry mt. '!B142)/30</f>
        <v>3.1849713485811677E-2</v>
      </c>
      <c r="C109" s="81">
        <f>('log Dry mt. '!C174-'log Dry mt. '!C142)/30</f>
        <v>2.9170063316403993E-2</v>
      </c>
      <c r="D109" s="81">
        <f>('log Dry mt. '!D174-'log Dry mt. '!D142)/30</f>
        <v>2.7835702322745792E-2</v>
      </c>
      <c r="E109" s="31">
        <f t="shared" si="24"/>
        <v>8.8855479124961459E-2</v>
      </c>
      <c r="F109" s="31">
        <f t="shared" si="25"/>
        <v>2.9618493041653818E-2</v>
      </c>
      <c r="G109" s="31" t="s">
        <v>108</v>
      </c>
      <c r="H109" s="31">
        <f>B101-1</f>
        <v>1</v>
      </c>
      <c r="I109" s="31">
        <f>(SUM(E105:E113)^2+SUM(E114:E122)^2)/27-B125</f>
        <v>4.5943552259841702E-7</v>
      </c>
      <c r="J109" s="31">
        <f t="shared" si="26"/>
        <v>4.5943552259841702E-7</v>
      </c>
      <c r="K109" s="31">
        <f>J109/$J$16</f>
        <v>5.6460747505384962E-2</v>
      </c>
      <c r="L109" s="31">
        <f>FINV(0.05,H109,$H$16)</f>
        <v>4.1300177456520188</v>
      </c>
      <c r="M109" s="31" t="str">
        <f>IF(K109&gt;=L109, "S", "NS")</f>
        <v>NS</v>
      </c>
      <c r="N109" s="39"/>
      <c r="O109" s="33">
        <v>1</v>
      </c>
      <c r="P109" s="83">
        <f>(F105+F114)/2</f>
        <v>3.3960530220405245E-2</v>
      </c>
      <c r="Q109" s="49">
        <f>RANK(P109,P$109:P$117,0)</f>
        <v>1</v>
      </c>
      <c r="R109" s="52">
        <v>9</v>
      </c>
    </row>
    <row r="110" spans="1:18" x14ac:dyDescent="0.25">
      <c r="A110" s="32" t="s">
        <v>100</v>
      </c>
      <c r="B110" s="81">
        <f>('log Dry mt. '!B175-'log Dry mt. '!B143)/30</f>
        <v>3.1443717415253786E-2</v>
      </c>
      <c r="C110" s="81">
        <f>('log Dry mt. '!C175-'log Dry mt. '!C143)/30</f>
        <v>2.8916569804992184E-2</v>
      </c>
      <c r="D110" s="81">
        <f>('log Dry mt. '!D175-'log Dry mt. '!D143)/30</f>
        <v>2.9868744580862867E-2</v>
      </c>
      <c r="E110" s="31">
        <f t="shared" si="24"/>
        <v>9.0229031801108833E-2</v>
      </c>
      <c r="F110" s="31">
        <f t="shared" si="25"/>
        <v>3.0076343933702943E-2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0.22029422061895301</v>
      </c>
      <c r="J110" s="31">
        <f t="shared" si="26"/>
        <v>2.7536777577369127E-2</v>
      </c>
      <c r="K110" s="31">
        <f>J110/$J$16</f>
        <v>3384.0375187243767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83">
        <f t="shared" ref="P110:P117" si="28">(F106+F115)/2</f>
        <v>3.1313439372129603E-2</v>
      </c>
      <c r="Q110" s="49">
        <f t="shared" ref="Q110:Q117" si="29">RANK(P110,P$109:P$117,0)</f>
        <v>2</v>
      </c>
      <c r="R110" s="53">
        <v>5</v>
      </c>
    </row>
    <row r="111" spans="1:18" x14ac:dyDescent="0.25">
      <c r="A111" s="32" t="s">
        <v>101</v>
      </c>
      <c r="B111" s="81">
        <f>('log Dry mt. '!B176-'log Dry mt. '!B144)/30</f>
        <v>2.5628149237770289E-2</v>
      </c>
      <c r="C111" s="81">
        <f>('log Dry mt. '!C176-'log Dry mt. '!C144)/30</f>
        <v>2.783684624163477E-2</v>
      </c>
      <c r="D111" s="81">
        <f>('log Dry mt. '!D176-'log Dry mt. '!D144)/30</f>
        <v>3.2691413488722086E-2</v>
      </c>
      <c r="E111" s="31">
        <f t="shared" si="24"/>
        <v>8.6156408968127152E-2</v>
      </c>
      <c r="F111" s="31">
        <f t="shared" si="25"/>
        <v>2.8718802989375718E-2</v>
      </c>
      <c r="G111" s="26" t="s">
        <v>110</v>
      </c>
      <c r="H111" s="31">
        <f>H109*H110</f>
        <v>8</v>
      </c>
      <c r="I111" s="31">
        <f>I108-(I109+I110)</f>
        <v>-0.22006672631583057</v>
      </c>
      <c r="J111" s="31">
        <f t="shared" si="26"/>
        <v>-2.7508340789478822E-2</v>
      </c>
      <c r="K111" s="44">
        <f>J111/$J$16</f>
        <v>-3380.5428775354276</v>
      </c>
      <c r="L111" s="31">
        <f>FINV(0.05,H111,$H$16)</f>
        <v>2.2253399674380931</v>
      </c>
      <c r="M111" s="31" t="str">
        <f t="shared" ref="M111" si="30">IF(K111&gt;=L111, "S", "NS")</f>
        <v>NS</v>
      </c>
      <c r="N111" s="39"/>
      <c r="O111" s="33">
        <v>3</v>
      </c>
      <c r="P111" s="83">
        <f t="shared" si="28"/>
        <v>2.9791285610257422E-2</v>
      </c>
      <c r="Q111" s="49">
        <f t="shared" si="29"/>
        <v>6</v>
      </c>
      <c r="R111" s="53">
        <v>2</v>
      </c>
    </row>
    <row r="112" spans="1:18" x14ac:dyDescent="0.25">
      <c r="A112" s="32" t="s">
        <v>102</v>
      </c>
      <c r="B112" s="81">
        <f>('log Dry mt. '!B177-'log Dry mt. '!B145)/30</f>
        <v>3.2728579497196035E-2</v>
      </c>
      <c r="C112" s="81">
        <f>('log Dry mt. '!C177-'log Dry mt. '!C145)/30</f>
        <v>3.0170468688412111E-2</v>
      </c>
      <c r="D112" s="81">
        <f>('log Dry mt. '!D177-'log Dry mt. '!D145)/30</f>
        <v>2.7938879551432726E-2</v>
      </c>
      <c r="E112" s="31">
        <f t="shared" si="24"/>
        <v>9.0837927737040886E-2</v>
      </c>
      <c r="F112" s="31">
        <f t="shared" si="25"/>
        <v>3.0279309245680296E-2</v>
      </c>
      <c r="G112" s="45" t="s">
        <v>23</v>
      </c>
      <c r="H112" s="31">
        <f>((B103-1)*(B101*B102-1))</f>
        <v>34</v>
      </c>
      <c r="I112" s="31">
        <f>D127</f>
        <v>2.2035037313498929E-4</v>
      </c>
      <c r="J112" s="31">
        <f t="shared" si="26"/>
        <v>6.4808933274996852E-6</v>
      </c>
      <c r="O112" s="33">
        <v>4</v>
      </c>
      <c r="P112" s="83">
        <f t="shared" si="28"/>
        <v>2.7485354929005862E-2</v>
      </c>
      <c r="Q112" s="49">
        <f t="shared" si="29"/>
        <v>9</v>
      </c>
      <c r="R112" s="53">
        <v>7</v>
      </c>
    </row>
    <row r="113" spans="1:18" x14ac:dyDescent="0.25">
      <c r="A113" s="32" t="s">
        <v>103</v>
      </c>
      <c r="B113" s="81">
        <f>('log Dry mt. '!B178-'log Dry mt. '!B146)/30</f>
        <v>2.5958627974536578E-2</v>
      </c>
      <c r="C113" s="81">
        <f>('log Dry mt. '!C178-'log Dry mt. '!C146)/30</f>
        <v>2.7298072434812297E-2</v>
      </c>
      <c r="D113" s="81">
        <f>('log Dry mt. '!D178-'log Dry mt. '!D146)/30</f>
        <v>2.9987497192756271E-2</v>
      </c>
      <c r="E113" s="31">
        <f t="shared" si="24"/>
        <v>8.3244197602105149E-2</v>
      </c>
      <c r="F113" s="31">
        <f t="shared" si="25"/>
        <v>2.7748065867368384E-2</v>
      </c>
      <c r="G113" s="44" t="s">
        <v>4</v>
      </c>
      <c r="H113" s="31">
        <f>SUM(H107:H112)-H108</f>
        <v>53</v>
      </c>
      <c r="I113" s="31">
        <f>B126</f>
        <v>4.588706639316667E-4</v>
      </c>
      <c r="K113" s="31" t="s">
        <v>111</v>
      </c>
      <c r="L113" s="41">
        <f>TINV(0.05,34)</f>
        <v>2.0322445093177191</v>
      </c>
      <c r="O113" s="33">
        <v>5</v>
      </c>
      <c r="P113" s="83">
        <f t="shared" si="28"/>
        <v>3.0660285654677245E-2</v>
      </c>
      <c r="Q113" s="49">
        <f t="shared" si="29"/>
        <v>4</v>
      </c>
      <c r="R113" s="52">
        <v>3</v>
      </c>
    </row>
    <row r="114" spans="1:18" x14ac:dyDescent="0.25">
      <c r="A114" s="32" t="s">
        <v>86</v>
      </c>
      <c r="B114" s="81">
        <f>('log Dry mt. '!B179-'log Dry mt. '!B147)/30</f>
        <v>3.9450454331906602E-2</v>
      </c>
      <c r="C114" s="81">
        <f>('log Dry mt. '!C179-'log Dry mt. '!C147)/30</f>
        <v>3.1247781072648008E-2</v>
      </c>
      <c r="D114" s="81">
        <f>('log Dry mt. '!D179-'log Dry mt. '!D147)/30</f>
        <v>2.6848275238518435E-2</v>
      </c>
      <c r="E114" s="31">
        <f t="shared" si="24"/>
        <v>9.7546510643073042E-2</v>
      </c>
      <c r="F114" s="31">
        <f t="shared" si="25"/>
        <v>3.2515503547691012E-2</v>
      </c>
      <c r="G114" s="34" t="s">
        <v>14</v>
      </c>
      <c r="H114" s="31">
        <f>SQRT(J112/3)</f>
        <v>1.4697951475743918E-3</v>
      </c>
      <c r="O114" s="33">
        <v>6</v>
      </c>
      <c r="P114" s="83">
        <f t="shared" si="28"/>
        <v>2.9901395662156945E-2</v>
      </c>
      <c r="Q114" s="49">
        <f t="shared" si="29"/>
        <v>5</v>
      </c>
      <c r="R114" s="53">
        <v>1</v>
      </c>
    </row>
    <row r="115" spans="1:18" x14ac:dyDescent="0.25">
      <c r="A115" s="32" t="s">
        <v>87</v>
      </c>
      <c r="B115" s="81">
        <f>('log Dry mt. '!B180-'log Dry mt. '!B148)/30</f>
        <v>3.1600852655910186E-2</v>
      </c>
      <c r="C115" s="81">
        <f>('log Dry mt. '!C180-'log Dry mt. '!C148)/30</f>
        <v>3.4349028928761439E-2</v>
      </c>
      <c r="D115" s="81">
        <f>('log Dry mt. '!D180-'log Dry mt. '!D148)/30</f>
        <v>2.827147426724649E-2</v>
      </c>
      <c r="E115" s="31">
        <f t="shared" si="24"/>
        <v>9.4221355851918126E-2</v>
      </c>
      <c r="F115" s="31">
        <f t="shared" si="25"/>
        <v>3.1407118617306044E-2</v>
      </c>
      <c r="G115" s="34" t="s">
        <v>16</v>
      </c>
      <c r="H115" s="31">
        <f>(SQRT((2*J112)/3))*L113</f>
        <v>4.2242320367337338E-3</v>
      </c>
      <c r="O115" s="33">
        <v>7</v>
      </c>
      <c r="P115" s="83">
        <f t="shared" si="28"/>
        <v>2.7989591206459202E-2</v>
      </c>
      <c r="Q115" s="49">
        <f t="shared" si="29"/>
        <v>7</v>
      </c>
      <c r="R115" s="53">
        <v>6</v>
      </c>
    </row>
    <row r="116" spans="1:18" x14ac:dyDescent="0.25">
      <c r="A116" s="32" t="s">
        <v>88</v>
      </c>
      <c r="B116" s="81">
        <f>('log Dry mt. '!B181-'log Dry mt. '!B149)/30</f>
        <v>2.9477988476845064E-2</v>
      </c>
      <c r="C116" s="81">
        <f>('log Dry mt. '!C181-'log Dry mt. '!C149)/30</f>
        <v>2.9514717250052502E-2</v>
      </c>
      <c r="D116" s="81">
        <f>('log Dry mt. '!D181-'log Dry mt. '!D149)/30</f>
        <v>3.0854143198454882E-2</v>
      </c>
      <c r="E116" s="31">
        <f t="shared" si="24"/>
        <v>8.984684892535244E-2</v>
      </c>
      <c r="F116" s="31">
        <f t="shared" si="25"/>
        <v>2.9948949641784146E-2</v>
      </c>
      <c r="G116" s="34" t="s">
        <v>29</v>
      </c>
      <c r="H116" s="31">
        <f>((SQRT(J112))/F123)*100</f>
        <v>8.5020223572907998</v>
      </c>
      <c r="O116" s="33">
        <v>8</v>
      </c>
      <c r="P116" s="83">
        <f t="shared" si="28"/>
        <v>3.0691298395215713E-2</v>
      </c>
      <c r="Q116" s="49">
        <f t="shared" si="29"/>
        <v>3</v>
      </c>
      <c r="R116" s="52">
        <v>4</v>
      </c>
    </row>
    <row r="117" spans="1:18" x14ac:dyDescent="0.25">
      <c r="A117" s="32" t="s">
        <v>89</v>
      </c>
      <c r="B117" s="81">
        <f>('log Dry mt. '!B182-'log Dry mt. '!B150)/30</f>
        <v>2.6770068125581227E-2</v>
      </c>
      <c r="C117" s="81">
        <f>('log Dry mt. '!C182-'log Dry mt. '!C150)/30</f>
        <v>2.8350491351530435E-2</v>
      </c>
      <c r="D117" s="81">
        <f>('log Dry mt. '!D182-'log Dry mt. '!D150)/30</f>
        <v>2.6940190050680268E-2</v>
      </c>
      <c r="E117" s="31">
        <f t="shared" si="24"/>
        <v>8.2060749527791937E-2</v>
      </c>
      <c r="F117" s="31">
        <f t="shared" si="25"/>
        <v>2.7353583175930646E-2</v>
      </c>
      <c r="O117" s="33">
        <v>9</v>
      </c>
      <c r="P117" s="83">
        <f t="shared" si="28"/>
        <v>2.7693746741709598E-2</v>
      </c>
      <c r="Q117" s="49">
        <f t="shared" si="29"/>
        <v>8</v>
      </c>
      <c r="R117" s="53">
        <v>8</v>
      </c>
    </row>
    <row r="118" spans="1:18" x14ac:dyDescent="0.25">
      <c r="A118" s="32" t="s">
        <v>90</v>
      </c>
      <c r="B118" s="81">
        <f>('log Dry mt. '!B183-'log Dry mt. '!B151)/30</f>
        <v>3.5158371919149251E-2</v>
      </c>
      <c r="C118" s="81">
        <f>('log Dry mt. '!C183-'log Dry mt. '!C151)/30</f>
        <v>3.0193533984270746E-2</v>
      </c>
      <c r="D118" s="81">
        <f>('log Dry mt. '!D183-'log Dry mt. '!D151)/30</f>
        <v>2.9754328899682037E-2</v>
      </c>
      <c r="E118" s="31">
        <f t="shared" si="24"/>
        <v>9.5106234803102027E-2</v>
      </c>
      <c r="F118" s="31">
        <f t="shared" si="25"/>
        <v>3.1702078267700676E-2</v>
      </c>
      <c r="I118" s="65"/>
      <c r="J118" s="65"/>
      <c r="K118" s="65"/>
      <c r="O118" s="30" t="s">
        <v>14</v>
      </c>
      <c r="P118" s="83">
        <f>SQRT(J112/(3*2))</f>
        <v>1.0393021158049348E-3</v>
      </c>
      <c r="Q118" s="49"/>
    </row>
    <row r="119" spans="1:18" x14ac:dyDescent="0.25">
      <c r="A119" s="32" t="s">
        <v>91</v>
      </c>
      <c r="B119" s="81">
        <f>('log Dry mt. '!B184-'log Dry mt. '!B152)/30</f>
        <v>3.1173392333734846E-2</v>
      </c>
      <c r="C119" s="81">
        <f>('log Dry mt. '!C184-'log Dry mt. '!C152)/30</f>
        <v>2.9079668150478206E-2</v>
      </c>
      <c r="D119" s="81">
        <f>('log Dry mt. '!D184-'log Dry mt. '!D152)/30</f>
        <v>2.89262816876198E-2</v>
      </c>
      <c r="E119" s="31">
        <f t="shared" si="24"/>
        <v>8.9179342171832848E-2</v>
      </c>
      <c r="F119" s="31">
        <f t="shared" si="25"/>
        <v>2.9726447390610949E-2</v>
      </c>
      <c r="I119" s="65"/>
      <c r="J119" s="65"/>
      <c r="K119" s="65"/>
      <c r="N119" s="30" t="s">
        <v>109</v>
      </c>
      <c r="O119" s="30" t="s">
        <v>16</v>
      </c>
      <c r="P119" s="83">
        <f>SQRT((2*J112)/(3*2))*L113</f>
        <v>2.9869831184798842E-3</v>
      </c>
      <c r="Q119" s="49"/>
    </row>
    <row r="120" spans="1:18" x14ac:dyDescent="0.25">
      <c r="A120" s="32" t="s">
        <v>92</v>
      </c>
      <c r="B120" s="81">
        <f>('log Dry mt. '!B185-'log Dry mt. '!B153)/30</f>
        <v>2.6138123834514578E-2</v>
      </c>
      <c r="C120" s="81">
        <f>('log Dry mt. '!C185-'log Dry mt. '!C153)/30</f>
        <v>2.5574968724835015E-2</v>
      </c>
      <c r="D120" s="81">
        <f>('log Dry mt. '!D185-'log Dry mt. '!D153)/30</f>
        <v>3.0068045711278451E-2</v>
      </c>
      <c r="E120" s="31">
        <f t="shared" si="24"/>
        <v>8.1781138270628051E-2</v>
      </c>
      <c r="F120" s="31">
        <f>E120/3</f>
        <v>2.7260379423542685E-2</v>
      </c>
      <c r="Q120" s="49"/>
    </row>
    <row r="121" spans="1:18" x14ac:dyDescent="0.25">
      <c r="A121" s="32" t="s">
        <v>93</v>
      </c>
      <c r="B121" s="81">
        <f>('log Dry mt. '!B186-'log Dry mt. '!B154)/30</f>
        <v>3.0924828523350278E-2</v>
      </c>
      <c r="C121" s="81">
        <f>('log Dry mt. '!C186-'log Dry mt. '!C154)/30</f>
        <v>3.1009947649921057E-2</v>
      </c>
      <c r="D121" s="81">
        <f>('log Dry mt. '!D186-'log Dry mt. '!D154)/30</f>
        <v>3.1375086460982055E-2</v>
      </c>
      <c r="E121" s="31">
        <f t="shared" si="24"/>
        <v>9.3309862634253393E-2</v>
      </c>
      <c r="F121" s="31">
        <f t="shared" ref="F121:F122" si="31">E121/3</f>
        <v>3.110328754475113E-2</v>
      </c>
    </row>
    <row r="122" spans="1:18" x14ac:dyDescent="0.25">
      <c r="A122" s="32" t="s">
        <v>94</v>
      </c>
      <c r="B122" s="81">
        <f>('log Dry mt. '!B187-'log Dry mt. '!B155)/30</f>
        <v>2.6847096869749947E-2</v>
      </c>
      <c r="C122" s="81">
        <f>('log Dry mt. '!C187-'log Dry mt. '!C155)/30</f>
        <v>2.8299115362173458E-2</v>
      </c>
      <c r="D122" s="81">
        <f>('log Dry mt. '!D187-'log Dry mt. '!D155)/30</f>
        <v>2.7772070616229026E-2</v>
      </c>
      <c r="E122" s="31">
        <f t="shared" si="24"/>
        <v>8.2918282848152433E-2</v>
      </c>
      <c r="F122" s="31">
        <f t="shared" si="31"/>
        <v>2.7639427616050812E-2</v>
      </c>
    </row>
    <row r="123" spans="1:18" x14ac:dyDescent="0.25">
      <c r="A123" s="30" t="s">
        <v>4</v>
      </c>
      <c r="B123" s="31">
        <f>SUM(B105:B122)</f>
        <v>0.54981109089807056</v>
      </c>
      <c r="C123" s="31">
        <f>SUM(C105:C122)</f>
        <v>0.53090670674428975</v>
      </c>
      <c r="D123" s="31">
        <f>SUM(D105:D122)</f>
        <v>0.53620376910974077</v>
      </c>
      <c r="E123" s="31">
        <f>SUM(E105:E122)</f>
        <v>1.6169215667521011</v>
      </c>
      <c r="F123" s="31">
        <f>AVERAGE(B105:D122)</f>
        <v>2.9942991976890758E-2</v>
      </c>
    </row>
    <row r="124" spans="1:18" x14ac:dyDescent="0.25">
      <c r="A124" s="30" t="s">
        <v>5</v>
      </c>
      <c r="B124" s="31">
        <f>B123/18</f>
        <v>3.0545060605448364E-2</v>
      </c>
      <c r="C124" s="31">
        <f>C123/18</f>
        <v>2.949481704134943E-2</v>
      </c>
      <c r="D124" s="31">
        <f>D123/18</f>
        <v>2.9789098283874486E-2</v>
      </c>
    </row>
    <row r="125" spans="1:18" x14ac:dyDescent="0.25">
      <c r="A125" s="30" t="s">
        <v>26</v>
      </c>
      <c r="B125" s="31">
        <f>(E123*E123)/54</f>
        <v>4.8415469500519802E-2</v>
      </c>
      <c r="C125" s="31"/>
      <c r="D125" s="31"/>
    </row>
    <row r="126" spans="1:18" x14ac:dyDescent="0.25">
      <c r="A126" s="30" t="s">
        <v>27</v>
      </c>
      <c r="B126" s="31">
        <f>SUMSQ(B105:D122)-B125</f>
        <v>4.588706639316667E-4</v>
      </c>
      <c r="C126" s="30" t="s">
        <v>28</v>
      </c>
      <c r="D126" s="31">
        <f>(SUMSQ(B123:D123)/18)-B125</f>
        <v>1.056655215163349E-5</v>
      </c>
    </row>
    <row r="127" spans="1:18" x14ac:dyDescent="0.25">
      <c r="A127" s="30" t="s">
        <v>30</v>
      </c>
      <c r="B127" s="31">
        <f>(SUMSQ(E105:E122)/3)-B125</f>
        <v>2.2795373864504392E-4</v>
      </c>
      <c r="C127" s="30" t="s">
        <v>31</v>
      </c>
      <c r="D127" s="31">
        <f>B126-B127-D126</f>
        <v>2.2035037313498929E-4</v>
      </c>
    </row>
    <row r="131" spans="1:18" x14ac:dyDescent="0.25">
      <c r="C131" s="48" t="s">
        <v>114</v>
      </c>
    </row>
    <row r="133" spans="1:18" x14ac:dyDescent="0.25">
      <c r="A133" s="36" t="s">
        <v>104</v>
      </c>
      <c r="B133" s="38">
        <v>2</v>
      </c>
      <c r="C133" s="39"/>
      <c r="D133" s="39"/>
      <c r="E133" s="39"/>
      <c r="F133" s="39"/>
      <c r="G133" s="39"/>
      <c r="H133" s="39"/>
      <c r="I133" s="39"/>
      <c r="M133" s="35"/>
      <c r="N133" s="35"/>
      <c r="O133" s="39"/>
      <c r="P133" s="39"/>
    </row>
    <row r="134" spans="1:18" x14ac:dyDescent="0.25">
      <c r="A134" s="36" t="s">
        <v>105</v>
      </c>
      <c r="B134" s="38">
        <v>9</v>
      </c>
      <c r="C134" s="39" t="s">
        <v>107</v>
      </c>
      <c r="D134" s="39">
        <v>18</v>
      </c>
      <c r="E134" s="39"/>
      <c r="F134" s="39"/>
      <c r="G134" s="39"/>
      <c r="H134" s="39"/>
      <c r="I134" s="39"/>
      <c r="M134" s="35"/>
      <c r="N134" s="35"/>
      <c r="O134" s="39"/>
      <c r="P134" s="39"/>
    </row>
    <row r="135" spans="1:18" x14ac:dyDescent="0.25">
      <c r="A135" s="37" t="s">
        <v>106</v>
      </c>
      <c r="B135" s="40">
        <v>3</v>
      </c>
    </row>
    <row r="136" spans="1:18" x14ac:dyDescent="0.25">
      <c r="A136" s="46" t="s">
        <v>0</v>
      </c>
      <c r="B136" s="30" t="s">
        <v>1</v>
      </c>
      <c r="C136" s="30" t="s">
        <v>2</v>
      </c>
      <c r="D136" s="30" t="s">
        <v>3</v>
      </c>
      <c r="E136" s="30" t="s">
        <v>4</v>
      </c>
      <c r="F136" s="30" t="s">
        <v>5</v>
      </c>
      <c r="O136" s="41" t="s">
        <v>7</v>
      </c>
      <c r="R136" s="41"/>
    </row>
    <row r="137" spans="1:18" x14ac:dyDescent="0.25">
      <c r="A137" s="32" t="s">
        <v>95</v>
      </c>
      <c r="B137" s="81">
        <f>('log Dry mt. '!B202-'log Dry mt. '!B170)/30</f>
        <v>9.56857001106594E-3</v>
      </c>
      <c r="C137" s="81">
        <f>('log Dry mt. '!C202-'log Dry mt. '!C170)/30</f>
        <v>1.0136264511568172E-2</v>
      </c>
      <c r="D137" s="81">
        <f>('log Dry mt. '!D202-'log Dry mt. '!D170)/30</f>
        <v>1.3068286371004293E-2</v>
      </c>
      <c r="E137" s="31">
        <f>SUM(B137:D137)</f>
        <v>3.2773120893638409E-2</v>
      </c>
      <c r="F137" s="31">
        <f>E137/3</f>
        <v>1.0924373631212804E-2</v>
      </c>
      <c r="H137" s="47"/>
      <c r="I137" s="47"/>
      <c r="J137" s="47" t="s">
        <v>6</v>
      </c>
      <c r="K137" s="47"/>
      <c r="L137" s="47"/>
      <c r="M137" s="47"/>
      <c r="N137" s="47"/>
      <c r="O137" s="33">
        <v>2</v>
      </c>
      <c r="P137" s="82">
        <f>SUM(F137:F145)/9</f>
        <v>1.1943466699149237E-2</v>
      </c>
      <c r="Q137" s="49">
        <f>RANK(P137,P$137:P$138,0)</f>
        <v>1</v>
      </c>
      <c r="R137" s="75">
        <v>1</v>
      </c>
    </row>
    <row r="138" spans="1:18" x14ac:dyDescent="0.25">
      <c r="A138" s="32" t="s">
        <v>96</v>
      </c>
      <c r="B138" s="81">
        <f>('log Dry mt. '!B203-'log Dry mt. '!B171)/30</f>
        <v>1.3393706494281716E-2</v>
      </c>
      <c r="C138" s="81">
        <f>('log Dry mt. '!C203-'log Dry mt. '!C171)/30</f>
        <v>1.0759414346524328E-2</v>
      </c>
      <c r="D138" s="81">
        <f>('log Dry mt. '!D203-'log Dry mt. '!D171)/30</f>
        <v>6.3991243699109768E-3</v>
      </c>
      <c r="E138" s="31">
        <f t="shared" ref="E138:E154" si="32">SUM(B138:D138)</f>
        <v>3.0552245210717019E-2</v>
      </c>
      <c r="F138" s="31">
        <f t="shared" ref="F138:F151" si="33">E138/3</f>
        <v>1.0184081736905673E-2</v>
      </c>
      <c r="G138" s="31"/>
      <c r="H138" s="30" t="s">
        <v>8</v>
      </c>
      <c r="I138" s="30" t="s">
        <v>9</v>
      </c>
      <c r="J138" s="30" t="s">
        <v>10</v>
      </c>
      <c r="K138" s="30" t="s">
        <v>11</v>
      </c>
      <c r="L138" s="30" t="s">
        <v>12</v>
      </c>
      <c r="M138" s="30" t="s">
        <v>112</v>
      </c>
      <c r="N138" s="50"/>
      <c r="O138" s="33">
        <v>1</v>
      </c>
      <c r="P138" s="83">
        <f>SUM(F146:F154)/9</f>
        <v>1.1668592430201867E-2</v>
      </c>
      <c r="Q138" s="49">
        <f>RANK(P138,P$137:P$138,0)</f>
        <v>2</v>
      </c>
      <c r="R138" s="75">
        <v>2</v>
      </c>
    </row>
    <row r="139" spans="1:18" x14ac:dyDescent="0.25">
      <c r="A139" s="32" t="s">
        <v>97</v>
      </c>
      <c r="B139" s="81">
        <f>('log Dry mt. '!B204-'log Dry mt. '!B172)/30</f>
        <v>1.5620215436457781E-2</v>
      </c>
      <c r="C139" s="81">
        <f>('log Dry mt. '!C204-'log Dry mt. '!C172)/30</f>
        <v>1.0241058189574511E-2</v>
      </c>
      <c r="D139" s="81">
        <f>('log Dry mt. '!D204-'log Dry mt. '!D172)/30</f>
        <v>6.9965712939788222E-3</v>
      </c>
      <c r="E139" s="31">
        <f t="shared" si="32"/>
        <v>3.2857844920011113E-2</v>
      </c>
      <c r="F139" s="31">
        <f t="shared" si="33"/>
        <v>1.0952614973337037E-2</v>
      </c>
      <c r="G139" s="31" t="s">
        <v>13</v>
      </c>
      <c r="H139" s="31">
        <f>B135-1</f>
        <v>2</v>
      </c>
      <c r="I139" s="31">
        <f>D158</f>
        <v>2.8601376313623986E-6</v>
      </c>
      <c r="J139" s="31">
        <f>I139/H139</f>
        <v>1.4300688156811993E-6</v>
      </c>
      <c r="K139" s="31">
        <f>J139/$J$16</f>
        <v>0.17574338584192728</v>
      </c>
      <c r="L139" s="31">
        <f>FINV(0.05,H139,$H$16)</f>
        <v>3.275897990672394</v>
      </c>
      <c r="M139" s="31" t="str">
        <f>IF(K139&gt;=L139, "S", "NS")</f>
        <v>NS</v>
      </c>
      <c r="N139" s="39"/>
      <c r="O139" s="30" t="s">
        <v>14</v>
      </c>
      <c r="P139" s="83">
        <f>SQRT(J144/(3*9))</f>
        <v>6.1610260514883425E-4</v>
      </c>
      <c r="R139" s="41"/>
    </row>
    <row r="140" spans="1:18" x14ac:dyDescent="0.25">
      <c r="A140" s="32" t="s">
        <v>98</v>
      </c>
      <c r="B140" s="81">
        <f>('log Dry mt. '!B205-'log Dry mt. '!B173)/30</f>
        <v>1.1197693692100804E-2</v>
      </c>
      <c r="C140" s="81">
        <f>('log Dry mt. '!C205-'log Dry mt. '!C173)/30</f>
        <v>1.3761327702884666E-2</v>
      </c>
      <c r="D140" s="81">
        <f>('log Dry mt. '!D205-'log Dry mt. '!D173)/30</f>
        <v>1.669192550008575E-2</v>
      </c>
      <c r="E140" s="31">
        <f t="shared" si="32"/>
        <v>4.165094689507122E-2</v>
      </c>
      <c r="F140" s="31">
        <f t="shared" si="33"/>
        <v>1.388364896502374E-2</v>
      </c>
      <c r="G140" s="31" t="s">
        <v>15</v>
      </c>
      <c r="H140" s="31">
        <f>D134-1</f>
        <v>17</v>
      </c>
      <c r="I140" s="31">
        <f>B159</f>
        <v>1.3164415200098405E-4</v>
      </c>
      <c r="J140" s="31">
        <f t="shared" ref="J140:J144" si="34">I140/H140</f>
        <v>7.7437736471167085E-6</v>
      </c>
      <c r="K140" s="31">
        <f>J140/$J$16</f>
        <v>0.95164441390152299</v>
      </c>
      <c r="L140" s="31">
        <f>FINV(0.05,H140,$H$16)</f>
        <v>1.9332068318040869</v>
      </c>
      <c r="M140" s="43" t="str">
        <f t="shared" ref="M140" si="35">IF(K140&gt;=L140, "S", "NS")</f>
        <v>NS</v>
      </c>
      <c r="N140" s="30" t="s">
        <v>113</v>
      </c>
      <c r="O140" s="30" t="s">
        <v>16</v>
      </c>
      <c r="P140" s="83">
        <f>SQRT((2*J144)/(3*9))*L145</f>
        <v>1.7706959822801388E-3</v>
      </c>
      <c r="R140" s="41"/>
    </row>
    <row r="141" spans="1:18" x14ac:dyDescent="0.25">
      <c r="A141" s="32" t="s">
        <v>99</v>
      </c>
      <c r="B141" s="81">
        <f>('log Dry mt. '!B206-'log Dry mt. '!B174)/30</f>
        <v>8.2844501016702786E-3</v>
      </c>
      <c r="C141" s="81">
        <f>('log Dry mt. '!C206-'log Dry mt. '!C174)/30</f>
        <v>1.2091620537909768E-2</v>
      </c>
      <c r="D141" s="81">
        <f>('log Dry mt. '!D206-'log Dry mt. '!D174)/30</f>
        <v>1.3855340911875924E-2</v>
      </c>
      <c r="E141" s="31">
        <f t="shared" si="32"/>
        <v>3.4231411551455967E-2</v>
      </c>
      <c r="F141" s="31">
        <f t="shared" si="33"/>
        <v>1.1410470517151989E-2</v>
      </c>
      <c r="G141" s="31" t="s">
        <v>108</v>
      </c>
      <c r="H141" s="31">
        <f>B133-1</f>
        <v>1</v>
      </c>
      <c r="I141" s="31">
        <f>(SUM(E137:E145)^2+SUM(E146:E154)^2)/27-B157</f>
        <v>1.0200041603439583E-6</v>
      </c>
      <c r="J141" s="31">
        <f t="shared" si="34"/>
        <v>1.0200041603439583E-6</v>
      </c>
      <c r="K141" s="31">
        <f>J141/$J$16</f>
        <v>0.12534990116983361</v>
      </c>
      <c r="L141" s="31">
        <f>FINV(0.05,H141,$H$16)</f>
        <v>4.1300177456520188</v>
      </c>
      <c r="M141" s="31" t="str">
        <f>IF(K141&gt;=L141, "S", "NS")</f>
        <v>NS</v>
      </c>
      <c r="N141" s="39"/>
      <c r="O141" s="33">
        <v>1</v>
      </c>
      <c r="P141" s="83">
        <f>(F137+F146)/2</f>
        <v>1.0967812645730129E-2</v>
      </c>
      <c r="Q141" s="49">
        <f>RANK(P141,P$141:P$149,0)</f>
        <v>6</v>
      </c>
      <c r="R141" s="52">
        <v>9</v>
      </c>
    </row>
    <row r="142" spans="1:18" x14ac:dyDescent="0.25">
      <c r="A142" s="32" t="s">
        <v>100</v>
      </c>
      <c r="B142" s="81">
        <f>('log Dry mt. '!B207-'log Dry mt. '!B175)/30</f>
        <v>1.2511750497015525E-2</v>
      </c>
      <c r="C142" s="81">
        <f>('log Dry mt. '!C207-'log Dry mt. '!C175)/30</f>
        <v>1.2407495713908792E-2</v>
      </c>
      <c r="D142" s="81">
        <f>('log Dry mt. '!D207-'log Dry mt. '!D175)/30</f>
        <v>8.2949892766062717E-3</v>
      </c>
      <c r="E142" s="31">
        <f t="shared" si="32"/>
        <v>3.3214235487530594E-2</v>
      </c>
      <c r="F142" s="31">
        <f t="shared" si="33"/>
        <v>1.1071411829176864E-2</v>
      </c>
      <c r="G142" s="31" t="s">
        <v>109</v>
      </c>
      <c r="H142" s="31">
        <f>B134-1</f>
        <v>8</v>
      </c>
      <c r="I142" s="31">
        <f>((E137+E146)^2+(E138+E147)^2+(E139+E148)^2+(E140+E149)^2+(E141+E150)^2+(E142+E151)^2+(E143+E152)^2+(E144+E153)^2+(E145+E154)^2/6)-B157</f>
        <v>3.253584056224372E-2</v>
      </c>
      <c r="J142" s="31">
        <f t="shared" si="34"/>
        <v>4.066980070280465E-3</v>
      </c>
      <c r="K142" s="31">
        <f>J142/$J$16</f>
        <v>499.79752013700579</v>
      </c>
      <c r="L142" s="31">
        <f>FINV(0.05,H142,$H$16)</f>
        <v>2.2253399674380931</v>
      </c>
      <c r="M142" s="31" t="str">
        <f>IF(K142&gt;=L142, "S", "NS")</f>
        <v>S</v>
      </c>
      <c r="N142" s="39"/>
      <c r="O142" s="33">
        <v>2</v>
      </c>
      <c r="P142" s="83">
        <f t="shared" ref="P142:P149" si="36">(F138+F147)/2</f>
        <v>9.7845470806659889E-3</v>
      </c>
      <c r="Q142" s="49">
        <f t="shared" ref="Q142:Q149" si="37">RANK(P142,P$141:P$149,0)</f>
        <v>9</v>
      </c>
      <c r="R142" s="53">
        <v>5</v>
      </c>
    </row>
    <row r="143" spans="1:18" x14ac:dyDescent="0.25">
      <c r="A143" s="32" t="s">
        <v>101</v>
      </c>
      <c r="B143" s="81">
        <f>('log Dry mt. '!B208-'log Dry mt. '!B176)/30</f>
        <v>1.4069755395060864E-2</v>
      </c>
      <c r="C143" s="81">
        <f>('log Dry mt. '!C208-'log Dry mt. '!C176)/30</f>
        <v>1.4659344691941781E-2</v>
      </c>
      <c r="D143" s="81">
        <f>('log Dry mt. '!D208-'log Dry mt. '!D176)/30</f>
        <v>1.3170229927611684E-2</v>
      </c>
      <c r="E143" s="31">
        <f t="shared" si="32"/>
        <v>4.1899330014614329E-2</v>
      </c>
      <c r="F143" s="31">
        <f t="shared" si="33"/>
        <v>1.3966443338204777E-2</v>
      </c>
      <c r="G143" s="26" t="s">
        <v>110</v>
      </c>
      <c r="H143" s="31">
        <f>H141*H142</f>
        <v>8</v>
      </c>
      <c r="I143" s="31">
        <f>I140-(I141+I142)</f>
        <v>-3.2405216414403082E-2</v>
      </c>
      <c r="J143" s="31">
        <f t="shared" si="34"/>
        <v>-4.0506520518003852E-3</v>
      </c>
      <c r="K143" s="44">
        <f>J143/$J$16</f>
        <v>-497.79094449511132</v>
      </c>
      <c r="L143" s="31">
        <f>FINV(0.05,H143,$H$16)</f>
        <v>2.2253399674380931</v>
      </c>
      <c r="M143" s="31" t="str">
        <f t="shared" ref="M143" si="38">IF(K143&gt;=L143, "S", "NS")</f>
        <v>NS</v>
      </c>
      <c r="N143" s="39"/>
      <c r="O143" s="33">
        <v>3</v>
      </c>
      <c r="P143" s="83">
        <f t="shared" si="36"/>
        <v>1.1114942692123417E-2</v>
      </c>
      <c r="Q143" s="49">
        <f t="shared" si="37"/>
        <v>5</v>
      </c>
      <c r="R143" s="53">
        <v>2</v>
      </c>
    </row>
    <row r="144" spans="1:18" x14ac:dyDescent="0.25">
      <c r="A144" s="32" t="s">
        <v>102</v>
      </c>
      <c r="B144" s="81">
        <f>('log Dry mt. '!B209-'log Dry mt. '!B177)/30</f>
        <v>1.190864813583099E-2</v>
      </c>
      <c r="C144" s="81">
        <f>('log Dry mt. '!C209-'log Dry mt. '!C177)/30</f>
        <v>9.8735955189072893E-3</v>
      </c>
      <c r="D144" s="81">
        <f>('log Dry mt. '!D209-'log Dry mt. '!D177)/30</f>
        <v>1.2075792703494089E-2</v>
      </c>
      <c r="E144" s="31">
        <f t="shared" si="32"/>
        <v>3.3858036358232368E-2</v>
      </c>
      <c r="F144" s="31">
        <f t="shared" si="33"/>
        <v>1.128601211941079E-2</v>
      </c>
      <c r="G144" s="45" t="s">
        <v>23</v>
      </c>
      <c r="H144" s="31">
        <f>((B135-1)*(B133*B134-1))</f>
        <v>34</v>
      </c>
      <c r="I144" s="31">
        <f>D159</f>
        <v>3.4845666162534351E-4</v>
      </c>
      <c r="J144" s="31">
        <f t="shared" si="34"/>
        <v>1.0248725341921868E-5</v>
      </c>
      <c r="O144" s="33">
        <v>4</v>
      </c>
      <c r="P144" s="83">
        <f t="shared" si="36"/>
        <v>1.3879436400570794E-2</v>
      </c>
      <c r="Q144" s="49">
        <f t="shared" si="37"/>
        <v>2</v>
      </c>
      <c r="R144" s="53">
        <v>7</v>
      </c>
    </row>
    <row r="145" spans="1:18" x14ac:dyDescent="0.25">
      <c r="A145" s="32" t="s">
        <v>103</v>
      </c>
      <c r="B145" s="81">
        <f>('log Dry mt. '!B210-'log Dry mt. '!B178)/30</f>
        <v>1.4434116477936331E-2</v>
      </c>
      <c r="C145" s="81">
        <f>('log Dry mt. '!C210-'log Dry mt. '!C178)/30</f>
        <v>1.7562016062173134E-2</v>
      </c>
      <c r="D145" s="81">
        <f>('log Dry mt. '!D210-'log Dry mt. '!D178)/30</f>
        <v>9.4402970056489312E-3</v>
      </c>
      <c r="E145" s="31">
        <f t="shared" si="32"/>
        <v>4.1436429545758401E-2</v>
      </c>
      <c r="F145" s="31">
        <f t="shared" si="33"/>
        <v>1.3812143181919466E-2</v>
      </c>
      <c r="G145" s="44" t="s">
        <v>4</v>
      </c>
      <c r="H145" s="31">
        <f>SUM(H139:H144)-H140</f>
        <v>53</v>
      </c>
      <c r="I145" s="31">
        <f>B158</f>
        <v>4.8296095125768997E-4</v>
      </c>
      <c r="K145" s="31" t="s">
        <v>111</v>
      </c>
      <c r="L145" s="41">
        <f>TINV(0.05,34)</f>
        <v>2.0322445093177191</v>
      </c>
      <c r="O145" s="33">
        <v>5</v>
      </c>
      <c r="P145" s="83">
        <f t="shared" si="36"/>
        <v>1.0856448653745143E-2</v>
      </c>
      <c r="Q145" s="49">
        <f t="shared" si="37"/>
        <v>7</v>
      </c>
      <c r="R145" s="52">
        <v>3</v>
      </c>
    </row>
    <row r="146" spans="1:18" x14ac:dyDescent="0.25">
      <c r="A146" s="32" t="s">
        <v>86</v>
      </c>
      <c r="B146" s="81">
        <f>('log Dry mt. '!B211-'log Dry mt. '!B179)/30</f>
        <v>8.1803062347818017E-3</v>
      </c>
      <c r="C146" s="81">
        <f>('log Dry mt. '!C211-'log Dry mt. '!C179)/30</f>
        <v>7.4042000317998159E-3</v>
      </c>
      <c r="D146" s="81">
        <f>('log Dry mt. '!D211-'log Dry mt. '!D179)/30</f>
        <v>1.7449248714160752E-2</v>
      </c>
      <c r="E146" s="31">
        <f t="shared" si="32"/>
        <v>3.3033754980742368E-2</v>
      </c>
      <c r="F146" s="31">
        <f t="shared" si="33"/>
        <v>1.1011251660247455E-2</v>
      </c>
      <c r="G146" s="34" t="s">
        <v>14</v>
      </c>
      <c r="H146" s="31">
        <f>SQRT(J144/3)</f>
        <v>1.8483078154465026E-3</v>
      </c>
      <c r="O146" s="33">
        <v>6</v>
      </c>
      <c r="P146" s="83">
        <f t="shared" si="36"/>
        <v>1.0677249966966024E-2</v>
      </c>
      <c r="Q146" s="49">
        <f t="shared" si="37"/>
        <v>8</v>
      </c>
      <c r="R146" s="53">
        <v>1</v>
      </c>
    </row>
    <row r="147" spans="1:18" x14ac:dyDescent="0.25">
      <c r="A147" s="32" t="s">
        <v>87</v>
      </c>
      <c r="B147" s="81">
        <f>('log Dry mt. '!B212-'log Dry mt. '!B180)/30</f>
        <v>8.5474805800315849E-3</v>
      </c>
      <c r="C147" s="81">
        <f>('log Dry mt. '!C212-'log Dry mt. '!C180)/30</f>
        <v>9.8906620910183506E-3</v>
      </c>
      <c r="D147" s="81">
        <f>('log Dry mt. '!D212-'log Dry mt. '!D180)/30</f>
        <v>9.7168946022289752E-3</v>
      </c>
      <c r="E147" s="31">
        <f t="shared" si="32"/>
        <v>2.8155037273278911E-2</v>
      </c>
      <c r="F147" s="31">
        <f t="shared" si="33"/>
        <v>9.385012424426303E-3</v>
      </c>
      <c r="G147" s="34" t="s">
        <v>16</v>
      </c>
      <c r="H147" s="31">
        <f>(SQRT((2*J144)/3))*L145</f>
        <v>5.312087946840416E-3</v>
      </c>
      <c r="O147" s="33">
        <v>7</v>
      </c>
      <c r="P147" s="83">
        <f t="shared" si="36"/>
        <v>1.3878198085696807E-2</v>
      </c>
      <c r="Q147" s="49">
        <f t="shared" si="37"/>
        <v>3</v>
      </c>
      <c r="R147" s="53">
        <v>6</v>
      </c>
    </row>
    <row r="148" spans="1:18" x14ac:dyDescent="0.25">
      <c r="A148" s="32" t="s">
        <v>88</v>
      </c>
      <c r="B148" s="81">
        <f>('log Dry mt. '!B213-'log Dry mt. '!B181)/30</f>
        <v>1.5635634667782689E-2</v>
      </c>
      <c r="C148" s="81">
        <f>('log Dry mt. '!C213-'log Dry mt. '!C181)/30</f>
        <v>8.4558592398135349E-3</v>
      </c>
      <c r="D148" s="81">
        <f>('log Dry mt. '!D213-'log Dry mt. '!D181)/30</f>
        <v>9.7403173251331705E-3</v>
      </c>
      <c r="E148" s="31">
        <f t="shared" si="32"/>
        <v>3.3831811232729395E-2</v>
      </c>
      <c r="F148" s="31">
        <f t="shared" si="33"/>
        <v>1.1277270410909798E-2</v>
      </c>
      <c r="G148" s="34" t="s">
        <v>29</v>
      </c>
      <c r="H148" s="31">
        <f>((SQRT(J144))/F155)*100</f>
        <v>27.116339382705608</v>
      </c>
      <c r="O148" s="33">
        <v>8</v>
      </c>
      <c r="P148" s="83">
        <f t="shared" si="36"/>
        <v>1.1117605080119367E-2</v>
      </c>
      <c r="Q148" s="49">
        <f t="shared" si="37"/>
        <v>4</v>
      </c>
      <c r="R148" s="52">
        <v>4</v>
      </c>
    </row>
    <row r="149" spans="1:18" x14ac:dyDescent="0.25">
      <c r="A149" s="32" t="s">
        <v>89</v>
      </c>
      <c r="B149" s="81">
        <f>('log Dry mt. '!B214-'log Dry mt. '!B182)/30</f>
        <v>1.1886028932672203E-2</v>
      </c>
      <c r="C149" s="81">
        <f>('log Dry mt. '!C214-'log Dry mt. '!C182)/30</f>
        <v>1.1353456796528919E-2</v>
      </c>
      <c r="D149" s="81">
        <f>('log Dry mt. '!D214-'log Dry mt. '!D182)/30</f>
        <v>1.8386185779152429E-2</v>
      </c>
      <c r="E149" s="31">
        <f t="shared" si="32"/>
        <v>4.162567150835355E-2</v>
      </c>
      <c r="F149" s="31">
        <f t="shared" si="33"/>
        <v>1.3875223836117849E-2</v>
      </c>
      <c r="O149" s="33">
        <v>9</v>
      </c>
      <c r="P149" s="83">
        <f t="shared" si="36"/>
        <v>1.3978025476462303E-2</v>
      </c>
      <c r="Q149" s="49">
        <f t="shared" si="37"/>
        <v>1</v>
      </c>
      <c r="R149" s="53">
        <v>8</v>
      </c>
    </row>
    <row r="150" spans="1:18" x14ac:dyDescent="0.25">
      <c r="A150" s="32" t="s">
        <v>90</v>
      </c>
      <c r="B150" s="81">
        <f>('log Dry mt. '!B215-'log Dry mt. '!B183)/30</f>
        <v>4.8879800276561804E-3</v>
      </c>
      <c r="C150" s="81">
        <f>('log Dry mt. '!C215-'log Dry mt. '!C183)/30</f>
        <v>1.221591064154642E-2</v>
      </c>
      <c r="D150" s="81">
        <f>('log Dry mt. '!D215-'log Dry mt. '!D183)/30</f>
        <v>1.3803389701812297E-2</v>
      </c>
      <c r="E150" s="31">
        <f t="shared" si="32"/>
        <v>3.0907280371014895E-2</v>
      </c>
      <c r="F150" s="31">
        <f t="shared" si="33"/>
        <v>1.0302426790338298E-2</v>
      </c>
      <c r="O150" s="30" t="s">
        <v>14</v>
      </c>
      <c r="P150" s="83">
        <f>SQRT(J144/(3*2))</f>
        <v>1.3069509900223157E-3</v>
      </c>
      <c r="Q150" s="49"/>
    </row>
    <row r="151" spans="1:18" x14ac:dyDescent="0.25">
      <c r="A151" s="32" t="s">
        <v>91</v>
      </c>
      <c r="B151" s="81">
        <f>('log Dry mt. '!B216-'log Dry mt. '!B184)/30</f>
        <v>9.4240811867040072E-3</v>
      </c>
      <c r="C151" s="81">
        <f>('log Dry mt. '!C216-'log Dry mt. '!C184)/30</f>
        <v>1.2991708211263742E-2</v>
      </c>
      <c r="D151" s="81">
        <f>('log Dry mt. '!D216-'log Dry mt. '!D184)/30</f>
        <v>8.4334749162978014E-3</v>
      </c>
      <c r="E151" s="31">
        <f t="shared" si="32"/>
        <v>3.0849264314265549E-2</v>
      </c>
      <c r="F151" s="31">
        <f t="shared" si="33"/>
        <v>1.0283088104755183E-2</v>
      </c>
      <c r="N151" s="30" t="s">
        <v>109</v>
      </c>
      <c r="O151" s="30" t="s">
        <v>16</v>
      </c>
      <c r="P151" s="83">
        <f>SQRT((2*J144)/(3*2))*L145</f>
        <v>3.756213409470183E-3</v>
      </c>
      <c r="Q151" s="49"/>
    </row>
    <row r="152" spans="1:18" x14ac:dyDescent="0.25">
      <c r="A152" s="32" t="s">
        <v>92</v>
      </c>
      <c r="B152" s="81">
        <f>('log Dry mt. '!B217-'log Dry mt. '!B185)/30</f>
        <v>1.3156776981465808E-2</v>
      </c>
      <c r="C152" s="81">
        <f>('log Dry mt. '!C217-'log Dry mt. '!C185)/30</f>
        <v>1.6332894251908196E-2</v>
      </c>
      <c r="D152" s="81">
        <f>('log Dry mt. '!D217-'log Dry mt. '!D185)/30</f>
        <v>1.1880187266192502E-2</v>
      </c>
      <c r="E152" s="31">
        <f t="shared" si="32"/>
        <v>4.1369858499566509E-2</v>
      </c>
      <c r="F152" s="31">
        <f>E152/3</f>
        <v>1.3789952833188837E-2</v>
      </c>
      <c r="Q152" s="49"/>
    </row>
    <row r="153" spans="1:18" x14ac:dyDescent="0.25">
      <c r="A153" s="32" t="s">
        <v>93</v>
      </c>
      <c r="B153" s="81">
        <f>('log Dry mt. '!B218-'log Dry mt. '!B186)/30</f>
        <v>1.1157947444050572E-2</v>
      </c>
      <c r="C153" s="81">
        <f>('log Dry mt. '!C218-'log Dry mt. '!C186)/30</f>
        <v>1.1158686435663985E-2</v>
      </c>
      <c r="D153" s="81">
        <f>('log Dry mt. '!D218-'log Dry mt. '!D186)/30</f>
        <v>1.0530960242769272E-2</v>
      </c>
      <c r="E153" s="31">
        <f t="shared" si="32"/>
        <v>3.2847594122483829E-2</v>
      </c>
      <c r="F153" s="31">
        <f t="shared" ref="F153:F154" si="39">E153/3</f>
        <v>1.0949198040827944E-2</v>
      </c>
    </row>
    <row r="154" spans="1:18" x14ac:dyDescent="0.25">
      <c r="A154" s="32" t="s">
        <v>94</v>
      </c>
      <c r="B154" s="81">
        <f>('log Dry mt. '!B219-'log Dry mt. '!B187)/30</f>
        <v>1.2974240234185608E-2</v>
      </c>
      <c r="C154" s="81">
        <f>('log Dry mt. '!C219-'log Dry mt. '!C187)/30</f>
        <v>1.2768218914222846E-2</v>
      </c>
      <c r="D154" s="81">
        <f>('log Dry mt. '!D219-'log Dry mt. '!D187)/30</f>
        <v>1.6689264164606973E-2</v>
      </c>
      <c r="E154" s="31">
        <f t="shared" si="32"/>
        <v>4.2431723313015424E-2</v>
      </c>
      <c r="F154" s="31">
        <f t="shared" si="39"/>
        <v>1.4143907771005141E-2</v>
      </c>
    </row>
    <row r="155" spans="1:18" x14ac:dyDescent="0.25">
      <c r="A155" s="30" t="s">
        <v>4</v>
      </c>
      <c r="B155" s="31">
        <f>SUM(B137:B154)</f>
        <v>0.20683938253075071</v>
      </c>
      <c r="C155" s="31">
        <f t="shared" ref="C155:D155" si="40">SUM(C137:C154)</f>
        <v>0.21406373388915825</v>
      </c>
      <c r="D155" s="31">
        <f t="shared" si="40"/>
        <v>0.21662248007257093</v>
      </c>
      <c r="E155" s="31">
        <f>SUM(E137:E154)</f>
        <v>0.63752559649247997</v>
      </c>
      <c r="F155" s="31">
        <f>AVERAGE(B137:D154)</f>
        <v>1.1806029564675547E-2</v>
      </c>
    </row>
    <row r="156" spans="1:18" x14ac:dyDescent="0.25">
      <c r="A156" s="30" t="s">
        <v>5</v>
      </c>
      <c r="B156" s="31">
        <f>B155/18</f>
        <v>1.1491076807263929E-2</v>
      </c>
      <c r="C156" s="31">
        <f>C155/18</f>
        <v>1.1892429660508791E-2</v>
      </c>
      <c r="D156" s="31">
        <f>D155/18</f>
        <v>1.2034582226253941E-2</v>
      </c>
    </row>
    <row r="157" spans="1:18" x14ac:dyDescent="0.25">
      <c r="A157" s="30" t="s">
        <v>26</v>
      </c>
      <c r="B157" s="31">
        <f>(E155*E155)/54</f>
        <v>7.5266460404276366E-3</v>
      </c>
      <c r="C157" s="31"/>
      <c r="D157" s="31"/>
    </row>
    <row r="158" spans="1:18" x14ac:dyDescent="0.25">
      <c r="A158" s="30" t="s">
        <v>27</v>
      </c>
      <c r="B158" s="31">
        <f>SUMSQ(B137:D154)-B157</f>
        <v>4.8296095125768997E-4</v>
      </c>
      <c r="C158" s="30" t="s">
        <v>28</v>
      </c>
      <c r="D158" s="31">
        <f>(SUMSQ(B155:D155)/18)-B157</f>
        <v>2.8601376313623986E-6</v>
      </c>
    </row>
    <row r="159" spans="1:18" x14ac:dyDescent="0.25">
      <c r="A159" s="30" t="s">
        <v>30</v>
      </c>
      <c r="B159" s="31">
        <f>(SUMSQ(E137:E154)/3)-B157</f>
        <v>1.3164415200098405E-4</v>
      </c>
      <c r="C159" s="30" t="s">
        <v>31</v>
      </c>
      <c r="D159" s="31">
        <f>B158-B159-D158</f>
        <v>3.4845666162534351E-4</v>
      </c>
    </row>
    <row r="163" spans="1:18" x14ac:dyDescent="0.25">
      <c r="C163" s="48" t="s">
        <v>115</v>
      </c>
    </row>
    <row r="165" spans="1:18" x14ac:dyDescent="0.25">
      <c r="A165" s="36" t="s">
        <v>104</v>
      </c>
      <c r="B165" s="38">
        <v>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5"/>
      <c r="N165" s="35"/>
      <c r="O165" s="39"/>
      <c r="P165" s="39"/>
    </row>
    <row r="166" spans="1:18" x14ac:dyDescent="0.25">
      <c r="A166" s="36" t="s">
        <v>105</v>
      </c>
      <c r="B166" s="38">
        <v>9</v>
      </c>
      <c r="C166" s="39" t="s">
        <v>107</v>
      </c>
      <c r="D166" s="39">
        <v>18</v>
      </c>
      <c r="E166" s="39"/>
      <c r="F166" s="39"/>
      <c r="G166" s="39"/>
      <c r="H166" s="39"/>
      <c r="I166" s="39"/>
      <c r="J166" s="39"/>
      <c r="K166" s="39"/>
      <c r="L166" s="39"/>
      <c r="M166" s="35"/>
      <c r="N166" s="35"/>
      <c r="O166" s="39"/>
      <c r="P166" s="39"/>
    </row>
    <row r="167" spans="1:18" x14ac:dyDescent="0.25">
      <c r="A167" s="37" t="s">
        <v>106</v>
      </c>
      <c r="B167" s="40">
        <v>3</v>
      </c>
    </row>
    <row r="168" spans="1:18" x14ac:dyDescent="0.25">
      <c r="A168" s="46" t="s">
        <v>0</v>
      </c>
      <c r="B168" s="30" t="s">
        <v>1</v>
      </c>
      <c r="C168" s="30" t="s">
        <v>2</v>
      </c>
      <c r="D168" s="30" t="s">
        <v>3</v>
      </c>
      <c r="E168" s="30" t="s">
        <v>4</v>
      </c>
      <c r="F168" s="30" t="s">
        <v>5</v>
      </c>
      <c r="O168" s="41" t="s">
        <v>7</v>
      </c>
      <c r="R168" s="41"/>
    </row>
    <row r="169" spans="1:18" x14ac:dyDescent="0.25">
      <c r="A169" s="32" t="s">
        <v>95</v>
      </c>
      <c r="B169" s="81">
        <f>('log Dry mt. '!B234-'log Dry mt. '!B202)/30</f>
        <v>2.8755121108588058E-3</v>
      </c>
      <c r="C169" s="81">
        <f>('log Dry mt. '!C234-'log Dry mt. '!C202)/30</f>
        <v>4.6806918903761208E-3</v>
      </c>
      <c r="D169" s="81">
        <f>('log Dry mt. '!D234-'log Dry mt. '!D202)/30</f>
        <v>4.3210392231047244E-3</v>
      </c>
      <c r="E169" s="31">
        <f>SUM(B169:D169)</f>
        <v>1.187724322433965E-2</v>
      </c>
      <c r="F169" s="31">
        <f>E169/3</f>
        <v>3.9590810747798834E-3</v>
      </c>
      <c r="H169" s="47"/>
      <c r="I169" s="47"/>
      <c r="J169" s="47" t="s">
        <v>6</v>
      </c>
      <c r="K169" s="47"/>
      <c r="L169" s="47"/>
      <c r="M169" s="47"/>
      <c r="N169" s="47"/>
      <c r="O169" s="33">
        <v>2</v>
      </c>
      <c r="P169" s="83">
        <f>SUM(F169:F177)/9</f>
        <v>5.1578787089896251E-3</v>
      </c>
      <c r="Q169" s="49">
        <f>RANK(P169,P$169:P$170,0)</f>
        <v>1</v>
      </c>
      <c r="R169" s="41"/>
    </row>
    <row r="170" spans="1:18" x14ac:dyDescent="0.25">
      <c r="A170" s="32" t="s">
        <v>96</v>
      </c>
      <c r="B170" s="81">
        <f>('log Dry mt. '!B235-'log Dry mt. '!B203)/30</f>
        <v>3.7359053756613747E-3</v>
      </c>
      <c r="C170" s="81">
        <f>('log Dry mt. '!C235-'log Dry mt. '!C203)/30</f>
        <v>4.3834314452292434E-3</v>
      </c>
      <c r="D170" s="81">
        <f>('log Dry mt. '!D235-'log Dry mt. '!D203)/30</f>
        <v>9.722023211026146E-3</v>
      </c>
      <c r="E170" s="31">
        <f t="shared" ref="E170:E186" si="41">SUM(B170:D170)</f>
        <v>1.7841360031916761E-2</v>
      </c>
      <c r="F170" s="31">
        <f t="shared" ref="F170:F183" si="42">E170/3</f>
        <v>5.9471200106389205E-3</v>
      </c>
      <c r="G170" s="31"/>
      <c r="H170" s="30" t="s">
        <v>8</v>
      </c>
      <c r="I170" s="30" t="s">
        <v>9</v>
      </c>
      <c r="J170" s="30" t="s">
        <v>10</v>
      </c>
      <c r="K170" s="30" t="s">
        <v>11</v>
      </c>
      <c r="L170" s="30" t="s">
        <v>12</v>
      </c>
      <c r="M170" s="30" t="s">
        <v>112</v>
      </c>
      <c r="N170" s="50"/>
      <c r="O170" s="33">
        <v>1</v>
      </c>
      <c r="P170" s="83">
        <f>SUM(F178:F186)/9</f>
        <v>5.0638062732001297E-3</v>
      </c>
      <c r="Q170" s="49">
        <f>RANK(P170,P$169:P$170,0)</f>
        <v>2</v>
      </c>
      <c r="R170" s="41"/>
    </row>
    <row r="171" spans="1:18" x14ac:dyDescent="0.25">
      <c r="A171" s="32" t="s">
        <v>97</v>
      </c>
      <c r="B171" s="81">
        <f>('log Dry mt. '!B236-'log Dry mt. '!B204)/30</f>
        <v>1.0188670012921601E-3</v>
      </c>
      <c r="C171" s="81">
        <f>('log Dry mt. '!C236-'log Dry mt. '!C204)/30</f>
        <v>3.6508489567688446E-3</v>
      </c>
      <c r="D171" s="81">
        <f>('log Dry mt. '!D236-'log Dry mt. '!D204)/30</f>
        <v>9.4783468201465066E-3</v>
      </c>
      <c r="E171" s="31">
        <f t="shared" si="41"/>
        <v>1.4148062778207512E-2</v>
      </c>
      <c r="F171" s="31">
        <f t="shared" si="42"/>
        <v>4.7160209260691706E-3</v>
      </c>
      <c r="G171" s="31" t="s">
        <v>13</v>
      </c>
      <c r="H171" s="31">
        <f>B167-1</f>
        <v>2</v>
      </c>
      <c r="I171" s="31">
        <f>D190</f>
        <v>6.6117633229331035E-5</v>
      </c>
      <c r="J171" s="31">
        <f>I171/H171</f>
        <v>3.3058816614665518E-5</v>
      </c>
      <c r="K171" s="31">
        <f>J171/$J$16</f>
        <v>4.0626495033535877</v>
      </c>
      <c r="L171" s="31">
        <f>FINV(0.05,H171,$H$16)</f>
        <v>3.275897990672394</v>
      </c>
      <c r="M171" s="31" t="str">
        <f>IF(K171&gt;=L171, "S", "NS")</f>
        <v>S</v>
      </c>
      <c r="N171" s="39"/>
      <c r="O171" s="30" t="s">
        <v>14</v>
      </c>
      <c r="P171" s="83">
        <f>SQRT(J176/(3*9))</f>
        <v>7.0385780056955748E-4</v>
      </c>
      <c r="R171" s="41"/>
    </row>
    <row r="172" spans="1:18" x14ac:dyDescent="0.25">
      <c r="A172" s="32" t="s">
        <v>98</v>
      </c>
      <c r="B172" s="81">
        <f>('log Dry mt. '!B237-'log Dry mt. '!B205)/30</f>
        <v>1.0352124397874807E-2</v>
      </c>
      <c r="C172" s="81">
        <f>('log Dry mt. '!C237-'log Dry mt. '!C205)/30</f>
        <v>5.910457428974455E-3</v>
      </c>
      <c r="D172" s="81">
        <f>('log Dry mt. '!D237-'log Dry mt. '!D205)/30</f>
        <v>1.1286086154717564E-3</v>
      </c>
      <c r="E172" s="31">
        <f t="shared" si="41"/>
        <v>1.7391190442321017E-2</v>
      </c>
      <c r="F172" s="31">
        <f t="shared" si="42"/>
        <v>5.7970634807736725E-3</v>
      </c>
      <c r="G172" s="31" t="s">
        <v>15</v>
      </c>
      <c r="H172" s="31">
        <f>D166-1</f>
        <v>17</v>
      </c>
      <c r="I172" s="31">
        <f>B191</f>
        <v>2.4543045998687198E-5</v>
      </c>
      <c r="J172" s="31">
        <f t="shared" ref="J172:J176" si="43">I172/H172</f>
        <v>1.4437085881580704E-6</v>
      </c>
      <c r="K172" s="31">
        <f>J172/$J$16</f>
        <v>0.17741959874225335</v>
      </c>
      <c r="L172" s="31">
        <f>FINV(0.05,H172,$H$16)</f>
        <v>1.9332068318040869</v>
      </c>
      <c r="M172" s="43" t="str">
        <f t="shared" ref="M172" si="44">IF(K172&gt;=L172, "S", "NS")</f>
        <v>NS</v>
      </c>
      <c r="N172" s="30" t="s">
        <v>113</v>
      </c>
      <c r="O172" s="30" t="s">
        <v>16</v>
      </c>
      <c r="P172" s="83">
        <f>SQRT((2*J176)/(3*9))*L177</f>
        <v>2.0229068488745844E-3</v>
      </c>
      <c r="R172" s="41"/>
    </row>
    <row r="173" spans="1:18" x14ac:dyDescent="0.25">
      <c r="A173" s="32" t="s">
        <v>99</v>
      </c>
      <c r="B173" s="81">
        <f>('log Dry mt. '!B238-'log Dry mt. '!B206)/30</f>
        <v>6.8872656974433791E-3</v>
      </c>
      <c r="C173" s="81">
        <f>('log Dry mt. '!C238-'log Dry mt. '!C206)/30</f>
        <v>4.6706761784945112E-3</v>
      </c>
      <c r="D173" s="81">
        <f>('log Dry mt. '!D238-'log Dry mt. '!D206)/30</f>
        <v>3.3148236042731464E-3</v>
      </c>
      <c r="E173" s="31">
        <f t="shared" si="41"/>
        <v>1.4872765480211037E-2</v>
      </c>
      <c r="F173" s="31">
        <f t="shared" si="42"/>
        <v>4.9575884934036788E-3</v>
      </c>
      <c r="G173" s="31" t="s">
        <v>108</v>
      </c>
      <c r="H173" s="31">
        <f>B165-1</f>
        <v>1</v>
      </c>
      <c r="I173" s="31">
        <f>(SUM(E169:E177)^2+SUM(E178:E186)^2)/27-B189</f>
        <v>1.1946991286754596E-7</v>
      </c>
      <c r="J173" s="31">
        <f t="shared" si="43"/>
        <v>1.1946991286754596E-7</v>
      </c>
      <c r="K173" s="31">
        <f>J173/$J$16</f>
        <v>1.4681843812936583E-2</v>
      </c>
      <c r="L173" s="31">
        <f>FINV(0.05,H173,$H$16)</f>
        <v>4.1300177456520188</v>
      </c>
      <c r="M173" s="31" t="str">
        <f>IF(K173&gt;=L173, "S", "NS")</f>
        <v>NS</v>
      </c>
      <c r="N173" s="39"/>
      <c r="O173" s="33">
        <v>1</v>
      </c>
      <c r="P173" s="83">
        <f>(F169+F178)/2</f>
        <v>4.7857999454905594E-3</v>
      </c>
      <c r="Q173" s="49">
        <f>RANK(P173,P$173:P$181,0)</f>
        <v>6</v>
      </c>
      <c r="R173" s="52">
        <v>9</v>
      </c>
    </row>
    <row r="174" spans="1:18" x14ac:dyDescent="0.25">
      <c r="A174" s="32" t="s">
        <v>100</v>
      </c>
      <c r="B174" s="81">
        <f>('log Dry mt. '!B239-'log Dry mt. '!B207)/30</f>
        <v>7.1502063187475129E-3</v>
      </c>
      <c r="C174" s="81">
        <f>('log Dry mt. '!C239-'log Dry mt. '!C207)/30</f>
        <v>3.3664092464009104E-3</v>
      </c>
      <c r="D174" s="81">
        <f>('log Dry mt. '!D239-'log Dry mt. '!D207)/30</f>
        <v>3.7829990924908687E-3</v>
      </c>
      <c r="E174" s="31">
        <f t="shared" si="41"/>
        <v>1.4299614657639292E-2</v>
      </c>
      <c r="F174" s="31">
        <f t="shared" si="42"/>
        <v>4.7665382192130972E-3</v>
      </c>
      <c r="G174" s="31" t="s">
        <v>109</v>
      </c>
      <c r="H174" s="31">
        <f>B166-1</f>
        <v>8</v>
      </c>
      <c r="I174" s="31">
        <f>((E169+E178)^2+(E170+E179)^2+(E171+E180)^2+(E172+E181)^2+(E173+E182)^2+(E174+E183)^2+(E175+E184)^2+(E176+E185)^2+(E177+E186)^2/6)-B189</f>
        <v>6.286099864065902E-3</v>
      </c>
      <c r="J174" s="31">
        <f t="shared" si="43"/>
        <v>7.8576248300823775E-4</v>
      </c>
      <c r="K174" s="31">
        <f>J174/$J$16</f>
        <v>96.563576323876774</v>
      </c>
      <c r="L174" s="31">
        <f>FINV(0.05,H174,$H$16)</f>
        <v>2.2253399674380931</v>
      </c>
      <c r="M174" s="31" t="str">
        <f>IF(K174&gt;=L174, "S", "NS")</f>
        <v>S</v>
      </c>
      <c r="N174" s="39"/>
      <c r="O174" s="33">
        <v>2</v>
      </c>
      <c r="P174" s="83">
        <f t="shared" ref="P174:P181" si="45">(F170+F179)/2</f>
        <v>6.0972259563079542E-3</v>
      </c>
      <c r="Q174" s="49">
        <f t="shared" ref="Q174:Q181" si="46">RANK(P174,P$173:P$181,0)</f>
        <v>1</v>
      </c>
      <c r="R174" s="53">
        <v>5</v>
      </c>
    </row>
    <row r="175" spans="1:18" x14ac:dyDescent="0.25">
      <c r="A175" s="32" t="s">
        <v>101</v>
      </c>
      <c r="B175" s="81">
        <f>('log Dry mt. '!B240-'log Dry mt. '!B208)/30</f>
        <v>8.5915014731208217E-3</v>
      </c>
      <c r="C175" s="81">
        <f>('log Dry mt. '!C240-'log Dry mt. '!C208)/30</f>
        <v>8.3810632354570491E-3</v>
      </c>
      <c r="D175" s="81">
        <f>('log Dry mt. '!D240-'log Dry mt. '!D208)/30</f>
        <v>-9.8985361287201221E-4</v>
      </c>
      <c r="E175" s="31">
        <f t="shared" si="41"/>
        <v>1.598271109570586E-2</v>
      </c>
      <c r="F175" s="31">
        <f t="shared" si="42"/>
        <v>5.3275703652352867E-3</v>
      </c>
      <c r="G175" s="26" t="s">
        <v>110</v>
      </c>
      <c r="H175" s="31">
        <f>H173*H174</f>
        <v>8</v>
      </c>
      <c r="I175" s="31">
        <f>I172-(I173+I174)</f>
        <v>-6.2616762879800815E-3</v>
      </c>
      <c r="J175" s="31">
        <f t="shared" si="43"/>
        <v>-7.8270953599751019E-4</v>
      </c>
      <c r="K175" s="44">
        <f>J175/$J$16</f>
        <v>-96.18839490702608</v>
      </c>
      <c r="L175" s="31">
        <f>FINV(0.05,H175,$H$16)</f>
        <v>2.2253399674380931</v>
      </c>
      <c r="M175" s="31" t="str">
        <f t="shared" ref="M175" si="47">IF(K175&gt;=L175, "S", "NS")</f>
        <v>NS</v>
      </c>
      <c r="N175" s="39"/>
      <c r="O175" s="33">
        <v>3</v>
      </c>
      <c r="P175" s="83">
        <f t="shared" si="45"/>
        <v>4.3915529307482198E-3</v>
      </c>
      <c r="Q175" s="49">
        <f t="shared" si="46"/>
        <v>9</v>
      </c>
      <c r="R175" s="53">
        <v>2</v>
      </c>
    </row>
    <row r="176" spans="1:18" x14ac:dyDescent="0.25">
      <c r="A176" s="32" t="s">
        <v>102</v>
      </c>
      <c r="B176" s="81">
        <f>('log Dry mt. '!B241-'log Dry mt. '!B209)/30</f>
        <v>4.7231071095838279E-3</v>
      </c>
      <c r="C176" s="81">
        <f>('log Dry mt. '!C241-'log Dry mt. '!C209)/30</f>
        <v>6.1926106592452793E-3</v>
      </c>
      <c r="D176" s="81">
        <f>('log Dry mt. '!D241-'log Dry mt. '!D209)/30</f>
        <v>4.2836102631327458E-3</v>
      </c>
      <c r="E176" s="31">
        <f t="shared" si="41"/>
        <v>1.5199328031961851E-2</v>
      </c>
      <c r="F176" s="31">
        <f t="shared" si="42"/>
        <v>5.0664426773206171E-3</v>
      </c>
      <c r="G176" s="45" t="s">
        <v>23</v>
      </c>
      <c r="H176" s="31">
        <f>((B167-1)*(B165*B166-1))</f>
        <v>34</v>
      </c>
      <c r="I176" s="31">
        <f>D191</f>
        <v>4.5479170754196053E-4</v>
      </c>
      <c r="J176" s="31">
        <f t="shared" si="43"/>
        <v>1.3376226692410603E-5</v>
      </c>
      <c r="O176" s="33">
        <v>4</v>
      </c>
      <c r="P176" s="83">
        <f t="shared" si="45"/>
        <v>5.8285011655641386E-3</v>
      </c>
      <c r="Q176" s="49">
        <f t="shared" si="46"/>
        <v>2</v>
      </c>
      <c r="R176" s="53">
        <v>7</v>
      </c>
    </row>
    <row r="177" spans="1:18" x14ac:dyDescent="0.25">
      <c r="A177" s="32" t="s">
        <v>103</v>
      </c>
      <c r="B177" s="81">
        <f>('log Dry mt. '!B242-'log Dry mt. '!B210)/30</f>
        <v>8.2222580223782291E-3</v>
      </c>
      <c r="C177" s="81">
        <f>('log Dry mt. '!C242-'log Dry mt. '!C210)/30</f>
        <v>1.8210264173551317E-3</v>
      </c>
      <c r="D177" s="81">
        <f>('log Dry mt. '!D242-'log Dry mt. '!D210)/30</f>
        <v>7.6071649606835358E-3</v>
      </c>
      <c r="E177" s="31">
        <f t="shared" si="41"/>
        <v>1.7650449400416896E-2</v>
      </c>
      <c r="F177" s="31">
        <f t="shared" si="42"/>
        <v>5.8834831334722984E-3</v>
      </c>
      <c r="G177" s="44" t="s">
        <v>4</v>
      </c>
      <c r="H177" s="31">
        <f>SUM(H171:H176)-H172</f>
        <v>53</v>
      </c>
      <c r="I177" s="31">
        <f>B190</f>
        <v>5.4545238676997876E-4</v>
      </c>
      <c r="K177" s="31" t="s">
        <v>111</v>
      </c>
      <c r="L177" s="41">
        <f>TINV(0.05,34)</f>
        <v>2.0322445093177191</v>
      </c>
      <c r="O177" s="33">
        <v>5</v>
      </c>
      <c r="P177" s="83">
        <f t="shared" si="45"/>
        <v>4.6259037785857946E-3</v>
      </c>
      <c r="Q177" s="49">
        <f t="shared" si="46"/>
        <v>7</v>
      </c>
      <c r="R177" s="52">
        <v>3</v>
      </c>
    </row>
    <row r="178" spans="1:18" x14ac:dyDescent="0.25">
      <c r="A178" s="32" t="s">
        <v>86</v>
      </c>
      <c r="B178" s="81">
        <f>('log Dry mt. '!B243-'log Dry mt. '!B211)/30</f>
        <v>6.2977523827178437E-3</v>
      </c>
      <c r="C178" s="81">
        <f>('log Dry mt. '!C243-'log Dry mt. '!C211)/30</f>
        <v>9.2466427372523974E-3</v>
      </c>
      <c r="D178" s="81">
        <f>('log Dry mt. '!D243-'log Dry mt. '!D211)/30</f>
        <v>1.293161328633463E-3</v>
      </c>
      <c r="E178" s="31">
        <f t="shared" si="41"/>
        <v>1.6837556448603703E-2</v>
      </c>
      <c r="F178" s="31">
        <f t="shared" si="42"/>
        <v>5.6125188162012346E-3</v>
      </c>
      <c r="G178" s="34" t="s">
        <v>14</v>
      </c>
      <c r="H178" s="31">
        <f>SQRT(J176/3)</f>
        <v>2.1115734017086727E-3</v>
      </c>
      <c r="O178" s="33">
        <v>6</v>
      </c>
      <c r="P178" s="83">
        <f t="shared" si="45"/>
        <v>4.5935981107808627E-3</v>
      </c>
      <c r="Q178" s="49">
        <f t="shared" si="46"/>
        <v>8</v>
      </c>
      <c r="R178" s="53">
        <v>1</v>
      </c>
    </row>
    <row r="179" spans="1:18" x14ac:dyDescent="0.25">
      <c r="A179" s="32" t="s">
        <v>87</v>
      </c>
      <c r="B179" s="81">
        <f>('log Dry mt. '!B244-'log Dry mt. '!B212)/30</f>
        <v>6.0252349406179446E-3</v>
      </c>
      <c r="C179" s="81">
        <f>('log Dry mt. '!C244-'log Dry mt. '!C212)/30</f>
        <v>1.2828813893044355E-3</v>
      </c>
      <c r="D179" s="81">
        <f>('log Dry mt. '!D244-'log Dry mt. '!D212)/30</f>
        <v>1.1433879376008586E-2</v>
      </c>
      <c r="E179" s="31">
        <f t="shared" si="41"/>
        <v>1.8741995705930967E-2</v>
      </c>
      <c r="F179" s="31">
        <f t="shared" si="42"/>
        <v>6.2473319019769888E-3</v>
      </c>
      <c r="G179" s="34" t="s">
        <v>16</v>
      </c>
      <c r="H179" s="31">
        <f>(SQRT((2*J176)/3))*L177</f>
        <v>6.0687205466237537E-3</v>
      </c>
      <c r="O179" s="33">
        <v>7</v>
      </c>
      <c r="P179" s="83">
        <f t="shared" si="45"/>
        <v>5.421073040701602E-3</v>
      </c>
      <c r="Q179" s="49">
        <f t="shared" si="46"/>
        <v>3</v>
      </c>
      <c r="R179" s="53">
        <v>6</v>
      </c>
    </row>
    <row r="180" spans="1:18" x14ac:dyDescent="0.25">
      <c r="A180" s="32" t="s">
        <v>88</v>
      </c>
      <c r="B180" s="81">
        <f>('log Dry mt. '!B245-'log Dry mt. '!B213)/30</f>
        <v>7.0959291906499782E-4</v>
      </c>
      <c r="C180" s="81">
        <f>('log Dry mt. '!C245-'log Dry mt. '!C213)/30</f>
        <v>6.5793203860777657E-3</v>
      </c>
      <c r="D180" s="81">
        <f>('log Dry mt. '!D245-'log Dry mt. '!D213)/30</f>
        <v>4.9123415011390389E-3</v>
      </c>
      <c r="E180" s="31">
        <f t="shared" si="41"/>
        <v>1.2201254806281803E-2</v>
      </c>
      <c r="F180" s="31">
        <f t="shared" si="42"/>
        <v>4.0670849354272681E-3</v>
      </c>
      <c r="G180" s="34" t="s">
        <v>29</v>
      </c>
      <c r="H180" s="31">
        <f>((SQRT(J176))/F187)*100</f>
        <v>71.560656037493473</v>
      </c>
      <c r="O180" s="33">
        <v>8</v>
      </c>
      <c r="P180" s="83">
        <f t="shared" si="45"/>
        <v>4.8727134953712812E-3</v>
      </c>
      <c r="Q180" s="49">
        <f t="shared" si="46"/>
        <v>5</v>
      </c>
      <c r="R180" s="52">
        <v>4</v>
      </c>
    </row>
    <row r="181" spans="1:18" x14ac:dyDescent="0.25">
      <c r="A181" s="32" t="s">
        <v>89</v>
      </c>
      <c r="B181" s="81">
        <f>('log Dry mt. '!B246-'log Dry mt. '!B214)/30</f>
        <v>8.2397149374857648E-3</v>
      </c>
      <c r="C181" s="81">
        <f>('log Dry mt. '!C246-'log Dry mt. '!C214)/30</f>
        <v>9.681147924669186E-3</v>
      </c>
      <c r="D181" s="81">
        <f>('log Dry mt. '!D246-'log Dry mt. '!D214)/30</f>
        <v>-3.4104631109113843E-4</v>
      </c>
      <c r="E181" s="31">
        <f t="shared" si="41"/>
        <v>1.7579816551063811E-2</v>
      </c>
      <c r="F181" s="31">
        <f t="shared" si="42"/>
        <v>5.8599388503546039E-3</v>
      </c>
      <c r="O181" s="33">
        <v>9</v>
      </c>
      <c r="P181" s="83">
        <f t="shared" si="45"/>
        <v>5.3812139963034834E-3</v>
      </c>
      <c r="Q181" s="49">
        <f t="shared" si="46"/>
        <v>4</v>
      </c>
      <c r="R181" s="53">
        <v>8</v>
      </c>
    </row>
    <row r="182" spans="1:18" x14ac:dyDescent="0.25">
      <c r="A182" s="32" t="s">
        <v>90</v>
      </c>
      <c r="B182" s="81">
        <f>('log Dry mt. '!B247-'log Dry mt. '!B215)/30</f>
        <v>6.9400523655875606E-3</v>
      </c>
      <c r="C182" s="81">
        <f>('log Dry mt. '!C247-'log Dry mt. '!C215)/30</f>
        <v>5.162372171600301E-3</v>
      </c>
      <c r="D182" s="81">
        <f>('log Dry mt. '!D247-'log Dry mt. '!D215)/30</f>
        <v>7.8023265411587177E-4</v>
      </c>
      <c r="E182" s="31">
        <f t="shared" si="41"/>
        <v>1.2882657191303732E-2</v>
      </c>
      <c r="F182" s="31">
        <f t="shared" si="42"/>
        <v>4.2942190637679104E-3</v>
      </c>
      <c r="O182" s="30" t="s">
        <v>14</v>
      </c>
      <c r="P182" s="83">
        <f>SQRT(J176/(3*2))</f>
        <v>1.493107871321348E-3</v>
      </c>
      <c r="Q182" s="49"/>
    </row>
    <row r="183" spans="1:18" x14ac:dyDescent="0.25">
      <c r="A183" s="32" t="s">
        <v>91</v>
      </c>
      <c r="B183" s="81">
        <f>('log Dry mt. '!B248-'log Dry mt. '!B216)/30</f>
        <v>9.6140897692241246E-3</v>
      </c>
      <c r="C183" s="81">
        <f>('log Dry mt. '!C248-'log Dry mt. '!C216)/30</f>
        <v>8.5537014235968669E-4</v>
      </c>
      <c r="D183" s="81">
        <f>('log Dry mt. '!D248-'log Dry mt. '!D216)/30</f>
        <v>2.7925140954620769E-3</v>
      </c>
      <c r="E183" s="31">
        <f t="shared" si="41"/>
        <v>1.3261974007045887E-2</v>
      </c>
      <c r="F183" s="31">
        <f t="shared" si="42"/>
        <v>4.4206580023486292E-3</v>
      </c>
      <c r="N183" s="30" t="s">
        <v>109</v>
      </c>
      <c r="O183" s="30" t="s">
        <v>16</v>
      </c>
      <c r="P183" s="83">
        <f>SQRT((2*J176)/(3*2))*L177</f>
        <v>4.2912334516437885E-3</v>
      </c>
      <c r="Q183" s="49"/>
    </row>
    <row r="184" spans="1:18" x14ac:dyDescent="0.25">
      <c r="A184" s="32" t="s">
        <v>92</v>
      </c>
      <c r="B184" s="81">
        <f>('log Dry mt. '!B249-'log Dry mt. '!B217)/30</f>
        <v>1.0188535447880091E-2</v>
      </c>
      <c r="C184" s="81">
        <f>('log Dry mt. '!C249-'log Dry mt. '!C217)/30</f>
        <v>4.4232425647823112E-3</v>
      </c>
      <c r="D184" s="81">
        <f>('log Dry mt. '!D249-'log Dry mt. '!D217)/30</f>
        <v>1.9319491358413524E-3</v>
      </c>
      <c r="E184" s="31">
        <f t="shared" si="41"/>
        <v>1.6543727148503752E-2</v>
      </c>
      <c r="F184" s="31">
        <f>E184/3</f>
        <v>5.5145757161679174E-3</v>
      </c>
      <c r="Q184" s="49"/>
    </row>
    <row r="185" spans="1:18" x14ac:dyDescent="0.25">
      <c r="A185" s="32" t="s">
        <v>93</v>
      </c>
      <c r="B185" s="81">
        <f>('log Dry mt. '!B250-'log Dry mt. '!B218)/30</f>
        <v>8.6406566703921914E-3</v>
      </c>
      <c r="C185" s="81">
        <f>('log Dry mt. '!C250-'log Dry mt. '!C218)/30</f>
        <v>1.0934794644168319E-3</v>
      </c>
      <c r="D185" s="81">
        <f>('log Dry mt. '!D250-'log Dry mt. '!D218)/30</f>
        <v>4.3028168054568107E-3</v>
      </c>
      <c r="E185" s="31">
        <f t="shared" si="41"/>
        <v>1.4036952940265832E-2</v>
      </c>
      <c r="F185" s="31">
        <f t="shared" ref="F185:F186" si="48">E185/3</f>
        <v>4.6789843134219444E-3</v>
      </c>
    </row>
    <row r="186" spans="1:18" x14ac:dyDescent="0.25">
      <c r="A186" s="32" t="s">
        <v>94</v>
      </c>
      <c r="B186" s="81">
        <f>('log Dry mt. '!B251-'log Dry mt. '!B219)/30</f>
        <v>8.4396680385105203E-3</v>
      </c>
      <c r="C186" s="81">
        <f>('log Dry mt. '!C251-'log Dry mt. '!C219)/30</f>
        <v>5.1664708694038868E-3</v>
      </c>
      <c r="D186" s="81">
        <f>('log Dry mt. '!D251-'log Dry mt. '!D219)/30</f>
        <v>1.0306956694895971E-3</v>
      </c>
      <c r="E186" s="31">
        <f t="shared" si="41"/>
        <v>1.4636834577404004E-2</v>
      </c>
      <c r="F186" s="31">
        <f t="shared" si="48"/>
        <v>4.8789448591346684E-3</v>
      </c>
    </row>
    <row r="187" spans="1:18" x14ac:dyDescent="0.25">
      <c r="A187" s="30" t="s">
        <v>4</v>
      </c>
      <c r="B187" s="31">
        <f>SUM(B169:B186)</f>
        <v>0.11865204497844196</v>
      </c>
      <c r="C187" s="31">
        <f t="shared" ref="C187:D187" si="49">SUM(C169:C186)</f>
        <v>8.6548143108168357E-2</v>
      </c>
      <c r="D187" s="31">
        <f t="shared" si="49"/>
        <v>7.0785306432513087E-2</v>
      </c>
      <c r="E187" s="31">
        <f>SUM(E169:E186)</f>
        <v>0.27598549451912335</v>
      </c>
      <c r="F187" s="31">
        <f>AVERAGE(B169:D186)</f>
        <v>5.1108424910948757E-3</v>
      </c>
    </row>
    <row r="188" spans="1:18" x14ac:dyDescent="0.25">
      <c r="A188" s="30" t="s">
        <v>5</v>
      </c>
      <c r="B188" s="31">
        <f>B187/18</f>
        <v>6.5917802765801089E-3</v>
      </c>
      <c r="C188" s="31">
        <f>C187/18</f>
        <v>4.8082301726760195E-3</v>
      </c>
      <c r="D188" s="31">
        <f>D187/18</f>
        <v>3.9325170240285048E-3</v>
      </c>
    </row>
    <row r="189" spans="1:18" x14ac:dyDescent="0.25">
      <c r="A189" s="30" t="s">
        <v>26</v>
      </c>
      <c r="B189" s="31">
        <f>(E187*E187)/54</f>
        <v>1.4105183923141678E-3</v>
      </c>
      <c r="C189" s="31"/>
      <c r="D189" s="31"/>
    </row>
    <row r="190" spans="1:18" x14ac:dyDescent="0.25">
      <c r="A190" s="30" t="s">
        <v>27</v>
      </c>
      <c r="B190" s="31">
        <f>SUMSQ(B169:D186)-B189</f>
        <v>5.4545238676997876E-4</v>
      </c>
      <c r="C190" s="30" t="s">
        <v>28</v>
      </c>
      <c r="D190" s="31">
        <f>(SUMSQ(B187:D187)/18)-B189</f>
        <v>6.6117633229331035E-5</v>
      </c>
    </row>
    <row r="191" spans="1:18" x14ac:dyDescent="0.25">
      <c r="A191" s="30" t="s">
        <v>30</v>
      </c>
      <c r="B191" s="31">
        <f>(SUMSQ(E169:E186)/3)-B189</f>
        <v>2.4543045998687198E-5</v>
      </c>
      <c r="C191" s="30" t="s">
        <v>31</v>
      </c>
      <c r="D191" s="31">
        <f>B190-B191-D190</f>
        <v>4.5479170754196053E-4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Dry mt. new</vt:lpstr>
      <vt:lpstr>log Dry mt. </vt:lpstr>
      <vt:lpstr>LAI</vt:lpstr>
      <vt:lpstr>CGR</vt:lpstr>
      <vt:lpstr>NPK UPTAKES (kg ha-1)</vt:lpstr>
      <vt:lpstr>Sheet2</vt:lpstr>
      <vt:lpstr>RGR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2023-03-16T02:42:37Z</dcterms:modified>
</cp:coreProperties>
</file>